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4\DIVERSOS\PT-RENATO\"/>
    </mc:Choice>
  </mc:AlternateContent>
  <xr:revisionPtr revIDLastSave="0" documentId="13_ncr:1_{EE8747C7-381F-4FBD-8AE4-4CCF51BADFCD}" xr6:coauthVersionLast="47" xr6:coauthVersionMax="47" xr10:uidLastSave="{00000000-0000-0000-0000-000000000000}"/>
  <bookViews>
    <workbookView xWindow="20370" yWindow="-120" windowWidth="20730" windowHeight="11040" activeTab="4" xr2:uid="{EF5C8A7A-83B3-4FE6-AEF4-E3EFAE1F0A41}"/>
  </bookViews>
  <sheets>
    <sheet name="Por Vendedor" sheetId="1" r:id="rId1"/>
    <sheet name="DDD" sheetId="6" r:id="rId2"/>
    <sheet name="Estado" sheetId="2" r:id="rId3"/>
    <sheet name="Orçamentos x Vendas" sheetId="4" r:id="rId4"/>
    <sheet name="Loja Virtual" sheetId="7" r:id="rId5"/>
  </sheets>
  <externalReferences>
    <externalReference r:id="rId6"/>
  </externalReferences>
  <definedNames>
    <definedName name="_xlnm._FilterDatabase" localSheetId="1" hidden="1">DDD!$B$3:$D$3</definedName>
    <definedName name="_xlnm._FilterDatabase" localSheetId="2" hidden="1">Estado!$B$3:$C$3</definedName>
    <definedName name="_xlnm._FilterDatabase" localSheetId="4" hidden="1">'Loja Virtual'!$B$3:$B$3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F14" i="7" l="1"/>
  <c r="F13" i="7"/>
  <c r="F12" i="7"/>
  <c r="F11" i="7"/>
  <c r="F10" i="7"/>
  <c r="F9" i="7"/>
  <c r="F8" i="7"/>
  <c r="F7" i="7"/>
  <c r="F6" i="7"/>
  <c r="F5" i="7"/>
  <c r="F4" i="7"/>
  <c r="O4" i="2"/>
  <c r="O5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19" i="2"/>
  <c r="M19" i="2"/>
  <c r="L19" i="2"/>
  <c r="K19" i="2"/>
  <c r="J19" i="2"/>
  <c r="I19" i="2"/>
  <c r="H19" i="2"/>
  <c r="G19" i="2"/>
  <c r="F19" i="2"/>
  <c r="E19" i="2"/>
  <c r="D19" i="2"/>
  <c r="N18" i="2"/>
  <c r="M18" i="2"/>
  <c r="L18" i="2"/>
  <c r="K18" i="2"/>
  <c r="J18" i="2"/>
  <c r="I18" i="2"/>
  <c r="H18" i="2"/>
  <c r="G18" i="2"/>
  <c r="F18" i="2"/>
  <c r="E18" i="2"/>
  <c r="D18" i="2"/>
  <c r="N17" i="2"/>
  <c r="M17" i="2"/>
  <c r="L17" i="2"/>
  <c r="K17" i="2"/>
  <c r="J17" i="2"/>
  <c r="I17" i="2"/>
  <c r="H17" i="2"/>
  <c r="G17" i="2"/>
  <c r="F17" i="2"/>
  <c r="E17" i="2"/>
  <c r="D17" i="2"/>
  <c r="N16" i="2"/>
  <c r="M16" i="2"/>
  <c r="L16" i="2"/>
  <c r="K16" i="2"/>
  <c r="J16" i="2"/>
  <c r="I16" i="2"/>
  <c r="H16" i="2"/>
  <c r="G16" i="2"/>
  <c r="F16" i="2"/>
  <c r="E16" i="2"/>
  <c r="D16" i="2"/>
  <c r="N15" i="2"/>
  <c r="M15" i="2"/>
  <c r="L15" i="2"/>
  <c r="K15" i="2"/>
  <c r="J15" i="2"/>
  <c r="I15" i="2"/>
  <c r="H15" i="2"/>
  <c r="G15" i="2"/>
  <c r="F15" i="2"/>
  <c r="E15" i="2"/>
  <c r="D15" i="2"/>
  <c r="N14" i="2"/>
  <c r="M14" i="2"/>
  <c r="L14" i="2"/>
  <c r="K14" i="2"/>
  <c r="J14" i="2"/>
  <c r="I14" i="2"/>
  <c r="H14" i="2"/>
  <c r="G14" i="2"/>
  <c r="F14" i="2"/>
  <c r="E14" i="2"/>
  <c r="D14" i="2"/>
  <c r="N13" i="2"/>
  <c r="M13" i="2"/>
  <c r="L13" i="2"/>
  <c r="K13" i="2"/>
  <c r="J13" i="2"/>
  <c r="I13" i="2"/>
  <c r="H13" i="2"/>
  <c r="G13" i="2"/>
  <c r="F13" i="2"/>
  <c r="E13" i="2"/>
  <c r="D13" i="2"/>
  <c r="N12" i="2"/>
  <c r="M12" i="2"/>
  <c r="L12" i="2"/>
  <c r="K12" i="2"/>
  <c r="J12" i="2"/>
  <c r="I12" i="2"/>
  <c r="H12" i="2"/>
  <c r="G12" i="2"/>
  <c r="F12" i="2"/>
  <c r="E12" i="2"/>
  <c r="D12" i="2"/>
  <c r="N11" i="2"/>
  <c r="M11" i="2"/>
  <c r="L11" i="2"/>
  <c r="K11" i="2"/>
  <c r="J11" i="2"/>
  <c r="I11" i="2"/>
  <c r="H11" i="2"/>
  <c r="G11" i="2"/>
  <c r="F11" i="2"/>
  <c r="E11" i="2"/>
  <c r="D11" i="2"/>
  <c r="N10" i="2"/>
  <c r="M10" i="2"/>
  <c r="L10" i="2"/>
  <c r="K10" i="2"/>
  <c r="J10" i="2"/>
  <c r="I10" i="2"/>
  <c r="H10" i="2"/>
  <c r="G10" i="2"/>
  <c r="F10" i="2"/>
  <c r="E10" i="2"/>
  <c r="D10" i="2"/>
  <c r="N9" i="2"/>
  <c r="M9" i="2"/>
  <c r="L9" i="2"/>
  <c r="K9" i="2"/>
  <c r="J9" i="2"/>
  <c r="I9" i="2"/>
  <c r="H9" i="2"/>
  <c r="G9" i="2"/>
  <c r="F9" i="2"/>
  <c r="E9" i="2"/>
  <c r="D9" i="2"/>
  <c r="N8" i="2"/>
  <c r="M8" i="2"/>
  <c r="L8" i="2"/>
  <c r="K8" i="2"/>
  <c r="J8" i="2"/>
  <c r="I8" i="2"/>
  <c r="H8" i="2"/>
  <c r="G8" i="2"/>
  <c r="F8" i="2"/>
  <c r="E8" i="2"/>
  <c r="D8" i="2"/>
  <c r="N7" i="2"/>
  <c r="M7" i="2"/>
  <c r="L7" i="2"/>
  <c r="K7" i="2"/>
  <c r="J7" i="2"/>
  <c r="I7" i="2"/>
  <c r="H7" i="2"/>
  <c r="G7" i="2"/>
  <c r="F7" i="2"/>
  <c r="E7" i="2"/>
  <c r="D7" i="2"/>
  <c r="N6" i="2"/>
  <c r="M6" i="2"/>
  <c r="L6" i="2"/>
  <c r="K6" i="2"/>
  <c r="J6" i="2"/>
  <c r="I6" i="2"/>
  <c r="H6" i="2"/>
  <c r="G6" i="2"/>
  <c r="F6" i="2"/>
  <c r="E6" i="2"/>
  <c r="D6" i="2"/>
  <c r="N5" i="2"/>
  <c r="M5" i="2"/>
  <c r="L5" i="2"/>
  <c r="K5" i="2"/>
  <c r="J5" i="2"/>
  <c r="I5" i="2"/>
  <c r="H5" i="2"/>
  <c r="G5" i="2"/>
  <c r="F5" i="2"/>
  <c r="E5" i="2"/>
  <c r="D5" i="2"/>
  <c r="N4" i="2"/>
  <c r="M4" i="2"/>
  <c r="L4" i="2"/>
  <c r="K4" i="2"/>
  <c r="J4" i="2"/>
  <c r="I4" i="2"/>
  <c r="H4" i="2"/>
  <c r="G4" i="2"/>
  <c r="F4" i="2"/>
  <c r="E4" i="2"/>
  <c r="D4" i="2"/>
  <c r="Q4" i="6"/>
  <c r="AP14" i="4" l="1"/>
  <c r="AP15" i="4"/>
  <c r="AP16" i="4"/>
  <c r="AP17" i="4"/>
  <c r="AO15" i="4"/>
  <c r="AO16" i="4"/>
  <c r="AO17" i="4"/>
  <c r="AO14" i="4"/>
  <c r="AP8" i="4"/>
  <c r="AP6" i="4"/>
  <c r="AP7" i="4"/>
  <c r="AP5" i="4"/>
  <c r="AN17" i="4" l="1"/>
  <c r="AN16" i="4"/>
  <c r="AN15" i="4"/>
  <c r="AN14" i="4"/>
  <c r="AA8" i="1"/>
  <c r="AL8" i="4" s="1"/>
  <c r="AA7" i="1"/>
  <c r="AL7" i="4" s="1"/>
  <c r="AA6" i="1"/>
  <c r="AL6" i="4" s="1"/>
  <c r="AA5" i="1"/>
  <c r="AL5" i="4" s="1"/>
  <c r="AB8" i="1"/>
  <c r="AB7" i="1"/>
  <c r="AB6" i="1"/>
  <c r="AB5" i="1"/>
  <c r="AN7" i="4" l="1"/>
  <c r="AO7" i="4"/>
  <c r="AN6" i="4"/>
  <c r="AO6" i="4"/>
  <c r="AN5" i="4"/>
  <c r="AO5" i="4"/>
  <c r="AN8" i="4"/>
  <c r="AO8" i="4"/>
  <c r="E16" i="7"/>
  <c r="D16" i="7"/>
  <c r="F15" i="7"/>
  <c r="AK17" i="4" l="1"/>
  <c r="AK16" i="4"/>
  <c r="AK15" i="4"/>
  <c r="AK14" i="4"/>
  <c r="AH17" i="4"/>
  <c r="AH16" i="4"/>
  <c r="AH15" i="4"/>
  <c r="AH14" i="4"/>
  <c r="AE17" i="4"/>
  <c r="AE16" i="4"/>
  <c r="AE15" i="4"/>
  <c r="AE14" i="4"/>
  <c r="AB17" i="4"/>
  <c r="AB16" i="4"/>
  <c r="AB15" i="4"/>
  <c r="AB14" i="4"/>
  <c r="Y17" i="4"/>
  <c r="Y16" i="4"/>
  <c r="Y15" i="4"/>
  <c r="Y14" i="4"/>
  <c r="V17" i="4"/>
  <c r="V16" i="4"/>
  <c r="V15" i="4"/>
  <c r="V14" i="4"/>
  <c r="S17" i="4"/>
  <c r="S16" i="4"/>
  <c r="S15" i="4"/>
  <c r="S14" i="4"/>
  <c r="P17" i="4"/>
  <c r="P16" i="4"/>
  <c r="P15" i="4"/>
  <c r="P14" i="4"/>
  <c r="M17" i="4"/>
  <c r="M16" i="4"/>
  <c r="M15" i="4"/>
  <c r="M14" i="4"/>
  <c r="J17" i="4"/>
  <c r="J16" i="4"/>
  <c r="J15" i="4"/>
  <c r="J14" i="4"/>
  <c r="G16" i="4"/>
  <c r="G15" i="4"/>
  <c r="G14" i="4"/>
  <c r="AK8" i="4"/>
  <c r="AK7" i="4"/>
  <c r="AK6" i="4"/>
  <c r="AK5" i="4"/>
  <c r="AH8" i="4"/>
  <c r="AH7" i="4"/>
  <c r="AH6" i="4"/>
  <c r="AH5" i="4"/>
  <c r="AE8" i="4"/>
  <c r="AE7" i="4"/>
  <c r="AE6" i="4"/>
  <c r="AE5" i="4"/>
  <c r="AB8" i="4"/>
  <c r="AB7" i="4"/>
  <c r="AB6" i="4"/>
  <c r="AB5" i="4"/>
  <c r="Y8" i="4"/>
  <c r="Y7" i="4"/>
  <c r="Y6" i="4"/>
  <c r="Y5" i="4"/>
  <c r="V8" i="4"/>
  <c r="V7" i="4"/>
  <c r="V6" i="4"/>
  <c r="V5" i="4"/>
  <c r="S8" i="4"/>
  <c r="S7" i="4"/>
  <c r="S6" i="4"/>
  <c r="S5" i="4"/>
  <c r="P8" i="4"/>
  <c r="P7" i="4"/>
  <c r="P6" i="4"/>
  <c r="P5" i="4"/>
  <c r="M8" i="4"/>
  <c r="M7" i="4"/>
  <c r="M6" i="4"/>
  <c r="M5" i="4"/>
  <c r="J8" i="4"/>
  <c r="J7" i="4"/>
  <c r="J6" i="4"/>
  <c r="J5" i="4"/>
  <c r="G7" i="4"/>
  <c r="G6" i="4"/>
  <c r="G5" i="4"/>
  <c r="AQ16" i="4"/>
  <c r="AQ14" i="4" l="1"/>
  <c r="AQ17" i="4"/>
  <c r="AQ15" i="4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12" i="2"/>
  <c r="O11" i="2"/>
  <c r="O10" i="2"/>
  <c r="O9" i="2"/>
  <c r="O8" i="2"/>
  <c r="O7" i="2"/>
  <c r="O6" i="2"/>
  <c r="P71" i="6"/>
  <c r="O71" i="6"/>
  <c r="N71" i="6"/>
  <c r="M71" i="6"/>
  <c r="L71" i="6"/>
  <c r="K71" i="6"/>
  <c r="J71" i="6"/>
  <c r="I71" i="6"/>
  <c r="H71" i="6"/>
  <c r="G71" i="6"/>
  <c r="F71" i="6"/>
  <c r="E71" i="6"/>
  <c r="AQ8" i="4"/>
  <c r="AQ7" i="4"/>
  <c r="AQ6" i="4"/>
  <c r="AQ5" i="4"/>
  <c r="Q71" i="6" l="1"/>
  <c r="O31" i="2"/>
  <c r="AD8" i="1"/>
  <c r="AD7" i="1"/>
  <c r="AD6" i="1"/>
  <c r="AC6" i="1"/>
  <c r="AD5" i="1"/>
  <c r="G31" i="2" l="1"/>
  <c r="F31" i="2"/>
  <c r="H31" i="2"/>
  <c r="D31" i="2"/>
  <c r="N31" i="2"/>
  <c r="J31" i="2"/>
  <c r="M31" i="2"/>
  <c r="E31" i="2"/>
  <c r="L31" i="2"/>
  <c r="K31" i="2"/>
  <c r="I31" i="2"/>
  <c r="AC7" i="1"/>
  <c r="AC8" i="1"/>
  <c r="AC5" i="1"/>
</calcChain>
</file>

<file path=xl/sharedStrings.xml><?xml version="1.0" encoding="utf-8"?>
<sst xmlns="http://schemas.openxmlformats.org/spreadsheetml/2006/main" count="361" uniqueCount="66">
  <si>
    <t>Quadro de Vendas</t>
  </si>
  <si>
    <t>Vendedor</t>
  </si>
  <si>
    <t>Lorraine Mendes</t>
  </si>
  <si>
    <t>Luana Cruz</t>
  </si>
  <si>
    <t>Lucas Soares</t>
  </si>
  <si>
    <t>Priscila Vieira</t>
  </si>
  <si>
    <t>Vendas</t>
  </si>
  <si>
    <t>Meta</t>
  </si>
  <si>
    <t>Meta 12 Meses</t>
  </si>
  <si>
    <t>DDD</t>
  </si>
  <si>
    <t>SP</t>
  </si>
  <si>
    <t>RJ</t>
  </si>
  <si>
    <t>ES</t>
  </si>
  <si>
    <t>MG</t>
  </si>
  <si>
    <t>PR</t>
  </si>
  <si>
    <t>SC</t>
  </si>
  <si>
    <t>RS</t>
  </si>
  <si>
    <t>DF</t>
  </si>
  <si>
    <t>GO</t>
  </si>
  <si>
    <t>TO</t>
  </si>
  <si>
    <t>MT</t>
  </si>
  <si>
    <t>MS</t>
  </si>
  <si>
    <t>AC</t>
  </si>
  <si>
    <t>RO</t>
  </si>
  <si>
    <t>BA</t>
  </si>
  <si>
    <t>SE</t>
  </si>
  <si>
    <t>PE</t>
  </si>
  <si>
    <t>AL</t>
  </si>
  <si>
    <t>PB</t>
  </si>
  <si>
    <t>RN</t>
  </si>
  <si>
    <t>CE</t>
  </si>
  <si>
    <t>PI</t>
  </si>
  <si>
    <t>PA</t>
  </si>
  <si>
    <t>AM</t>
  </si>
  <si>
    <t>RR</t>
  </si>
  <si>
    <t>AP</t>
  </si>
  <si>
    <t>MA</t>
  </si>
  <si>
    <t>ESTADO</t>
  </si>
  <si>
    <t xml:space="preserve"> </t>
  </si>
  <si>
    <t>ÁREA</t>
  </si>
  <si>
    <t>vendas 2</t>
  </si>
  <si>
    <t>vendas 4</t>
  </si>
  <si>
    <t>vendas 3</t>
  </si>
  <si>
    <t>vendas 7</t>
  </si>
  <si>
    <t>Orçamentos x Vendas - Por Valor</t>
  </si>
  <si>
    <t>Orçamentos</t>
  </si>
  <si>
    <t>Orçamentos x Vendas - Por Quantidade</t>
  </si>
  <si>
    <t>jan/24</t>
  </si>
  <si>
    <t>fev/24</t>
  </si>
  <si>
    <t>mar/24</t>
  </si>
  <si>
    <t>abr/24</t>
  </si>
  <si>
    <t>mai/24</t>
  </si>
  <si>
    <t>jun/24</t>
  </si>
  <si>
    <t>jul/24</t>
  </si>
  <si>
    <t>ago/24</t>
  </si>
  <si>
    <t>set/24</t>
  </si>
  <si>
    <t>out/24</t>
  </si>
  <si>
    <t>nov/24</t>
  </si>
  <si>
    <t>Total</t>
  </si>
  <si>
    <t>Conversão</t>
  </si>
  <si>
    <t>Loja Virtual</t>
  </si>
  <si>
    <t>Período</t>
  </si>
  <si>
    <t>Valor</t>
  </si>
  <si>
    <t>Quant</t>
  </si>
  <si>
    <t>Ticket Médio</t>
  </si>
  <si>
    <t>dez/24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</si>
</sst>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2" tint="-0.749992370372631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14993743705557422"/>
      </left>
      <right style="thin">
        <color theme="0" tint="-0.14996795556505021"/>
      </right>
      <top style="medium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 style="medium">
        <color theme="0" tint="-0.14993743705557422"/>
      </top>
      <bottom style="thin">
        <color theme="0" tint="-0.14990691854609822"/>
      </bottom>
      <diagonal/>
    </border>
    <border>
      <left/>
      <right style="medium">
        <color theme="0" tint="-0.14993743705557422"/>
      </right>
      <top style="medium">
        <color theme="0" tint="-0.14993743705557422"/>
      </top>
      <bottom style="thin">
        <color theme="0" tint="-0.14990691854609822"/>
      </bottom>
      <diagonal/>
    </border>
    <border>
      <left style="medium">
        <color theme="0" tint="-0.14990691854609822"/>
      </left>
      <right style="thin">
        <color theme="0" tint="-0.14990691854609822"/>
      </right>
      <top style="medium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 style="thin">
        <color theme="0" tint="-0.14996795556505021"/>
      </right>
      <top/>
      <bottom style="medium">
        <color rgb="FF01B1A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rgb="FF01B1A3"/>
      </bottom>
      <diagonal/>
    </border>
    <border>
      <left style="thin">
        <color theme="0" tint="-0.14996795556505021"/>
      </left>
      <right/>
      <top/>
      <bottom style="medium">
        <color rgb="FF01B1A3"/>
      </bottom>
      <diagonal/>
    </border>
    <border>
      <left style="thin">
        <color theme="0" tint="-0.14996795556505021"/>
      </left>
      <right style="medium">
        <color theme="0" tint="-0.14993743705557422"/>
      </right>
      <top/>
      <bottom style="medium">
        <color rgb="FF01B1A3"/>
      </bottom>
      <diagonal/>
    </border>
    <border>
      <left style="medium">
        <color theme="0" tint="-0.14990691854609822"/>
      </left>
      <right style="thin">
        <color theme="0" tint="-0.14990691854609822"/>
      </right>
      <top/>
      <bottom style="medium">
        <color rgb="FF01B1A3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medium">
        <color rgb="FF01B1A3"/>
      </bottom>
      <diagonal/>
    </border>
    <border>
      <left style="medium">
        <color theme="0" tint="-0.1499374370555742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93743705557422"/>
      </right>
      <top/>
      <bottom style="thin">
        <color theme="0" tint="-0.14993743705557422"/>
      </bottom>
      <diagonal/>
    </border>
    <border>
      <left style="medium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906918546098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87640003662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medium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rgb="FF009999"/>
      </bottom>
      <diagonal/>
    </border>
    <border>
      <left/>
      <right style="medium">
        <color theme="0" tint="-0.34998626667073579"/>
      </right>
      <top/>
      <bottom style="medium">
        <color rgb="FF00999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2" tint="-0.499984740745262"/>
      </left>
      <right style="thin">
        <color theme="0" tint="-0.14996795556505021"/>
      </right>
      <top/>
      <bottom style="medium">
        <color rgb="FF01B1A3"/>
      </bottom>
      <diagonal/>
    </border>
    <border>
      <left style="thin">
        <color theme="0" tint="-0.14996795556505021"/>
      </left>
      <right style="medium">
        <color theme="2" tint="-0.499984740745262"/>
      </right>
      <top/>
      <bottom style="medium">
        <color rgb="FF01B1A3"/>
      </bottom>
      <diagonal/>
    </border>
    <border>
      <left style="medium">
        <color theme="2" tint="-0.49998474074526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medium">
        <color theme="2" tint="-0.49998474074526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2" tint="-0.499984740745262"/>
      </left>
      <right style="thin">
        <color theme="0" tint="-0.14993743705557422"/>
      </right>
      <top style="thin">
        <color theme="0" tint="-0.1499374370555742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thin">
        <color theme="0" tint="-0.1499069185460982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thin">
        <color theme="0" tint="-0.14990691854609822"/>
      </bottom>
      <diagonal/>
    </border>
    <border>
      <left style="medium">
        <color theme="2" tint="-0.499984740745262"/>
      </left>
      <right style="thin">
        <color theme="0" tint="-0.1499069185460982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thin">
        <color theme="0" tint="-0.14990691854609822"/>
      </right>
      <top/>
      <bottom style="medium">
        <color rgb="FF01B1A3"/>
      </bottom>
      <diagonal/>
    </border>
    <border>
      <left/>
      <right/>
      <top style="medium">
        <color theme="2" tint="-0.49998474074526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thin">
        <color theme="0" tint="-0.14990691854609822"/>
      </left>
      <right/>
      <top style="medium">
        <color theme="2" tint="-0.499984740745262"/>
      </top>
      <bottom/>
      <diagonal/>
    </border>
    <border>
      <left style="thin">
        <color theme="0" tint="-0.14990691854609822"/>
      </left>
      <right/>
      <top/>
      <bottom style="medium">
        <color rgb="FF01B1A3"/>
      </bottom>
      <diagonal/>
    </border>
    <border>
      <left style="thin">
        <color theme="0" tint="-0.14996795556505021"/>
      </left>
      <right style="medium">
        <color theme="2" tint="-0.499984740745262"/>
      </right>
      <top style="thin">
        <color theme="0" tint="-0.14990691854609822"/>
      </top>
      <bottom style="medium">
        <color rgb="FF01B1A3"/>
      </bottom>
      <diagonal/>
    </border>
    <border>
      <left style="thin">
        <color theme="0" tint="-0.14996795556505021"/>
      </left>
      <right style="medium">
        <color theme="2" tint="-0.49998474074526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medium">
        <color theme="2" tint="-0.499984740745262"/>
      </bottom>
      <diagonal/>
    </border>
    <border>
      <left style="thin">
        <color theme="0" tint="-0.14996795556505021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0" tint="-0.14990691854609822"/>
      </left>
      <right/>
      <top style="medium">
        <color theme="0" tint="-0.14993743705557422"/>
      </top>
      <bottom style="thin">
        <color theme="0" tint="-0.14990691854609822"/>
      </bottom>
      <diagonal/>
    </border>
    <border>
      <left/>
      <right style="medium">
        <color theme="0" tint="-0.14990691854609822"/>
      </right>
      <top style="medium">
        <color theme="0" tint="-0.14993743705557422"/>
      </top>
      <bottom style="thin">
        <color theme="0" tint="-0.14990691854609822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43" fontId="0" fillId="33" borderId="33" xfId="1" applyFont="1" applyFill="1" applyBorder="1" applyAlignment="1" applyProtection="1">
      <alignment vertical="center"/>
      <protection hidden="1"/>
    </xf>
    <xf numFmtId="43" fontId="0" fillId="33" borderId="34" xfId="1" applyFont="1" applyFill="1" applyBorder="1" applyAlignment="1" applyProtection="1">
      <alignment vertical="center"/>
      <protection hidden="1"/>
    </xf>
    <xf numFmtId="43" fontId="0" fillId="33" borderId="38" xfId="1" applyFont="1" applyFill="1" applyBorder="1" applyAlignment="1" applyProtection="1">
      <alignment vertical="center"/>
      <protection hidden="1"/>
    </xf>
    <xf numFmtId="0" fontId="0" fillId="33" borderId="0" xfId="0" applyFill="1"/>
    <xf numFmtId="0" fontId="18" fillId="33" borderId="17" xfId="0" applyFont="1" applyFill="1" applyBorder="1" applyAlignment="1">
      <alignment horizontal="center" vertical="center"/>
    </xf>
    <xf numFmtId="43" fontId="0" fillId="33" borderId="25" xfId="1" applyFont="1" applyFill="1" applyBorder="1" applyAlignment="1" applyProtection="1">
      <alignment vertical="center"/>
      <protection locked="0"/>
    </xf>
    <xf numFmtId="43" fontId="0" fillId="33" borderId="27" xfId="1" applyFont="1" applyFill="1" applyBorder="1" applyAlignment="1" applyProtection="1">
      <alignment vertical="center"/>
      <protection locked="0"/>
    </xf>
    <xf numFmtId="43" fontId="0" fillId="33" borderId="29" xfId="1" applyFont="1" applyFill="1" applyBorder="1" applyAlignment="1" applyProtection="1">
      <alignment vertical="center"/>
      <protection locked="0"/>
    </xf>
    <xf numFmtId="0" fontId="18" fillId="34" borderId="20" xfId="0" applyFont="1" applyFill="1" applyBorder="1" applyAlignment="1">
      <alignment horizontal="center" vertical="center"/>
    </xf>
    <xf numFmtId="43" fontId="0" fillId="34" borderId="31" xfId="1" applyFont="1" applyFill="1" applyBorder="1" applyAlignment="1" applyProtection="1">
      <alignment vertical="center"/>
      <protection locked="0"/>
    </xf>
    <xf numFmtId="43" fontId="0" fillId="34" borderId="26" xfId="1" applyFont="1" applyFill="1" applyBorder="1" applyAlignment="1" applyProtection="1">
      <alignment vertical="center"/>
      <protection locked="0"/>
    </xf>
    <xf numFmtId="43" fontId="0" fillId="34" borderId="28" xfId="1" applyFont="1" applyFill="1" applyBorder="1" applyAlignment="1" applyProtection="1">
      <alignment vertical="center"/>
      <protection locked="0"/>
    </xf>
    <xf numFmtId="43" fontId="0" fillId="34" borderId="30" xfId="1" applyFont="1" applyFill="1" applyBorder="1" applyAlignment="1" applyProtection="1">
      <alignment vertical="center"/>
      <protection locked="0"/>
    </xf>
    <xf numFmtId="43" fontId="21" fillId="33" borderId="40" xfId="1" applyFont="1" applyFill="1" applyBorder="1" applyAlignment="1">
      <alignment horizontal="left"/>
    </xf>
    <xf numFmtId="43" fontId="0" fillId="33" borderId="39" xfId="1" applyFont="1" applyFill="1" applyBorder="1"/>
    <xf numFmtId="0" fontId="16" fillId="33" borderId="39" xfId="0" applyFont="1" applyFill="1" applyBorder="1" applyAlignment="1">
      <alignment horizontal="center" vertical="center"/>
    </xf>
    <xf numFmtId="43" fontId="21" fillId="33" borderId="39" xfId="1" applyFont="1" applyFill="1" applyBorder="1" applyAlignment="1">
      <alignment horizontal="left"/>
    </xf>
    <xf numFmtId="8" fontId="0" fillId="33" borderId="0" xfId="0" applyNumberFormat="1" applyFill="1"/>
    <xf numFmtId="0" fontId="20" fillId="33" borderId="0" xfId="0" applyFont="1" applyFill="1" applyAlignment="1">
      <alignment horizontal="left" vertical="center"/>
    </xf>
    <xf numFmtId="0" fontId="22" fillId="33" borderId="0" xfId="0" applyFont="1" applyFill="1" applyAlignment="1">
      <alignment horizontal="center" vertical="center"/>
    </xf>
    <xf numFmtId="43" fontId="21" fillId="33" borderId="42" xfId="1" applyFont="1" applyFill="1" applyBorder="1" applyAlignment="1">
      <alignment horizontal="left"/>
    </xf>
    <xf numFmtId="0" fontId="16" fillId="33" borderId="40" xfId="0" applyFont="1" applyFill="1" applyBorder="1" applyAlignment="1">
      <alignment horizontal="center" vertical="center"/>
    </xf>
    <xf numFmtId="0" fontId="16" fillId="33" borderId="42" xfId="0" applyFont="1" applyFill="1" applyBorder="1" applyAlignment="1">
      <alignment horizontal="center" vertical="center"/>
    </xf>
    <xf numFmtId="0" fontId="16" fillId="33" borderId="43" xfId="0" applyFont="1" applyFill="1" applyBorder="1" applyAlignment="1">
      <alignment horizontal="center" vertical="center"/>
    </xf>
    <xf numFmtId="0" fontId="16" fillId="33" borderId="41" xfId="0" applyFont="1" applyFill="1" applyBorder="1" applyAlignment="1">
      <alignment horizontal="center" vertical="center"/>
    </xf>
    <xf numFmtId="0" fontId="16" fillId="33" borderId="44" xfId="0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40" xfId="0" applyFill="1" applyBorder="1" applyAlignment="1">
      <alignment horizontal="center" vertical="center"/>
    </xf>
    <xf numFmtId="0" fontId="0" fillId="33" borderId="39" xfId="0" applyFill="1" applyBorder="1" applyAlignment="1">
      <alignment horizontal="center" vertical="center"/>
    </xf>
    <xf numFmtId="0" fontId="23" fillId="33" borderId="0" xfId="0" applyFont="1" applyFill="1"/>
    <xf numFmtId="0" fontId="24" fillId="33" borderId="0" xfId="0" applyFont="1" applyFill="1"/>
    <xf numFmtId="0" fontId="0" fillId="33" borderId="42" xfId="0" applyFill="1" applyBorder="1" applyAlignment="1">
      <alignment horizontal="center" vertical="center"/>
    </xf>
    <xf numFmtId="0" fontId="22" fillId="33" borderId="45" xfId="0" applyFont="1" applyFill="1" applyBorder="1" applyAlignment="1">
      <alignment horizontal="center" vertical="center"/>
    </xf>
    <xf numFmtId="0" fontId="22" fillId="33" borderId="46" xfId="0" applyFont="1" applyFill="1" applyBorder="1" applyAlignment="1">
      <alignment horizontal="center" vertical="center"/>
    </xf>
    <xf numFmtId="17" fontId="22" fillId="33" borderId="45" xfId="0" applyNumberFormat="1" applyFont="1" applyFill="1" applyBorder="1" applyAlignment="1">
      <alignment horizontal="center" vertical="center"/>
    </xf>
    <xf numFmtId="0" fontId="0" fillId="33" borderId="47" xfId="0" applyFill="1" applyBorder="1" applyAlignment="1">
      <alignment horizontal="center" vertical="center"/>
    </xf>
    <xf numFmtId="0" fontId="16" fillId="33" borderId="48" xfId="0" applyFont="1" applyFill="1" applyBorder="1" applyAlignment="1">
      <alignment horizontal="center" vertical="center"/>
    </xf>
    <xf numFmtId="0" fontId="16" fillId="33" borderId="47" xfId="0" applyFont="1" applyFill="1" applyBorder="1" applyAlignment="1">
      <alignment horizontal="center" vertical="center"/>
    </xf>
    <xf numFmtId="43" fontId="21" fillId="33" borderId="47" xfId="0" applyNumberFormat="1" applyFont="1" applyFill="1" applyBorder="1" applyAlignment="1">
      <alignment horizontal="left"/>
    </xf>
    <xf numFmtId="43" fontId="16" fillId="33" borderId="27" xfId="1" applyFont="1" applyFill="1" applyBorder="1" applyAlignment="1" applyProtection="1">
      <alignment vertical="center"/>
      <protection hidden="1"/>
    </xf>
    <xf numFmtId="43" fontId="16" fillId="34" borderId="32" xfId="1" applyFont="1" applyFill="1" applyBorder="1" applyAlignment="1" applyProtection="1">
      <alignment vertical="center"/>
      <protection locked="0"/>
    </xf>
    <xf numFmtId="43" fontId="16" fillId="33" borderId="34" xfId="1" applyFont="1" applyFill="1" applyBorder="1" applyAlignment="1" applyProtection="1">
      <alignment vertical="center"/>
      <protection hidden="1"/>
    </xf>
    <xf numFmtId="43" fontId="16" fillId="34" borderId="35" xfId="1" applyFont="1" applyFill="1" applyBorder="1" applyAlignment="1" applyProtection="1">
      <alignment vertical="center"/>
      <protection locked="0"/>
    </xf>
    <xf numFmtId="43" fontId="16" fillId="34" borderId="35" xfId="1" applyFont="1" applyFill="1" applyBorder="1" applyAlignment="1" applyProtection="1">
      <alignment vertical="center"/>
      <protection hidden="1"/>
    </xf>
    <xf numFmtId="43" fontId="25" fillId="35" borderId="47" xfId="1" applyFont="1" applyFill="1" applyBorder="1" applyAlignment="1">
      <alignment horizontal="left"/>
    </xf>
    <xf numFmtId="164" fontId="0" fillId="34" borderId="30" xfId="1" applyNumberFormat="1" applyFont="1" applyFill="1" applyBorder="1" applyAlignment="1" applyProtection="1">
      <alignment vertical="center"/>
      <protection locked="0"/>
    </xf>
    <xf numFmtId="0" fontId="18" fillId="33" borderId="49" xfId="0" applyFont="1" applyFill="1" applyBorder="1" applyAlignment="1">
      <alignment horizontal="center" vertical="center"/>
    </xf>
    <xf numFmtId="43" fontId="0" fillId="33" borderId="51" xfId="1" applyFont="1" applyFill="1" applyBorder="1" applyAlignment="1" applyProtection="1">
      <alignment vertical="center"/>
      <protection locked="0"/>
    </xf>
    <xf numFmtId="43" fontId="0" fillId="33" borderId="52" xfId="1" applyFont="1" applyFill="1" applyBorder="1" applyAlignment="1" applyProtection="1">
      <alignment vertical="center"/>
      <protection hidden="1"/>
    </xf>
    <xf numFmtId="43" fontId="0" fillId="33" borderId="53" xfId="1" applyFont="1" applyFill="1" applyBorder="1" applyAlignment="1" applyProtection="1">
      <alignment vertical="center"/>
      <protection hidden="1"/>
    </xf>
    <xf numFmtId="43" fontId="0" fillId="33" borderId="51" xfId="1" applyFont="1" applyFill="1" applyBorder="1" applyAlignment="1" applyProtection="1">
      <alignment vertical="center"/>
      <protection hidden="1"/>
    </xf>
    <xf numFmtId="0" fontId="18" fillId="34" borderId="19" xfId="0" applyFont="1" applyFill="1" applyBorder="1" applyAlignment="1">
      <alignment horizontal="center" vertical="center"/>
    </xf>
    <xf numFmtId="164" fontId="0" fillId="33" borderId="52" xfId="1" applyNumberFormat="1" applyFont="1" applyFill="1" applyBorder="1" applyAlignment="1" applyProtection="1">
      <alignment vertical="center"/>
      <protection hidden="1"/>
    </xf>
    <xf numFmtId="164" fontId="0" fillId="33" borderId="53" xfId="1" applyNumberFormat="1" applyFont="1" applyFill="1" applyBorder="1" applyAlignment="1" applyProtection="1">
      <alignment vertical="center"/>
      <protection hidden="1"/>
    </xf>
    <xf numFmtId="164" fontId="0" fillId="33" borderId="51" xfId="1" applyNumberFormat="1" applyFont="1" applyFill="1" applyBorder="1" applyAlignment="1" applyProtection="1">
      <alignment vertical="center"/>
      <protection locked="0"/>
    </xf>
    <xf numFmtId="164" fontId="0" fillId="34" borderId="59" xfId="1" applyNumberFormat="1" applyFont="1" applyFill="1" applyBorder="1" applyAlignment="1" applyProtection="1">
      <alignment vertical="center"/>
      <protection locked="0"/>
    </xf>
    <xf numFmtId="43" fontId="0" fillId="34" borderId="59" xfId="1" applyFont="1" applyFill="1" applyBorder="1" applyAlignment="1" applyProtection="1">
      <alignment vertical="center"/>
      <protection locked="0"/>
    </xf>
    <xf numFmtId="0" fontId="18" fillId="33" borderId="64" xfId="0" applyFont="1" applyFill="1" applyBorder="1" applyAlignment="1">
      <alignment horizontal="center" vertical="center"/>
    </xf>
    <xf numFmtId="10" fontId="0" fillId="33" borderId="65" xfId="44" applyNumberFormat="1" applyFont="1" applyFill="1" applyBorder="1" applyAlignment="1" applyProtection="1">
      <alignment vertical="center"/>
      <protection locked="0"/>
    </xf>
    <xf numFmtId="43" fontId="0" fillId="33" borderId="66" xfId="1" applyFont="1" applyFill="1" applyBorder="1" applyAlignment="1" applyProtection="1">
      <alignment vertical="center"/>
      <protection locked="0"/>
    </xf>
    <xf numFmtId="10" fontId="0" fillId="33" borderId="68" xfId="44" applyNumberFormat="1" applyFont="1" applyFill="1" applyBorder="1" applyAlignment="1" applyProtection="1">
      <alignment vertical="center"/>
      <protection locked="0"/>
    </xf>
    <xf numFmtId="10" fontId="0" fillId="33" borderId="69" xfId="44" applyNumberFormat="1" applyFont="1" applyFill="1" applyBorder="1" applyAlignment="1" applyProtection="1">
      <alignment vertical="center"/>
      <protection locked="0"/>
    </xf>
    <xf numFmtId="0" fontId="18" fillId="33" borderId="19" xfId="0" applyFont="1" applyFill="1" applyBorder="1" applyAlignment="1">
      <alignment horizontal="center" vertical="center"/>
    </xf>
    <xf numFmtId="43" fontId="0" fillId="33" borderId="69" xfId="1" applyFont="1" applyFill="1" applyBorder="1" applyAlignment="1" applyProtection="1">
      <alignment vertical="center"/>
      <protection locked="0"/>
    </xf>
    <xf numFmtId="164" fontId="0" fillId="33" borderId="69" xfId="1" applyNumberFormat="1" applyFont="1" applyFill="1" applyBorder="1" applyAlignment="1" applyProtection="1">
      <alignment vertical="center"/>
      <protection locked="0"/>
    </xf>
    <xf numFmtId="10" fontId="0" fillId="33" borderId="66" xfId="44" applyNumberFormat="1" applyFont="1" applyFill="1" applyBorder="1" applyAlignment="1" applyProtection="1">
      <alignment vertical="center"/>
      <protection locked="0"/>
    </xf>
    <xf numFmtId="17" fontId="21" fillId="33" borderId="42" xfId="1" applyNumberFormat="1" applyFont="1" applyFill="1" applyBorder="1" applyAlignment="1">
      <alignment horizontal="center" vertical="center"/>
    </xf>
    <xf numFmtId="164" fontId="21" fillId="33" borderId="40" xfId="1" applyNumberFormat="1" applyFont="1" applyFill="1" applyBorder="1" applyAlignment="1">
      <alignment horizontal="left"/>
    </xf>
    <xf numFmtId="43" fontId="26" fillId="33" borderId="42" xfId="1" applyFont="1" applyFill="1" applyBorder="1" applyAlignment="1">
      <alignment horizontal="left"/>
    </xf>
    <xf numFmtId="164" fontId="26" fillId="33" borderId="42" xfId="1" applyNumberFormat="1" applyFont="1" applyFill="1" applyBorder="1" applyAlignment="1">
      <alignment horizontal="left"/>
    </xf>
    <xf numFmtId="0" fontId="18" fillId="33" borderId="15" xfId="0" applyFont="1" applyFill="1" applyBorder="1" applyAlignment="1" applyProtection="1">
      <alignment horizontal="center" vertical="center"/>
      <protection hidden="1"/>
    </xf>
    <xf numFmtId="0" fontId="18" fillId="33" borderId="21" xfId="0" applyFont="1" applyFill="1" applyBorder="1" applyAlignment="1" applyProtection="1">
      <alignment horizontal="center" vertical="center"/>
      <protection hidden="1"/>
    </xf>
    <xf numFmtId="0" fontId="18" fillId="34" borderId="16" xfId="0" applyFont="1" applyFill="1" applyBorder="1" applyAlignment="1" applyProtection="1">
      <alignment horizontal="center" vertical="center" wrapText="1"/>
      <protection hidden="1"/>
    </xf>
    <xf numFmtId="0" fontId="18" fillId="34" borderId="22" xfId="0" applyFont="1" applyFill="1" applyBorder="1" applyAlignment="1" applyProtection="1">
      <alignment horizontal="center" vertical="center" wrapText="1"/>
      <protection hidden="1"/>
    </xf>
    <xf numFmtId="3" fontId="16" fillId="33" borderId="23" xfId="0" applyNumberFormat="1" applyFont="1" applyFill="1" applyBorder="1" applyAlignment="1" applyProtection="1">
      <alignment horizontal="left" vertical="center"/>
      <protection hidden="1"/>
    </xf>
    <xf numFmtId="3" fontId="16" fillId="33" borderId="24" xfId="0" applyNumberFormat="1" applyFont="1" applyFill="1" applyBorder="1" applyAlignment="1" applyProtection="1">
      <alignment horizontal="left" vertical="center"/>
      <protection hidden="1"/>
    </xf>
    <xf numFmtId="3" fontId="16" fillId="33" borderId="36" xfId="0" applyNumberFormat="1" applyFont="1" applyFill="1" applyBorder="1" applyAlignment="1" applyProtection="1">
      <alignment horizontal="left" vertical="center"/>
      <protection hidden="1"/>
    </xf>
    <xf numFmtId="3" fontId="16" fillId="33" borderId="37" xfId="0" applyNumberFormat="1" applyFont="1" applyFill="1" applyBorder="1" applyAlignment="1" applyProtection="1">
      <alignment horizontal="left" vertical="center"/>
      <protection hidden="1"/>
    </xf>
    <xf numFmtId="17" fontId="18" fillId="33" borderId="13" xfId="0" applyNumberFormat="1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0" xfId="0" applyFont="1" applyFill="1" applyBorder="1" applyAlignment="1" applyProtection="1">
      <alignment horizontal="center" vertical="center"/>
      <protection hidden="1"/>
    </xf>
    <xf numFmtId="0" fontId="18" fillId="33" borderId="11" xfId="0" applyFont="1" applyFill="1" applyBorder="1" applyAlignment="1" applyProtection="1">
      <alignment horizontal="center" vertical="center"/>
      <protection hidden="1"/>
    </xf>
    <xf numFmtId="0" fontId="18" fillId="33" borderId="12" xfId="0" applyFont="1" applyFill="1" applyBorder="1" applyAlignment="1" applyProtection="1">
      <alignment horizontal="center" vertical="center"/>
      <protection hidden="1"/>
    </xf>
    <xf numFmtId="0" fontId="18" fillId="33" borderId="17" xfId="0" applyFont="1" applyFill="1" applyBorder="1" applyAlignment="1" applyProtection="1">
      <alignment horizontal="center" vertical="center"/>
      <protection hidden="1"/>
    </xf>
    <xf numFmtId="0" fontId="18" fillId="33" borderId="18" xfId="0" applyFont="1" applyFill="1" applyBorder="1" applyAlignment="1" applyProtection="1">
      <alignment horizontal="center" vertical="center"/>
      <protection hidden="1"/>
    </xf>
    <xf numFmtId="0" fontId="18" fillId="33" borderId="19" xfId="0" applyFont="1" applyFill="1" applyBorder="1" applyAlignment="1" applyProtection="1">
      <alignment horizontal="center" vertical="center"/>
      <protection hidden="1"/>
    </xf>
    <xf numFmtId="17" fontId="18" fillId="33" borderId="71" xfId="0" applyNumberFormat="1" applyFont="1" applyFill="1" applyBorder="1" applyAlignment="1">
      <alignment horizontal="center" vertical="center"/>
    </xf>
    <xf numFmtId="17" fontId="18" fillId="33" borderId="72" xfId="0" applyNumberFormat="1" applyFont="1" applyFill="1" applyBorder="1" applyAlignment="1">
      <alignment horizontal="center" vertical="center"/>
    </xf>
    <xf numFmtId="17" fontId="18" fillId="33" borderId="14" xfId="0" applyNumberFormat="1" applyFont="1" applyFill="1" applyBorder="1" applyAlignment="1">
      <alignment horizontal="center" vertical="center"/>
    </xf>
    <xf numFmtId="0" fontId="18" fillId="33" borderId="70" xfId="0" applyFont="1" applyFill="1" applyBorder="1" applyAlignment="1">
      <alignment horizontal="center" vertical="center"/>
    </xf>
    <xf numFmtId="0" fontId="18" fillId="33" borderId="50" xfId="0" applyFont="1" applyFill="1" applyBorder="1" applyAlignment="1">
      <alignment horizontal="center" vertical="center"/>
    </xf>
    <xf numFmtId="17" fontId="18" fillId="33" borderId="54" xfId="0" applyNumberFormat="1" applyFont="1" applyFill="1" applyBorder="1" applyAlignment="1">
      <alignment horizontal="center" vertical="center"/>
    </xf>
    <xf numFmtId="17" fontId="18" fillId="33" borderId="58" xfId="0" applyNumberFormat="1" applyFont="1" applyFill="1" applyBorder="1" applyAlignment="1">
      <alignment horizontal="center" vertical="center"/>
    </xf>
    <xf numFmtId="17" fontId="18" fillId="33" borderId="55" xfId="0" applyNumberFormat="1" applyFont="1" applyFill="1" applyBorder="1" applyAlignment="1">
      <alignment horizontal="center" vertical="center"/>
    </xf>
    <xf numFmtId="0" fontId="18" fillId="33" borderId="56" xfId="0" applyFont="1" applyFill="1" applyBorder="1" applyAlignment="1" applyProtection="1">
      <alignment horizontal="center" vertical="center"/>
      <protection hidden="1"/>
    </xf>
    <xf numFmtId="0" fontId="18" fillId="33" borderId="57" xfId="0" applyFont="1" applyFill="1" applyBorder="1" applyAlignment="1" applyProtection="1">
      <alignment horizontal="center" vertical="center"/>
      <protection hidden="1"/>
    </xf>
    <xf numFmtId="0" fontId="18" fillId="36" borderId="62" xfId="0" applyFont="1" applyFill="1" applyBorder="1" applyAlignment="1" applyProtection="1">
      <alignment horizontal="center" vertical="center" wrapText="1"/>
      <protection hidden="1"/>
    </xf>
    <xf numFmtId="0" fontId="18" fillId="36" borderId="63" xfId="0" applyFont="1" applyFill="1" applyBorder="1" applyAlignment="1" applyProtection="1">
      <alignment horizontal="center" vertical="center" wrapText="1"/>
      <protection hidden="1"/>
    </xf>
    <xf numFmtId="0" fontId="18" fillId="34" borderId="62" xfId="0" applyFont="1" applyFill="1" applyBorder="1" applyAlignment="1" applyProtection="1">
      <alignment horizontal="center" vertical="center" wrapText="1"/>
      <protection hidden="1"/>
    </xf>
    <xf numFmtId="0" fontId="18" fillId="34" borderId="63" xfId="0" applyFont="1" applyFill="1" applyBorder="1" applyAlignment="1" applyProtection="1">
      <alignment horizontal="center" vertical="center" wrapText="1"/>
      <protection hidden="1"/>
    </xf>
    <xf numFmtId="17" fontId="18" fillId="33" borderId="61" xfId="0" applyNumberFormat="1" applyFont="1" applyFill="1" applyBorder="1" applyAlignment="1">
      <alignment horizontal="center" vertical="center"/>
    </xf>
    <xf numFmtId="17" fontId="18" fillId="33" borderId="60" xfId="0" applyNumberFormat="1" applyFont="1" applyFill="1" applyBorder="1" applyAlignment="1">
      <alignment horizontal="center" vertical="center"/>
    </xf>
    <xf numFmtId="17" fontId="18" fillId="33" borderId="67" xfId="0" applyNumberFormat="1" applyFont="1" applyFill="1" applyBorder="1" applyAlignment="1">
      <alignment horizontal="center" vertical="center"/>
    </xf>
    <xf numFmtId="3" fontId="0" fillId="33" borderId="36" xfId="0" applyNumberFormat="1" applyFill="1" applyBorder="1" applyAlignment="1" applyProtection="1">
      <alignment horizontal="left" vertical="center"/>
      <protection hidden="1"/>
    </xf>
    <xf numFmtId="3" fontId="0" fillId="33" borderId="37" xfId="0" applyNumberFormat="1" applyFill="1" applyBorder="1" applyAlignment="1" applyProtection="1">
      <alignment horizontal="left" vertical="center"/>
      <protection hidden="1"/>
    </xf>
    <xf numFmtId="3" fontId="0" fillId="33" borderId="23" xfId="0" applyNumberFormat="1" applyFill="1" applyBorder="1" applyAlignment="1" applyProtection="1">
      <alignment horizontal="left" vertical="center"/>
      <protection hidden="1"/>
    </xf>
    <xf numFmtId="3" fontId="0" fillId="33" borderId="24" xfId="0" applyNumberFormat="1" applyFill="1" applyBorder="1" applyAlignment="1" applyProtection="1">
      <alignment horizontal="left" vertical="center"/>
      <protection hidden="1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" xfId="43" xr:uid="{3474A1DD-83A8-4243-8327-400C8335F6EF}"/>
    <cellStyle name="Nota" xfId="16" builtinId="10" customBuiltin="1"/>
    <cellStyle name="Porcentagem" xfId="44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border outline="0"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rgb="FF00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numFmt numFmtId="22" formatCode="m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border outline="0">
        <top style="medium">
          <color theme="0" tint="-0.34998626667073579"/>
        </top>
        <bottom style="medium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rgb="FF00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numFmt numFmtId="22" formatCode="m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-* #,##0.00_-;\-* #,##0.00_-;_-* &quot;-&quot;??_-;_-@_-"/>
      <fill>
        <patternFill patternType="solid">
          <fgColor rgb="FF000000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  <vertical/>
        <horizontal/>
      </border>
    </dxf>
    <dxf>
      <border outline="0">
        <top style="medium">
          <color rgb="FFA6A6A6"/>
        </top>
        <bottom style="medium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rgb="FF00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numFmt numFmtId="22" formatCode="m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/>
        <bottom/>
      </border>
    </dxf>
  </dxfs>
  <tableStyles count="0" defaultTableStyle="TableStyleMedium2" defaultPivotStyle="PivotStyleLight16"/>
  <colors>
    <mruColors>
      <color rgb="FF009999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Loja Virtual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'Loja Virtual'!$D$3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'Loja Virtual'!$C$4:$C$15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'Loja Virtual'!$D$4:$D$15</c:f>
              <c:numCache>
                <c:formatCode>_(* #,##0.00_);_(* \(#,##0.00\);_(* "-"??_);_(@_)</c:formatCode>
                <c:ptCount val="12"/>
                <c:pt idx="0">
                  <c:v>153492.76</c:v>
                </c:pt>
                <c:pt idx="1">
                  <c:v>182268.06</c:v>
                </c:pt>
                <c:pt idx="2">
                  <c:v>165193.04999999999</c:v>
                </c:pt>
                <c:pt idx="3">
                  <c:v>132252.45000000001</c:v>
                </c:pt>
                <c:pt idx="4">
                  <c:v>103976.76</c:v>
                </c:pt>
                <c:pt idx="5">
                  <c:v>109839.52</c:v>
                </c:pt>
                <c:pt idx="6">
                  <c:v>158670.99</c:v>
                </c:pt>
                <c:pt idx="7">
                  <c:v>231281.9</c:v>
                </c:pt>
                <c:pt idx="8">
                  <c:v>184494.32</c:v>
                </c:pt>
                <c:pt idx="9">
                  <c:v>165677.54999999999</c:v>
                </c:pt>
                <c:pt idx="10">
                  <c:v>240450.42</c:v>
                </c:pt>
                <c:pt idx="11">
                  <c:v>247017.2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7-4DD4-90D3-1ECF4787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163632"/>
        <c:axId val="1151166032"/>
      </c:barChart>
      <c:dateAx>
        <c:axId val="11511636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166032"/>
        <c:crosses val="autoZero"/>
        <c:auto val="1"/>
        <c:lblOffset val="100"/>
        <c:baseTimeUnit val="months"/>
      </c:dateAx>
      <c:valAx>
        <c:axId val="11511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1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859052" cy="342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51E34A2-9B18-45B1-888F-19C7783B0A31}"/>
            </a:ext>
          </a:extLst>
        </xdr:cNvPr>
        <xdr:cNvSpPr txBox="1"/>
      </xdr:nvSpPr>
      <xdr:spPr>
        <a:xfrm>
          <a:off x="0" y="66675"/>
          <a:ext cx="28590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chemeClr val="bg2">
                  <a:lumMod val="50000"/>
                </a:schemeClr>
              </a:solidFill>
            </a:rPr>
            <a:t>Faturamento Últimos</a:t>
          </a:r>
          <a:r>
            <a:rPr lang="pt-BR" sz="1600" b="1" baseline="0">
              <a:solidFill>
                <a:schemeClr val="bg2">
                  <a:lumMod val="50000"/>
                </a:schemeClr>
              </a:solidFill>
            </a:rPr>
            <a:t> 12 Meses</a:t>
          </a:r>
          <a:endParaRPr lang="pt-BR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859052" cy="342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653F995-E41E-C26C-D6F9-F239EF983ED4}"/>
            </a:ext>
          </a:extLst>
        </xdr:cNvPr>
        <xdr:cNvSpPr txBox="1"/>
      </xdr:nvSpPr>
      <xdr:spPr>
        <a:xfrm>
          <a:off x="0" y="66675"/>
          <a:ext cx="28590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chemeClr val="bg2">
                  <a:lumMod val="50000"/>
                </a:schemeClr>
              </a:solidFill>
            </a:rPr>
            <a:t>Faturamento Últimos</a:t>
          </a:r>
          <a:r>
            <a:rPr lang="pt-BR" sz="1600" b="1" baseline="0">
              <a:solidFill>
                <a:schemeClr val="bg2">
                  <a:lumMod val="50000"/>
                </a:schemeClr>
              </a:solidFill>
            </a:rPr>
            <a:t> 12 Meses</a:t>
          </a:r>
          <a:endParaRPr lang="pt-BR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859052" cy="342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D881D33-CF76-4C7F-B920-2998DED6F9B4}"/>
            </a:ext>
          </a:extLst>
        </xdr:cNvPr>
        <xdr:cNvSpPr txBox="1"/>
      </xdr:nvSpPr>
      <xdr:spPr>
        <a:xfrm>
          <a:off x="0" y="66675"/>
          <a:ext cx="28590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chemeClr val="bg2">
                  <a:lumMod val="50000"/>
                </a:schemeClr>
              </a:solidFill>
            </a:rPr>
            <a:t>Faturamento Últimos</a:t>
          </a:r>
          <a:r>
            <a:rPr lang="pt-BR" sz="1600" b="1" baseline="0">
              <a:solidFill>
                <a:schemeClr val="bg2">
                  <a:lumMod val="50000"/>
                </a:schemeClr>
              </a:solidFill>
            </a:rPr>
            <a:t> 12 Meses</a:t>
          </a:r>
          <a:endParaRPr lang="pt-BR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103532</xdr:colOff>
      <xdr:row>2</xdr:row>
      <xdr:rowOff>74549</xdr:rowOff>
    </xdr:from>
    <xdr:to>
      <xdr:col>12</xdr:col>
      <xdr:colOff>534227</xdr:colOff>
      <xdr:row>15</xdr:row>
      <xdr:rowOff>175596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2A3AEF-763D-9AD1-392C-DA8B8B275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2024\DIVERSOS\PT-ULISSES\Comercial\Comissoes\12-24.xlsx" TargetMode="External"/><Relationship Id="rId1" Type="http://schemas.openxmlformats.org/officeDocument/2006/relationships/externalLinkPath" Target="/2024/DIVERSOS/PT-ULISSES/Comercial/Comissoes/12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Vendas"/>
      <sheetName val="2-Por DDD"/>
      <sheetName val="3-Devolucoes"/>
      <sheetName val="4-Resumo"/>
      <sheetName val="5-Resumo Analitico"/>
      <sheetName val="5-Resumo Sintetico"/>
      <sheetName val="Comissão"/>
      <sheetName val="Ajustes"/>
    </sheetNames>
    <sheetDataSet>
      <sheetData sheetId="0"/>
      <sheetData sheetId="1"/>
      <sheetData sheetId="2"/>
      <sheetData sheetId="3"/>
      <sheetData sheetId="4">
        <row r="3">
          <cell r="B3">
            <v>150000</v>
          </cell>
          <cell r="C3">
            <v>110000</v>
          </cell>
        </row>
        <row r="41">
          <cell r="B41">
            <v>210734.21000000002</v>
          </cell>
        </row>
        <row r="42">
          <cell r="B42">
            <v>388957.49999999994</v>
          </cell>
        </row>
        <row r="43">
          <cell r="B43">
            <v>483059.75000000006</v>
          </cell>
        </row>
        <row r="45">
          <cell r="B45">
            <v>158875.04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6153F-0DB5-4F3F-B110-0CBF63EC42B2}" name="Tabela13" displayName="Tabela13" ref="B3:Q71" totalsRowCount="1" headerRowDxfId="81" dataDxfId="79" headerRowBorderDxfId="80" tableBorderDxfId="78" dataCellStyle="Vírgula">
  <autoFilter ref="B3:Q70" xr:uid="{7426153F-0DB5-4F3F-B110-0CBF63EC42B2}"/>
  <tableColumns count="16">
    <tableColumn id="1" xr3:uid="{616699FD-F640-4E62-8283-DFECE74692E3}" name="ÁREA" totalsRowLabel="Total" dataDxfId="77" totalsRowDxfId="76"/>
    <tableColumn id="2" xr3:uid="{C979D557-93CE-4C8D-928C-45FA3FA7DA9E}" name="ESTADO" dataDxfId="75" totalsRowDxfId="74"/>
    <tableColumn id="3" xr3:uid="{29472434-DBEA-48F7-B36C-7AAAAF91CF13}" name="DDD" dataDxfId="73" totalsRowDxfId="72"/>
    <tableColumn id="4" xr3:uid="{CB38B59E-680B-427B-9873-1675FBC253AB}" name="jan/24" totalsRowFunction="sum" dataDxfId="71" totalsRowDxfId="70" dataCellStyle="Vírgula"/>
    <tableColumn id="5" xr3:uid="{4E85B24C-1C8E-47BE-95D5-CDA0127575B2}" name="fev/24" totalsRowFunction="sum" dataDxfId="69" totalsRowDxfId="68" dataCellStyle="Vírgula"/>
    <tableColumn id="6" xr3:uid="{25B3C97F-3362-4481-9EBE-F3AFEA7A9199}" name="mar/24" totalsRowFunction="sum" dataDxfId="67" totalsRowDxfId="66" dataCellStyle="Vírgula"/>
    <tableColumn id="7" xr3:uid="{2562D556-8AC0-4A97-82C0-F3A94B4CFA24}" name="abr/24" totalsRowFunction="sum" dataDxfId="65" totalsRowDxfId="64" dataCellStyle="Vírgula"/>
    <tableColumn id="8" xr3:uid="{B399598A-EF7B-4A4A-9A1F-6453F587738F}" name="mai/24" totalsRowFunction="sum" dataDxfId="63" totalsRowDxfId="62" dataCellStyle="Vírgula"/>
    <tableColumn id="9" xr3:uid="{05155193-7E9F-40A3-8AAE-AD226212F6DB}" name="jun/24" totalsRowFunction="sum" dataDxfId="61" totalsRowDxfId="60" dataCellStyle="Vírgula"/>
    <tableColumn id="10" xr3:uid="{77A6A402-6254-491E-89FD-EEA9A1755574}" name="jul/24" totalsRowFunction="sum" dataDxfId="59" totalsRowDxfId="58" dataCellStyle="Vírgula"/>
    <tableColumn id="11" xr3:uid="{76AF8855-5F09-4635-B6E6-1BABA6B79476}" name="ago/24" totalsRowFunction="sum" dataDxfId="57" totalsRowDxfId="56" dataCellStyle="Vírgula"/>
    <tableColumn id="12" xr3:uid="{94698D1D-7E0D-4A69-A9F4-726944544CA8}" name="set/24" totalsRowFunction="sum" dataDxfId="55" totalsRowDxfId="54" dataCellStyle="Vírgula"/>
    <tableColumn id="13" xr3:uid="{65C50631-4A98-4703-B613-1E3CF6625C2B}" name="out/24" totalsRowFunction="sum" dataDxfId="53" totalsRowDxfId="52" dataCellStyle="Vírgula"/>
    <tableColumn id="14" xr3:uid="{BB57DB11-1845-4F4A-B4CC-F52C30B82AEF}" name="nov/24" totalsRowFunction="sum" dataDxfId="51" totalsRowDxfId="50" dataCellStyle="Vírgula"/>
    <tableColumn id="15" xr3:uid="{9815AB04-6CC6-474F-914E-EE6EAEF88B4D}" name="dez/24" totalsRowFunction="sum" dataDxfId="49" totalsRowDxfId="48" dataCellStyle="Vírgula"/>
    <tableColumn id="16" xr3:uid="{98134EB3-4F27-4110-B26E-B30607D1D513}" name="Total" totalsRowFunction="sum" dataDxfId="47" totalsRowDxfId="46" dataCellStyle="Vírgula">
      <calculatedColumnFormula>SUM(Tabela13[[#This Row],[jan/24]:[dez/24]])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E06661-3999-441E-BD03-B109025EF71A}" name="Tabela1" displayName="Tabela1" ref="B3:O31" totalsRowCount="1" headerRowDxfId="45" dataDxfId="43" headerRowBorderDxfId="44" tableBorderDxfId="42" dataCellStyle="Vírgula">
  <autoFilter ref="B3:O30" xr:uid="{86E06661-3999-441E-BD03-B109025EF71A}"/>
  <sortState xmlns:xlrd2="http://schemas.microsoft.com/office/spreadsheetml/2017/richdata2" ref="B4:O30">
    <sortCondition ref="C4:C30"/>
  </sortState>
  <tableColumns count="14">
    <tableColumn id="1" xr3:uid="{FDAE929D-BDB9-4318-BF11-148FBDCD50EB}" name="ÁREA" totalsRowLabel="Total" dataDxfId="41" totalsRowDxfId="40"/>
    <tableColumn id="2" xr3:uid="{C1474054-3016-4842-A873-498E79083323}" name="ESTADO" dataDxfId="39" totalsRowDxfId="38"/>
    <tableColumn id="4" xr3:uid="{E654FEA2-1572-4B54-A1D9-17C784A1D41D}" name="jan/24" totalsRowFunction="sum" dataDxfId="37" totalsRowDxfId="36" dataCellStyle="Vírgula"/>
    <tableColumn id="5" xr3:uid="{0A7D978F-21FA-40F9-BE0F-1FE69C044515}" name="fev/24" totalsRowFunction="sum" dataDxfId="35" totalsRowDxfId="34" dataCellStyle="Vírgula"/>
    <tableColumn id="6" xr3:uid="{56A9DE6E-405B-4E65-922B-9ECD435B8CC9}" name="mar/24" totalsRowFunction="sum" dataDxfId="33" totalsRowDxfId="32" dataCellStyle="Vírgula"/>
    <tableColumn id="7" xr3:uid="{D32B6941-F298-4D10-8B75-B051A54456C2}" name="abr/24" totalsRowFunction="sum" dataDxfId="31" totalsRowDxfId="30" dataCellStyle="Vírgula"/>
    <tableColumn id="8" xr3:uid="{A0A21AC6-8DF4-481F-9795-6430D90166C9}" name="mai/24" totalsRowFunction="sum" dataDxfId="29" totalsRowDxfId="28" dataCellStyle="Vírgula"/>
    <tableColumn id="9" xr3:uid="{1DB31BD4-FF19-4A28-8A38-86F3C6AF5418}" name="jun/24" totalsRowFunction="sum" dataDxfId="27" totalsRowDxfId="26" dataCellStyle="Vírgula"/>
    <tableColumn id="10" xr3:uid="{8A64B3A1-211E-4AF4-A9B9-23D5A3FD0AB0}" name="jul/24" totalsRowFunction="sum" dataDxfId="25" totalsRowDxfId="24" dataCellStyle="Vírgula"/>
    <tableColumn id="11" xr3:uid="{2ECF207C-4F2D-46E4-B6DF-4B03CD670D78}" name="ago/24" totalsRowFunction="sum" dataDxfId="23" totalsRowDxfId="22" dataCellStyle="Vírgula"/>
    <tableColumn id="12" xr3:uid="{B3E2E18F-9BD0-4004-A7F4-F3A32486731E}" name="set/24" totalsRowFunction="sum" dataDxfId="21" totalsRowDxfId="20" dataCellStyle="Vírgula"/>
    <tableColumn id="13" xr3:uid="{261B5084-DE35-411B-8F7D-EF6B221F3FE4}" name="out/24" totalsRowFunction="sum" dataDxfId="19" totalsRowDxfId="18" dataCellStyle="Vírgula"/>
    <tableColumn id="14" xr3:uid="{57645F19-2D51-4AD9-BD4B-22B84B22B8D3}" name="nov/24" totalsRowFunction="sum" dataDxfId="17" totalsRowDxfId="16" dataCellStyle="Vírgula"/>
    <tableColumn id="15" xr3:uid="{E8C883D3-EB19-425D-9624-F6006AD6F972}" name="dez/24" totalsRowFunction="sum" dataDxfId="15" totalsRowDxfId="14" dataCellStyle="Vírgul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FF2BC6-ACC3-47E2-B548-5712FABB0B02}" name="Tabela14" displayName="Tabela14" ref="B3:F16" totalsRowShown="0" headerRowDxfId="13" dataDxfId="11" headerRowBorderDxfId="12" tableBorderDxfId="10" dataCellStyle="Vírgula">
  <autoFilter ref="B3:F16" xr:uid="{86E06661-3999-441E-BD03-B109025EF71A}"/>
  <tableColumns count="5">
    <tableColumn id="1" xr3:uid="{0907EF89-E131-4BB4-A3A8-415070DD8D60}" name="ÁREA" dataDxfId="9" totalsRowDxfId="8"/>
    <tableColumn id="4" xr3:uid="{F0E2EBED-950E-47EB-A80C-408FF867D624}" name="Período" dataDxfId="7" totalsRowDxfId="6" dataCellStyle="Vírgula"/>
    <tableColumn id="5" xr3:uid="{2A43BC41-D022-4E2D-B24E-283FF3E58DE1}" name="Valor" dataDxfId="5" totalsRowDxfId="4" dataCellStyle="Vírgula"/>
    <tableColumn id="6" xr3:uid="{DD7EA720-C2D4-48AB-B4C3-3DC369567F7A}" name="Quant" dataDxfId="3" totalsRowDxfId="2" dataCellStyle="Vírgula"/>
    <tableColumn id="7" xr3:uid="{A2230944-99B2-4016-93CB-50AFB7348006}" name="Ticket Médio" dataDxfId="1" totalsRowDxfId="0" dataCellStyle="Vírgula">
      <calculatedColumnFormula>Tabela14[[#This Row],[Valor]]/Tabela14[[#This Row],[Quant]]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2FE1-FE48-4D8F-91E8-CC01CD4DB96B}">
  <dimension ref="B1:AD14"/>
  <sheetViews>
    <sheetView workbookViewId="0">
      <pane xSplit="4" topLeftCell="V1" activePane="topRight" state="frozen"/>
      <selection pane="topRight" activeCell="AC6" sqref="AC6"/>
    </sheetView>
  </sheetViews>
  <sheetFormatPr defaultColWidth="9.140625" defaultRowHeight="15" x14ac:dyDescent="0.25"/>
  <cols>
    <col min="1" max="1" width="1.42578125" style="4" customWidth="1"/>
    <col min="2" max="4" width="9.140625" style="4"/>
    <col min="5" max="8" width="11.5703125" style="4" bestFit="1" customWidth="1"/>
    <col min="9" max="9" width="11.7109375" style="4" bestFit="1" customWidth="1"/>
    <col min="10" max="28" width="11.5703125" style="4" bestFit="1" customWidth="1"/>
    <col min="29" max="30" width="13.28515625" style="4" bestFit="1" customWidth="1"/>
    <col min="31" max="16384" width="9.140625" style="4"/>
  </cols>
  <sheetData>
    <row r="1" spans="2:30" ht="4.5" customHeight="1" x14ac:dyDescent="0.25"/>
    <row r="2" spans="2:30" ht="21.75" thickBot="1" x14ac:dyDescent="0.4">
      <c r="B2" s="30" t="s">
        <v>0</v>
      </c>
    </row>
    <row r="3" spans="2:30" x14ac:dyDescent="0.25">
      <c r="B3" s="81" t="s">
        <v>1</v>
      </c>
      <c r="C3" s="82"/>
      <c r="D3" s="83"/>
      <c r="E3" s="79">
        <v>45292</v>
      </c>
      <c r="F3" s="89"/>
      <c r="G3" s="79">
        <v>45323</v>
      </c>
      <c r="H3" s="88"/>
      <c r="I3" s="87">
        <v>45352</v>
      </c>
      <c r="J3" s="89"/>
      <c r="K3" s="79">
        <v>45383</v>
      </c>
      <c r="L3" s="88"/>
      <c r="M3" s="87">
        <v>45413</v>
      </c>
      <c r="N3" s="88"/>
      <c r="O3" s="87">
        <v>45444</v>
      </c>
      <c r="P3" s="88"/>
      <c r="Q3" s="87">
        <v>45474</v>
      </c>
      <c r="R3" s="89"/>
      <c r="S3" s="79">
        <v>45505</v>
      </c>
      <c r="T3" s="88"/>
      <c r="U3" s="87">
        <v>45536</v>
      </c>
      <c r="V3" s="89"/>
      <c r="W3" s="79">
        <v>45566</v>
      </c>
      <c r="X3" s="89"/>
      <c r="Y3" s="79">
        <v>45597</v>
      </c>
      <c r="Z3" s="80"/>
      <c r="AA3" s="79">
        <v>45627</v>
      </c>
      <c r="AB3" s="80"/>
      <c r="AC3" s="71" t="s">
        <v>6</v>
      </c>
      <c r="AD3" s="73" t="s">
        <v>8</v>
      </c>
    </row>
    <row r="4" spans="2:30" ht="15.75" thickBot="1" x14ac:dyDescent="0.3">
      <c r="B4" s="84"/>
      <c r="C4" s="85"/>
      <c r="D4" s="86"/>
      <c r="E4" s="5" t="s">
        <v>6</v>
      </c>
      <c r="F4" s="9" t="s">
        <v>7</v>
      </c>
      <c r="G4" s="5" t="s">
        <v>6</v>
      </c>
      <c r="H4" s="9" t="s">
        <v>7</v>
      </c>
      <c r="I4" s="5" t="s">
        <v>6</v>
      </c>
      <c r="J4" s="9" t="s">
        <v>7</v>
      </c>
      <c r="K4" s="5" t="s">
        <v>6</v>
      </c>
      <c r="L4" s="9" t="s">
        <v>7</v>
      </c>
      <c r="M4" s="5" t="s">
        <v>6</v>
      </c>
      <c r="N4" s="9" t="s">
        <v>7</v>
      </c>
      <c r="O4" s="5" t="s">
        <v>6</v>
      </c>
      <c r="P4" s="9" t="s">
        <v>7</v>
      </c>
      <c r="Q4" s="5" t="s">
        <v>6</v>
      </c>
      <c r="R4" s="9" t="s">
        <v>7</v>
      </c>
      <c r="S4" s="5" t="s">
        <v>6</v>
      </c>
      <c r="T4" s="9" t="s">
        <v>7</v>
      </c>
      <c r="U4" s="5" t="s">
        <v>6</v>
      </c>
      <c r="V4" s="9" t="s">
        <v>7</v>
      </c>
      <c r="W4" s="5" t="s">
        <v>6</v>
      </c>
      <c r="X4" s="9" t="s">
        <v>7</v>
      </c>
      <c r="Y4" s="5" t="s">
        <v>6</v>
      </c>
      <c r="Z4" s="9" t="s">
        <v>7</v>
      </c>
      <c r="AA4" s="5" t="s">
        <v>6</v>
      </c>
      <c r="AB4" s="9" t="s">
        <v>7</v>
      </c>
      <c r="AC4" s="72"/>
      <c r="AD4" s="74"/>
    </row>
    <row r="5" spans="2:30" x14ac:dyDescent="0.25">
      <c r="B5" s="75" t="s">
        <v>2</v>
      </c>
      <c r="C5" s="76"/>
      <c r="D5" s="76"/>
      <c r="E5" s="6">
        <v>225698.15</v>
      </c>
      <c r="F5" s="11">
        <v>200000</v>
      </c>
      <c r="G5" s="6">
        <v>208002</v>
      </c>
      <c r="H5" s="11">
        <v>240000</v>
      </c>
      <c r="I5" s="7">
        <v>293737</v>
      </c>
      <c r="J5" s="12">
        <v>250000</v>
      </c>
      <c r="K5" s="8">
        <v>344625</v>
      </c>
      <c r="L5" s="13">
        <v>280000</v>
      </c>
      <c r="M5" s="7">
        <v>349861</v>
      </c>
      <c r="N5" s="10">
        <v>320000</v>
      </c>
      <c r="O5" s="8">
        <v>159850</v>
      </c>
      <c r="P5" s="10">
        <v>390000</v>
      </c>
      <c r="Q5" s="7">
        <v>430578</v>
      </c>
      <c r="R5" s="10">
        <v>390000</v>
      </c>
      <c r="S5" s="7">
        <v>556559</v>
      </c>
      <c r="T5" s="10">
        <v>390000</v>
      </c>
      <c r="U5" s="7">
        <v>461776</v>
      </c>
      <c r="V5" s="10">
        <v>380000</v>
      </c>
      <c r="W5" s="7">
        <v>283699</v>
      </c>
      <c r="X5" s="10">
        <v>360000</v>
      </c>
      <c r="Y5" s="7">
        <v>509280</v>
      </c>
      <c r="Z5" s="10">
        <v>280000</v>
      </c>
      <c r="AA5" s="7">
        <f>'[1]5-Resumo Analitico'!$B$42</f>
        <v>388957.49999999994</v>
      </c>
      <c r="AB5" s="10">
        <f>'[1]5-Resumo Analitico'!$B$3</f>
        <v>150000</v>
      </c>
      <c r="AC5" s="40">
        <f t="shared" ref="AC5:AD8" si="0">SUM(G5+I5+K5+M5+O5+Q5+S5+U5+W5+Y5+AA5+E5)</f>
        <v>4212622.6500000004</v>
      </c>
      <c r="AD5" s="41">
        <f t="shared" si="0"/>
        <v>3630000</v>
      </c>
    </row>
    <row r="6" spans="2:30" x14ac:dyDescent="0.25">
      <c r="B6" s="75" t="s">
        <v>3</v>
      </c>
      <c r="C6" s="76"/>
      <c r="D6" s="76"/>
      <c r="E6" s="1">
        <v>848195.09</v>
      </c>
      <c r="F6" s="11">
        <v>200000</v>
      </c>
      <c r="G6" s="6">
        <v>397702</v>
      </c>
      <c r="H6" s="11">
        <v>240000</v>
      </c>
      <c r="I6" s="7">
        <v>488223</v>
      </c>
      <c r="J6" s="12">
        <v>250000</v>
      </c>
      <c r="K6" s="8">
        <v>588351</v>
      </c>
      <c r="L6" s="13">
        <v>280000</v>
      </c>
      <c r="M6" s="7">
        <v>385306</v>
      </c>
      <c r="N6" s="10">
        <v>320000</v>
      </c>
      <c r="O6" s="8">
        <v>637514</v>
      </c>
      <c r="P6" s="10">
        <v>390000</v>
      </c>
      <c r="Q6" s="7">
        <v>484905</v>
      </c>
      <c r="R6" s="10">
        <v>390000</v>
      </c>
      <c r="S6" s="7">
        <v>545519</v>
      </c>
      <c r="T6" s="10">
        <v>390000</v>
      </c>
      <c r="U6" s="7">
        <v>629646</v>
      </c>
      <c r="V6" s="10">
        <v>380000</v>
      </c>
      <c r="W6" s="7">
        <v>511543</v>
      </c>
      <c r="X6" s="10">
        <v>360000</v>
      </c>
      <c r="Y6" s="7">
        <v>406995</v>
      </c>
      <c r="Z6" s="10">
        <v>280000</v>
      </c>
      <c r="AA6" s="7">
        <f>'[1]5-Resumo Analitico'!$B$43</f>
        <v>483059.75000000006</v>
      </c>
      <c r="AB6" s="10">
        <f>'[1]5-Resumo Analitico'!$B$3</f>
        <v>150000</v>
      </c>
      <c r="AC6" s="42">
        <f t="shared" si="0"/>
        <v>6406958.8399999999</v>
      </c>
      <c r="AD6" s="43">
        <f t="shared" si="0"/>
        <v>3630000</v>
      </c>
    </row>
    <row r="7" spans="2:30" x14ac:dyDescent="0.25">
      <c r="B7" s="77" t="s">
        <v>4</v>
      </c>
      <c r="C7" s="78"/>
      <c r="D7" s="78"/>
      <c r="E7" s="1">
        <v>254849.15</v>
      </c>
      <c r="F7" s="11">
        <v>200000</v>
      </c>
      <c r="G7" s="6">
        <v>134732</v>
      </c>
      <c r="H7" s="11">
        <v>240000</v>
      </c>
      <c r="I7" s="7">
        <v>99918</v>
      </c>
      <c r="J7" s="12">
        <v>250000</v>
      </c>
      <c r="K7" s="8">
        <v>67697</v>
      </c>
      <c r="L7" s="13">
        <v>280000</v>
      </c>
      <c r="M7" s="7">
        <v>176517</v>
      </c>
      <c r="N7" s="10">
        <v>190000</v>
      </c>
      <c r="O7" s="8">
        <v>140816</v>
      </c>
      <c r="P7" s="10">
        <v>230000</v>
      </c>
      <c r="Q7" s="7">
        <v>246264</v>
      </c>
      <c r="R7" s="10">
        <v>240000</v>
      </c>
      <c r="S7" s="7">
        <v>272325</v>
      </c>
      <c r="T7" s="10">
        <v>240000</v>
      </c>
      <c r="U7" s="2">
        <v>203499</v>
      </c>
      <c r="V7" s="10">
        <v>230000</v>
      </c>
      <c r="W7" s="2">
        <v>263483</v>
      </c>
      <c r="X7" s="10">
        <v>210000</v>
      </c>
      <c r="Y7" s="2">
        <v>215712</v>
      </c>
      <c r="Z7" s="10">
        <v>140000</v>
      </c>
      <c r="AA7" s="2">
        <f>'[1]5-Resumo Analitico'!$B$45</f>
        <v>158875.04</v>
      </c>
      <c r="AB7" s="10">
        <f>'[1]5-Resumo Analitico'!$C$3</f>
        <v>110000</v>
      </c>
      <c r="AC7" s="42">
        <f t="shared" si="0"/>
        <v>2234687.19</v>
      </c>
      <c r="AD7" s="44">
        <f t="shared" si="0"/>
        <v>2560000</v>
      </c>
    </row>
    <row r="8" spans="2:30" x14ac:dyDescent="0.25">
      <c r="B8" s="77" t="s">
        <v>5</v>
      </c>
      <c r="C8" s="78"/>
      <c r="D8" s="78"/>
      <c r="E8" s="1"/>
      <c r="F8" s="11"/>
      <c r="G8" s="1"/>
      <c r="H8" s="11"/>
      <c r="I8" s="2"/>
      <c r="J8" s="12"/>
      <c r="K8" s="3">
        <v>67697</v>
      </c>
      <c r="L8" s="13">
        <v>280000</v>
      </c>
      <c r="M8" s="2">
        <v>69834</v>
      </c>
      <c r="N8" s="10">
        <v>190000</v>
      </c>
      <c r="O8" s="3">
        <v>258234</v>
      </c>
      <c r="P8" s="10">
        <v>230000</v>
      </c>
      <c r="Q8" s="2">
        <v>141231</v>
      </c>
      <c r="R8" s="10">
        <v>240000</v>
      </c>
      <c r="S8" s="2">
        <v>251016</v>
      </c>
      <c r="T8" s="10">
        <v>240000</v>
      </c>
      <c r="U8" s="2">
        <v>309431</v>
      </c>
      <c r="V8" s="10">
        <v>230000</v>
      </c>
      <c r="W8" s="2">
        <v>290710</v>
      </c>
      <c r="X8" s="10">
        <v>210000</v>
      </c>
      <c r="Y8" s="2">
        <v>224243</v>
      </c>
      <c r="Z8" s="10">
        <v>140000</v>
      </c>
      <c r="AA8" s="2">
        <f>'[1]5-Resumo Analitico'!$B$41</f>
        <v>210734.21000000002</v>
      </c>
      <c r="AB8" s="10">
        <f>'[1]5-Resumo Analitico'!$C$3</f>
        <v>110000</v>
      </c>
      <c r="AC8" s="42">
        <f t="shared" si="0"/>
        <v>1823130.21</v>
      </c>
      <c r="AD8" s="44">
        <f t="shared" si="0"/>
        <v>1870000</v>
      </c>
    </row>
    <row r="12" spans="2:30" x14ac:dyDescent="0.25">
      <c r="G12" s="31"/>
    </row>
    <row r="14" spans="2:30" x14ac:dyDescent="0.25">
      <c r="F14" s="4" t="s">
        <v>38</v>
      </c>
    </row>
  </sheetData>
  <mergeCells count="19">
    <mergeCell ref="B8:D8"/>
    <mergeCell ref="E3:F3"/>
    <mergeCell ref="G3:H3"/>
    <mergeCell ref="I3:J3"/>
    <mergeCell ref="K3:L3"/>
    <mergeCell ref="AC3:AC4"/>
    <mergeCell ref="AD3:AD4"/>
    <mergeCell ref="B5:D5"/>
    <mergeCell ref="B6:D6"/>
    <mergeCell ref="B7:D7"/>
    <mergeCell ref="Y3:Z3"/>
    <mergeCell ref="AA3:AB3"/>
    <mergeCell ref="B3:D4"/>
    <mergeCell ref="M3:N3"/>
    <mergeCell ref="O3:P3"/>
    <mergeCell ref="Q3:R3"/>
    <mergeCell ref="S3:T3"/>
    <mergeCell ref="U3:V3"/>
    <mergeCell ref="W3:X3"/>
  </mergeCells>
  <phoneticPr fontId="19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E35D-2539-4DD1-A6C7-B77E8A681221}">
  <dimension ref="B1:S71"/>
  <sheetViews>
    <sheetView zoomScaleNormal="100" workbookViewId="0">
      <pane xSplit="4" ySplit="3" topLeftCell="J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ColWidth="9.140625" defaultRowHeight="15" x14ac:dyDescent="0.25"/>
  <cols>
    <col min="1" max="1" width="0.85546875" style="4" customWidth="1"/>
    <col min="2" max="2" width="12.85546875" style="27" customWidth="1"/>
    <col min="3" max="3" width="14" style="4" customWidth="1"/>
    <col min="4" max="4" width="13" style="4" customWidth="1"/>
    <col min="5" max="16" width="16.7109375" style="4" customWidth="1"/>
    <col min="17" max="17" width="14.28515625" style="4" bestFit="1" customWidth="1"/>
    <col min="18" max="19" width="12.7109375" style="4" bestFit="1" customWidth="1"/>
    <col min="20" max="16384" width="9.140625" style="4"/>
  </cols>
  <sheetData>
    <row r="1" spans="2:18" ht="5.25" customHeight="1" x14ac:dyDescent="0.25"/>
    <row r="2" spans="2:18" ht="30.75" customHeight="1" x14ac:dyDescent="0.25">
      <c r="B2" s="19"/>
    </row>
    <row r="3" spans="2:18" s="20" customFormat="1" ht="27.75" customHeight="1" thickBot="1" x14ac:dyDescent="0.3">
      <c r="B3" s="33" t="s">
        <v>39</v>
      </c>
      <c r="C3" s="34" t="s">
        <v>37</v>
      </c>
      <c r="D3" s="33" t="s">
        <v>9</v>
      </c>
      <c r="E3" s="35" t="s">
        <v>47</v>
      </c>
      <c r="F3" s="35" t="s">
        <v>48</v>
      </c>
      <c r="G3" s="35" t="s">
        <v>49</v>
      </c>
      <c r="H3" s="35" t="s">
        <v>50</v>
      </c>
      <c r="I3" s="35" t="s">
        <v>51</v>
      </c>
      <c r="J3" s="35" t="s">
        <v>52</v>
      </c>
      <c r="K3" s="35" t="s">
        <v>53</v>
      </c>
      <c r="L3" s="35" t="s">
        <v>54</v>
      </c>
      <c r="M3" s="35" t="s">
        <v>55</v>
      </c>
      <c r="N3" s="35" t="s">
        <v>56</v>
      </c>
      <c r="O3" s="35" t="s">
        <v>57</v>
      </c>
      <c r="P3" s="35" t="s">
        <v>65</v>
      </c>
      <c r="Q3" s="35" t="s">
        <v>58</v>
      </c>
    </row>
    <row r="4" spans="2:18" x14ac:dyDescent="0.25">
      <c r="B4" s="28" t="s">
        <v>40</v>
      </c>
      <c r="C4" s="24" t="s">
        <v>10</v>
      </c>
      <c r="D4" s="22">
        <v>11</v>
      </c>
      <c r="E4" s="14">
        <v>290353.24</v>
      </c>
      <c r="F4" s="14">
        <v>182545.39</v>
      </c>
      <c r="G4" s="14">
        <v>235690.35</v>
      </c>
      <c r="H4" s="14">
        <v>260188.76</v>
      </c>
      <c r="I4" s="14">
        <v>210401.24</v>
      </c>
      <c r="J4" s="14">
        <v>93100.19</v>
      </c>
      <c r="K4" s="14">
        <v>321133.31</v>
      </c>
      <c r="L4" s="14">
        <v>378792.65</v>
      </c>
      <c r="M4" s="14">
        <v>153426.76999999999</v>
      </c>
      <c r="N4" s="14">
        <v>213863.99</v>
      </c>
      <c r="O4" s="14">
        <v>230974.88</v>
      </c>
      <c r="P4" s="14">
        <v>184651.67</v>
      </c>
      <c r="Q4" s="45">
        <f>SUM(Tabela13[[#This Row],[jan/24]:[dez/24]])</f>
        <v>2755122.4399999995</v>
      </c>
    </row>
    <row r="5" spans="2:18" x14ac:dyDescent="0.25">
      <c r="B5" s="29" t="s">
        <v>40</v>
      </c>
      <c r="C5" s="25" t="s">
        <v>10</v>
      </c>
      <c r="D5" s="16">
        <v>12</v>
      </c>
      <c r="E5" s="17">
        <v>6386.97</v>
      </c>
      <c r="F5" s="17">
        <v>830.55</v>
      </c>
      <c r="G5" s="17">
        <v>17994.810000000001</v>
      </c>
      <c r="H5" s="17">
        <v>27290.69</v>
      </c>
      <c r="I5" s="17">
        <v>26099.14</v>
      </c>
      <c r="J5" s="17">
        <v>7015.56</v>
      </c>
      <c r="K5" s="17">
        <v>4466.1899999999996</v>
      </c>
      <c r="L5" s="17">
        <v>15210.67</v>
      </c>
      <c r="M5" s="17">
        <v>25100.15</v>
      </c>
      <c r="N5" s="17">
        <v>7467.51</v>
      </c>
      <c r="O5" s="17">
        <v>9217.83</v>
      </c>
      <c r="P5" s="17">
        <v>23817.11</v>
      </c>
      <c r="Q5" s="45">
        <f>SUM(Tabela13[[#This Row],[jan/24]:[dez/24]])</f>
        <v>170897.18</v>
      </c>
    </row>
    <row r="6" spans="2:18" x14ac:dyDescent="0.25">
      <c r="B6" s="29" t="s">
        <v>41</v>
      </c>
      <c r="C6" s="25" t="s">
        <v>10</v>
      </c>
      <c r="D6" s="16">
        <v>13</v>
      </c>
      <c r="E6" s="15">
        <v>0</v>
      </c>
      <c r="F6" s="17">
        <v>27634.58</v>
      </c>
      <c r="G6" s="17">
        <v>206.1</v>
      </c>
      <c r="H6" s="17">
        <v>2655.9</v>
      </c>
      <c r="I6" s="17">
        <v>1258.7</v>
      </c>
      <c r="J6" s="17">
        <v>9945.33</v>
      </c>
      <c r="K6" s="17">
        <v>2551.2199999999998</v>
      </c>
      <c r="L6" s="17">
        <v>226.3</v>
      </c>
      <c r="M6" s="17">
        <v>0</v>
      </c>
      <c r="N6" s="17">
        <v>5966.55</v>
      </c>
      <c r="O6" s="17">
        <v>32791.760000000002</v>
      </c>
      <c r="P6" s="17">
        <v>1924.47</v>
      </c>
      <c r="Q6" s="45">
        <f>SUM(Tabela13[[#This Row],[jan/24]:[dez/24]])</f>
        <v>85160.91</v>
      </c>
    </row>
    <row r="7" spans="2:18" x14ac:dyDescent="0.25">
      <c r="B7" s="29" t="s">
        <v>40</v>
      </c>
      <c r="C7" s="25" t="s">
        <v>10</v>
      </c>
      <c r="D7" s="16">
        <v>14</v>
      </c>
      <c r="E7" s="17">
        <v>4646.08</v>
      </c>
      <c r="F7" s="17">
        <v>6659.41</v>
      </c>
      <c r="G7" s="17">
        <v>3898.67</v>
      </c>
      <c r="H7" s="17">
        <v>7644.6</v>
      </c>
      <c r="I7" s="17">
        <v>2223.4899999999998</v>
      </c>
      <c r="J7" s="17">
        <v>1055.95</v>
      </c>
      <c r="K7" s="17">
        <v>12384.34</v>
      </c>
      <c r="L7" s="17">
        <v>5815.1</v>
      </c>
      <c r="M7" s="17">
        <v>3602.35</v>
      </c>
      <c r="N7" s="17">
        <v>88278.25</v>
      </c>
      <c r="O7" s="17">
        <v>3176.08</v>
      </c>
      <c r="P7" s="17">
        <v>211.84</v>
      </c>
      <c r="Q7" s="45">
        <f>SUM(Tabela13[[#This Row],[jan/24]:[dez/24]])</f>
        <v>139596.15999999997</v>
      </c>
    </row>
    <row r="8" spans="2:18" x14ac:dyDescent="0.25">
      <c r="B8" s="29" t="s">
        <v>41</v>
      </c>
      <c r="C8" s="25" t="s">
        <v>10</v>
      </c>
      <c r="D8" s="16">
        <v>15</v>
      </c>
      <c r="E8" s="17">
        <v>17338.5</v>
      </c>
      <c r="F8" s="17">
        <v>6801.78</v>
      </c>
      <c r="G8" s="17">
        <v>4865.1099999999997</v>
      </c>
      <c r="H8" s="17">
        <v>10723.16</v>
      </c>
      <c r="I8" s="17">
        <v>0</v>
      </c>
      <c r="J8" s="17">
        <v>3545.89</v>
      </c>
      <c r="K8" s="17">
        <v>9622.35</v>
      </c>
      <c r="L8" s="17">
        <v>6685.54</v>
      </c>
      <c r="M8" s="17">
        <v>12944.68</v>
      </c>
      <c r="N8" s="17">
        <v>7514</v>
      </c>
      <c r="O8" s="17">
        <v>4796.96</v>
      </c>
      <c r="P8" s="17">
        <v>4099.4399999999996</v>
      </c>
      <c r="Q8" s="45">
        <f>SUM(Tabela13[[#This Row],[jan/24]:[dez/24]])</f>
        <v>88937.410000000018</v>
      </c>
    </row>
    <row r="9" spans="2:18" x14ac:dyDescent="0.25">
      <c r="B9" s="29" t="s">
        <v>40</v>
      </c>
      <c r="C9" s="25" t="s">
        <v>10</v>
      </c>
      <c r="D9" s="16">
        <v>16</v>
      </c>
      <c r="E9" s="17">
        <v>52251.91</v>
      </c>
      <c r="F9" s="17">
        <v>2129.38</v>
      </c>
      <c r="G9" s="17">
        <v>39354.199999999997</v>
      </c>
      <c r="H9" s="17">
        <v>14739.82</v>
      </c>
      <c r="I9" s="17">
        <v>3755.9</v>
      </c>
      <c r="J9" s="17">
        <v>38372.53</v>
      </c>
      <c r="K9" s="17">
        <v>60911.02</v>
      </c>
      <c r="L9" s="17">
        <v>40271.839999999997</v>
      </c>
      <c r="M9" s="17">
        <v>38247.35</v>
      </c>
      <c r="N9" s="17">
        <v>27903.65</v>
      </c>
      <c r="O9" s="17">
        <v>105505.33</v>
      </c>
      <c r="P9" s="17">
        <v>29089.25</v>
      </c>
      <c r="Q9" s="45">
        <f>SUM(Tabela13[[#This Row],[jan/24]:[dez/24]])</f>
        <v>452532.18</v>
      </c>
    </row>
    <row r="10" spans="2:18" x14ac:dyDescent="0.25">
      <c r="B10" s="29" t="s">
        <v>41</v>
      </c>
      <c r="C10" s="25" t="s">
        <v>10</v>
      </c>
      <c r="D10" s="16">
        <v>17</v>
      </c>
      <c r="E10" s="17">
        <v>22376.55</v>
      </c>
      <c r="F10" s="17">
        <v>5084.24</v>
      </c>
      <c r="G10" s="17">
        <v>14993.55</v>
      </c>
      <c r="H10" s="17">
        <v>557.83000000000004</v>
      </c>
      <c r="I10" s="17">
        <v>3345.04</v>
      </c>
      <c r="J10" s="17">
        <v>6461.01</v>
      </c>
      <c r="K10" s="17">
        <v>2537.9</v>
      </c>
      <c r="L10" s="17">
        <v>11661.33</v>
      </c>
      <c r="M10" s="17">
        <v>1567.74</v>
      </c>
      <c r="N10" s="17">
        <v>21960.07</v>
      </c>
      <c r="O10" s="17">
        <v>3418.93</v>
      </c>
      <c r="P10" s="17">
        <v>7793.17</v>
      </c>
      <c r="Q10" s="45">
        <f>SUM(Tabela13[[#This Row],[jan/24]:[dez/24]])</f>
        <v>101757.36</v>
      </c>
    </row>
    <row r="11" spans="2:18" x14ac:dyDescent="0.25">
      <c r="B11" s="29" t="s">
        <v>41</v>
      </c>
      <c r="C11" s="25" t="s">
        <v>10</v>
      </c>
      <c r="D11" s="16">
        <v>18</v>
      </c>
      <c r="E11" s="17">
        <v>3124.79</v>
      </c>
      <c r="F11" s="17">
        <v>1756.29</v>
      </c>
      <c r="G11" s="17">
        <v>471.91</v>
      </c>
      <c r="H11" s="17">
        <v>1622.6</v>
      </c>
      <c r="I11" s="17">
        <v>15739.27</v>
      </c>
      <c r="J11" s="17">
        <v>0</v>
      </c>
      <c r="K11" s="17">
        <v>7374.56</v>
      </c>
      <c r="L11" s="17">
        <v>4007.75</v>
      </c>
      <c r="M11" s="17">
        <v>546.03</v>
      </c>
      <c r="N11" s="17">
        <v>2401.96</v>
      </c>
      <c r="O11" s="17">
        <v>2301.8000000000002</v>
      </c>
      <c r="P11" s="17">
        <v>6833.17</v>
      </c>
      <c r="Q11" s="45">
        <f>SUM(Tabela13[[#This Row],[jan/24]:[dez/24]])</f>
        <v>46180.13</v>
      </c>
    </row>
    <row r="12" spans="2:18" x14ac:dyDescent="0.25">
      <c r="B12" s="29" t="s">
        <v>40</v>
      </c>
      <c r="C12" s="25" t="s">
        <v>10</v>
      </c>
      <c r="D12" s="16">
        <v>19</v>
      </c>
      <c r="E12" s="17">
        <v>29477.09</v>
      </c>
      <c r="F12" s="17">
        <v>17748.38</v>
      </c>
      <c r="G12" s="17">
        <v>30351.48</v>
      </c>
      <c r="H12" s="17">
        <v>26933.08</v>
      </c>
      <c r="I12" s="17">
        <v>33492.379999999997</v>
      </c>
      <c r="J12" s="17">
        <v>13338.03</v>
      </c>
      <c r="K12" s="17">
        <v>37779.75</v>
      </c>
      <c r="L12" s="17">
        <v>36785.49</v>
      </c>
      <c r="M12" s="17">
        <v>59518.82</v>
      </c>
      <c r="N12" s="17">
        <v>45197.15</v>
      </c>
      <c r="O12" s="17">
        <v>12899.88</v>
      </c>
      <c r="P12" s="17">
        <v>5059.93</v>
      </c>
      <c r="Q12" s="45">
        <f>SUM(Tabela13[[#This Row],[jan/24]:[dez/24]])</f>
        <v>348581.46</v>
      </c>
    </row>
    <row r="13" spans="2:18" x14ac:dyDescent="0.25">
      <c r="B13" s="29" t="s">
        <v>43</v>
      </c>
      <c r="C13" s="25" t="s">
        <v>11</v>
      </c>
      <c r="D13" s="16">
        <v>21</v>
      </c>
      <c r="E13" s="17">
        <v>74297.539999999994</v>
      </c>
      <c r="F13" s="17">
        <v>103936.73</v>
      </c>
      <c r="G13" s="17">
        <v>113110.21</v>
      </c>
      <c r="H13" s="17">
        <v>34276.769999999997</v>
      </c>
      <c r="I13" s="17">
        <v>17786.98</v>
      </c>
      <c r="J13" s="17">
        <v>64400.71</v>
      </c>
      <c r="K13" s="17">
        <v>167559.69</v>
      </c>
      <c r="L13" s="17">
        <v>256931.25</v>
      </c>
      <c r="M13" s="17">
        <v>147753.57999999999</v>
      </c>
      <c r="N13" s="17">
        <v>54943.83</v>
      </c>
      <c r="O13" s="17">
        <v>60471.85</v>
      </c>
      <c r="P13" s="17">
        <v>24465.33</v>
      </c>
      <c r="Q13" s="45">
        <f>SUM(Tabela13[[#This Row],[jan/24]:[dez/24]])</f>
        <v>1119934.47</v>
      </c>
      <c r="R13" s="18"/>
    </row>
    <row r="14" spans="2:18" x14ac:dyDescent="0.25">
      <c r="B14" s="29" t="s">
        <v>43</v>
      </c>
      <c r="C14" s="25" t="s">
        <v>11</v>
      </c>
      <c r="D14" s="16">
        <v>22</v>
      </c>
      <c r="E14" s="17">
        <v>4427.01</v>
      </c>
      <c r="F14" s="17">
        <v>9338.2099999999991</v>
      </c>
      <c r="G14" s="17">
        <v>6684.17</v>
      </c>
      <c r="H14" s="17">
        <v>60520.98</v>
      </c>
      <c r="I14" s="17">
        <v>2992.74</v>
      </c>
      <c r="J14" s="17">
        <v>19243.740000000002</v>
      </c>
      <c r="K14" s="17">
        <v>20042.18</v>
      </c>
      <c r="L14" s="17">
        <v>28456.65</v>
      </c>
      <c r="M14" s="17">
        <v>29052.11</v>
      </c>
      <c r="N14" s="17">
        <v>0</v>
      </c>
      <c r="O14" s="17">
        <v>8081.32</v>
      </c>
      <c r="P14" s="17">
        <v>14331.75</v>
      </c>
      <c r="Q14" s="45">
        <f>SUM(Tabela13[[#This Row],[jan/24]:[dez/24]])</f>
        <v>203170.86</v>
      </c>
    </row>
    <row r="15" spans="2:18" x14ac:dyDescent="0.25">
      <c r="B15" s="29" t="s">
        <v>43</v>
      </c>
      <c r="C15" s="25" t="s">
        <v>11</v>
      </c>
      <c r="D15" s="16">
        <v>24</v>
      </c>
      <c r="E15" s="17">
        <v>367881.37</v>
      </c>
      <c r="F15" s="17">
        <v>12453.85</v>
      </c>
      <c r="G15" s="17">
        <v>120369.53</v>
      </c>
      <c r="H15" s="17">
        <v>7390.25</v>
      </c>
      <c r="I15" s="17">
        <v>20474.759999999998</v>
      </c>
      <c r="J15" s="17">
        <v>15676.03</v>
      </c>
      <c r="K15" s="17">
        <v>2956.19</v>
      </c>
      <c r="L15" s="17">
        <v>1263.77</v>
      </c>
      <c r="M15" s="17">
        <v>1980.1</v>
      </c>
      <c r="N15" s="17">
        <v>1574</v>
      </c>
      <c r="O15" s="17">
        <v>4036.12</v>
      </c>
      <c r="P15" s="17">
        <v>5871.51</v>
      </c>
      <c r="Q15" s="45">
        <f>SUM(Tabela13[[#This Row],[jan/24]:[dez/24]])</f>
        <v>561927.48</v>
      </c>
    </row>
    <row r="16" spans="2:18" x14ac:dyDescent="0.25">
      <c r="B16" s="29" t="s">
        <v>43</v>
      </c>
      <c r="C16" s="25" t="s">
        <v>12</v>
      </c>
      <c r="D16" s="16">
        <v>27</v>
      </c>
      <c r="E16" s="17">
        <v>44220.91</v>
      </c>
      <c r="F16" s="17">
        <v>3252.05</v>
      </c>
      <c r="G16" s="17">
        <v>9088.33</v>
      </c>
      <c r="H16" s="17">
        <v>5965.85</v>
      </c>
      <c r="I16" s="17">
        <v>19285.740000000002</v>
      </c>
      <c r="J16" s="17">
        <v>37834.160000000003</v>
      </c>
      <c r="K16" s="17">
        <v>12509.85</v>
      </c>
      <c r="L16" s="17">
        <v>11271.89</v>
      </c>
      <c r="M16" s="17">
        <v>13252.54</v>
      </c>
      <c r="N16" s="17">
        <v>34150.370000000003</v>
      </c>
      <c r="O16" s="17">
        <v>43657.9</v>
      </c>
      <c r="P16" s="17">
        <v>23976.52</v>
      </c>
      <c r="Q16" s="45">
        <f>SUM(Tabela13[[#This Row],[jan/24]:[dez/24]])</f>
        <v>258466.11000000002</v>
      </c>
    </row>
    <row r="17" spans="2:19" x14ac:dyDescent="0.25">
      <c r="B17" s="29" t="s">
        <v>43</v>
      </c>
      <c r="C17" s="25" t="s">
        <v>12</v>
      </c>
      <c r="D17" s="16">
        <v>28</v>
      </c>
      <c r="E17" s="17">
        <v>423</v>
      </c>
      <c r="F17" s="17">
        <v>7135.9</v>
      </c>
      <c r="G17" s="17">
        <v>5763.71</v>
      </c>
      <c r="H17" s="17">
        <v>15174.22</v>
      </c>
      <c r="I17" s="17">
        <v>6125.9</v>
      </c>
      <c r="J17" s="17">
        <v>11913.42</v>
      </c>
      <c r="K17" s="17">
        <v>3964.5</v>
      </c>
      <c r="L17" s="17">
        <v>1647.78</v>
      </c>
      <c r="M17" s="17">
        <v>76350.98</v>
      </c>
      <c r="N17" s="17">
        <v>53633.02</v>
      </c>
      <c r="O17" s="17">
        <v>60060.3</v>
      </c>
      <c r="P17" s="17">
        <v>106005.3</v>
      </c>
      <c r="Q17" s="45">
        <f>SUM(Tabela13[[#This Row],[jan/24]:[dez/24]])</f>
        <v>348198.02999999997</v>
      </c>
    </row>
    <row r="18" spans="2:19" x14ac:dyDescent="0.25">
      <c r="B18" s="29" t="s">
        <v>43</v>
      </c>
      <c r="C18" s="25" t="s">
        <v>13</v>
      </c>
      <c r="D18" s="16">
        <v>31</v>
      </c>
      <c r="E18" s="17">
        <v>420328.7</v>
      </c>
      <c r="F18" s="17">
        <v>267299.71999999997</v>
      </c>
      <c r="G18" s="17">
        <v>252055.64</v>
      </c>
      <c r="H18" s="17">
        <v>423774.07</v>
      </c>
      <c r="I18" s="17">
        <v>397696.44</v>
      </c>
      <c r="J18" s="17">
        <v>264663.32</v>
      </c>
      <c r="K18" s="17">
        <v>366340.91</v>
      </c>
      <c r="L18" s="17">
        <v>360676.86</v>
      </c>
      <c r="M18" s="17">
        <v>449196.41</v>
      </c>
      <c r="N18" s="17">
        <v>354630.41</v>
      </c>
      <c r="O18" s="17">
        <v>386697.59</v>
      </c>
      <c r="P18" s="17">
        <v>260491.03</v>
      </c>
      <c r="Q18" s="45">
        <f>SUM(Tabela13[[#This Row],[jan/24]:[dez/24]])</f>
        <v>4203851.0999999996</v>
      </c>
      <c r="R18" s="18"/>
      <c r="S18" s="18"/>
    </row>
    <row r="19" spans="2:19" x14ac:dyDescent="0.25">
      <c r="B19" s="29" t="s">
        <v>42</v>
      </c>
      <c r="C19" s="25" t="s">
        <v>13</v>
      </c>
      <c r="D19" s="16">
        <v>32</v>
      </c>
      <c r="E19" s="17">
        <v>8944.06</v>
      </c>
      <c r="F19" s="17">
        <v>10258.49</v>
      </c>
      <c r="G19" s="17">
        <v>18950.400000000001</v>
      </c>
      <c r="H19" s="17">
        <v>37991.93</v>
      </c>
      <c r="I19" s="17">
        <v>27678.59</v>
      </c>
      <c r="J19" s="17">
        <v>21957.63</v>
      </c>
      <c r="K19" s="17">
        <v>9674.01</v>
      </c>
      <c r="L19" s="17">
        <v>22217.16</v>
      </c>
      <c r="M19" s="17">
        <v>17929.45</v>
      </c>
      <c r="N19" s="17">
        <v>65466.04</v>
      </c>
      <c r="O19" s="17">
        <v>6473.66</v>
      </c>
      <c r="P19" s="17">
        <v>12972.91</v>
      </c>
      <c r="Q19" s="45">
        <f>SUM(Tabela13[[#This Row],[jan/24]:[dez/24]])</f>
        <v>260514.33000000005</v>
      </c>
    </row>
    <row r="20" spans="2:19" x14ac:dyDescent="0.25">
      <c r="B20" s="29" t="s">
        <v>40</v>
      </c>
      <c r="C20" s="25" t="s">
        <v>13</v>
      </c>
      <c r="D20" s="16">
        <v>33</v>
      </c>
      <c r="E20" s="17">
        <v>29987.64</v>
      </c>
      <c r="F20" s="17">
        <v>80767.69</v>
      </c>
      <c r="G20" s="17">
        <v>20009.12</v>
      </c>
      <c r="H20" s="17">
        <v>40262.410000000003</v>
      </c>
      <c r="I20" s="17">
        <v>104820.39</v>
      </c>
      <c r="J20" s="17">
        <v>15642.2</v>
      </c>
      <c r="K20" s="17">
        <v>29385.26</v>
      </c>
      <c r="L20" s="17">
        <v>47647.22</v>
      </c>
      <c r="M20" s="17">
        <v>57614.8</v>
      </c>
      <c r="N20" s="17">
        <v>41304.07</v>
      </c>
      <c r="O20" s="17">
        <v>48586.57</v>
      </c>
      <c r="P20" s="17">
        <v>30310.19</v>
      </c>
      <c r="Q20" s="45">
        <f>SUM(Tabela13[[#This Row],[jan/24]:[dez/24]])</f>
        <v>546337.56000000006</v>
      </c>
    </row>
    <row r="21" spans="2:19" x14ac:dyDescent="0.25">
      <c r="B21" s="29" t="s">
        <v>42</v>
      </c>
      <c r="C21" s="25" t="s">
        <v>13</v>
      </c>
      <c r="D21" s="16">
        <v>34</v>
      </c>
      <c r="E21" s="17">
        <v>12202.48</v>
      </c>
      <c r="F21" s="17">
        <v>12311.72</v>
      </c>
      <c r="G21" s="17">
        <v>10019.64</v>
      </c>
      <c r="H21" s="17">
        <v>37937.25</v>
      </c>
      <c r="I21" s="17">
        <v>12870.56</v>
      </c>
      <c r="J21" s="17">
        <v>51892.87</v>
      </c>
      <c r="K21" s="17">
        <v>8808.2000000000007</v>
      </c>
      <c r="L21" s="17">
        <v>55407.32</v>
      </c>
      <c r="M21" s="17">
        <v>39635.440000000002</v>
      </c>
      <c r="N21" s="17">
        <v>21045.64</v>
      </c>
      <c r="O21" s="17">
        <v>45682.59</v>
      </c>
      <c r="P21" s="17">
        <v>7479.05</v>
      </c>
      <c r="Q21" s="45">
        <f>SUM(Tabela13[[#This Row],[jan/24]:[dez/24]])</f>
        <v>315292.75999999995</v>
      </c>
    </row>
    <row r="22" spans="2:19" x14ac:dyDescent="0.25">
      <c r="B22" s="29" t="s">
        <v>40</v>
      </c>
      <c r="C22" s="25" t="s">
        <v>13</v>
      </c>
      <c r="D22" s="16">
        <v>35</v>
      </c>
      <c r="E22" s="17">
        <v>18029.349999999999</v>
      </c>
      <c r="F22" s="17">
        <v>20025.16</v>
      </c>
      <c r="G22" s="17">
        <v>7460.13</v>
      </c>
      <c r="H22" s="17">
        <v>12164.56</v>
      </c>
      <c r="I22" s="17">
        <v>15032.1</v>
      </c>
      <c r="J22" s="17">
        <v>15034.01</v>
      </c>
      <c r="K22" s="17">
        <v>15659.4</v>
      </c>
      <c r="L22" s="17">
        <v>25843.08</v>
      </c>
      <c r="M22" s="17">
        <v>91185.91</v>
      </c>
      <c r="N22" s="17">
        <v>1668.75</v>
      </c>
      <c r="O22" s="17">
        <v>7992.85</v>
      </c>
      <c r="P22" s="17">
        <v>14004.1</v>
      </c>
      <c r="Q22" s="45">
        <f>SUM(Tabela13[[#This Row],[jan/24]:[dez/24]])</f>
        <v>244099.4</v>
      </c>
    </row>
    <row r="23" spans="2:19" x14ac:dyDescent="0.25">
      <c r="B23" s="29" t="s">
        <v>42</v>
      </c>
      <c r="C23" s="25" t="s">
        <v>13</v>
      </c>
      <c r="D23" s="16">
        <v>37</v>
      </c>
      <c r="E23" s="17">
        <v>77917.149999999994</v>
      </c>
      <c r="F23" s="17">
        <v>20298.34</v>
      </c>
      <c r="G23" s="17">
        <v>9765.5</v>
      </c>
      <c r="H23" s="17">
        <v>107267.08</v>
      </c>
      <c r="I23" s="17">
        <v>36058.11</v>
      </c>
      <c r="J23" s="17">
        <v>18592.48</v>
      </c>
      <c r="K23" s="17">
        <v>26669.49</v>
      </c>
      <c r="L23" s="17">
        <v>8169.69</v>
      </c>
      <c r="M23" s="17">
        <v>8122.61</v>
      </c>
      <c r="N23" s="17">
        <v>17573.03</v>
      </c>
      <c r="O23" s="17">
        <v>7607.63</v>
      </c>
      <c r="P23" s="17">
        <v>6327.42</v>
      </c>
      <c r="Q23" s="45">
        <f>SUM(Tabela13[[#This Row],[jan/24]:[dez/24]])</f>
        <v>344368.52999999997</v>
      </c>
    </row>
    <row r="24" spans="2:19" x14ac:dyDescent="0.25">
      <c r="B24" s="29" t="s">
        <v>42</v>
      </c>
      <c r="C24" s="25" t="s">
        <v>13</v>
      </c>
      <c r="D24" s="16">
        <v>38</v>
      </c>
      <c r="E24" s="17">
        <v>7160.33</v>
      </c>
      <c r="F24" s="17">
        <v>29567.89</v>
      </c>
      <c r="G24" s="17">
        <v>16526.759999999998</v>
      </c>
      <c r="H24" s="17">
        <v>19110.79</v>
      </c>
      <c r="I24" s="17">
        <v>5559.49</v>
      </c>
      <c r="J24" s="17">
        <v>47096.43</v>
      </c>
      <c r="K24" s="17">
        <v>18171.52</v>
      </c>
      <c r="L24" s="17">
        <v>56662.94</v>
      </c>
      <c r="M24" s="17">
        <v>16626</v>
      </c>
      <c r="N24" s="17">
        <v>12234.43</v>
      </c>
      <c r="O24" s="17">
        <v>6819.59</v>
      </c>
      <c r="P24" s="17">
        <v>4377.95</v>
      </c>
      <c r="Q24" s="45">
        <f>SUM(Tabela13[[#This Row],[jan/24]:[dez/24]])</f>
        <v>239914.12</v>
      </c>
    </row>
    <row r="25" spans="2:19" x14ac:dyDescent="0.25">
      <c r="B25" s="29" t="s">
        <v>41</v>
      </c>
      <c r="C25" s="25" t="s">
        <v>14</v>
      </c>
      <c r="D25" s="16">
        <v>41</v>
      </c>
      <c r="E25" s="17">
        <v>5138.8</v>
      </c>
      <c r="F25" s="17">
        <v>8715.84</v>
      </c>
      <c r="G25" s="17">
        <v>5397.21</v>
      </c>
      <c r="H25" s="17">
        <v>2536.15</v>
      </c>
      <c r="I25" s="17">
        <v>16570.759999999998</v>
      </c>
      <c r="J25" s="17">
        <v>9818.7900000000009</v>
      </c>
      <c r="K25" s="17">
        <v>2818.5</v>
      </c>
      <c r="L25" s="17">
        <v>11368.49</v>
      </c>
      <c r="M25" s="17">
        <v>3902.36</v>
      </c>
      <c r="N25" s="17">
        <v>11179.69</v>
      </c>
      <c r="O25" s="17">
        <v>5632.48</v>
      </c>
      <c r="P25" s="17">
        <v>11776.05</v>
      </c>
      <c r="Q25" s="45">
        <f>SUM(Tabela13[[#This Row],[jan/24]:[dez/24]])</f>
        <v>94855.12</v>
      </c>
    </row>
    <row r="26" spans="2:19" x14ac:dyDescent="0.25">
      <c r="B26" s="29" t="s">
        <v>41</v>
      </c>
      <c r="C26" s="25" t="s">
        <v>14</v>
      </c>
      <c r="D26" s="16">
        <v>42</v>
      </c>
      <c r="E26" s="17">
        <v>1793.85</v>
      </c>
      <c r="F26" s="17">
        <v>979.8</v>
      </c>
      <c r="G26" s="17">
        <v>784.77</v>
      </c>
      <c r="H26" s="17">
        <v>4758.87</v>
      </c>
      <c r="I26" s="17">
        <v>987.5</v>
      </c>
      <c r="J26" s="17">
        <v>3162.84</v>
      </c>
      <c r="K26" s="17">
        <v>511.45</v>
      </c>
      <c r="L26" s="17">
        <v>464.9</v>
      </c>
      <c r="M26" s="17">
        <v>2670.1</v>
      </c>
      <c r="N26" s="17">
        <v>513.41</v>
      </c>
      <c r="O26" s="17">
        <v>3266.18</v>
      </c>
      <c r="P26" s="17">
        <v>3275.47</v>
      </c>
      <c r="Q26" s="45">
        <f>SUM(Tabela13[[#This Row],[jan/24]:[dez/24]])</f>
        <v>23169.140000000003</v>
      </c>
    </row>
    <row r="27" spans="2:19" x14ac:dyDescent="0.25">
      <c r="B27" s="29" t="s">
        <v>41</v>
      </c>
      <c r="C27" s="25" t="s">
        <v>14</v>
      </c>
      <c r="D27" s="16">
        <v>43</v>
      </c>
      <c r="E27" s="17">
        <v>4490.33</v>
      </c>
      <c r="F27" s="17">
        <v>2754.36</v>
      </c>
      <c r="G27" s="17">
        <v>1678.37</v>
      </c>
      <c r="H27" s="17">
        <v>0</v>
      </c>
      <c r="I27" s="17">
        <v>48257.95</v>
      </c>
      <c r="J27" s="17">
        <v>2736.76</v>
      </c>
      <c r="K27" s="17">
        <v>8916.83</v>
      </c>
      <c r="L27" s="17">
        <v>4248.6000000000004</v>
      </c>
      <c r="M27" s="17">
        <v>1333.95</v>
      </c>
      <c r="N27" s="17">
        <v>16307.61</v>
      </c>
      <c r="O27" s="17">
        <v>3036.37</v>
      </c>
      <c r="P27" s="17">
        <v>2230</v>
      </c>
      <c r="Q27" s="45">
        <f>SUM(Tabela13[[#This Row],[jan/24]:[dez/24]])</f>
        <v>95991.12999999999</v>
      </c>
    </row>
    <row r="28" spans="2:19" x14ac:dyDescent="0.25">
      <c r="B28" s="29" t="s">
        <v>41</v>
      </c>
      <c r="C28" s="25" t="s">
        <v>14</v>
      </c>
      <c r="D28" s="16">
        <v>44</v>
      </c>
      <c r="E28" s="17">
        <v>0</v>
      </c>
      <c r="F28" s="17">
        <v>2751.7</v>
      </c>
      <c r="G28" s="17">
        <v>3875.96</v>
      </c>
      <c r="H28" s="17">
        <v>710.5</v>
      </c>
      <c r="I28" s="17">
        <v>4630.63</v>
      </c>
      <c r="J28" s="17">
        <v>2503.31</v>
      </c>
      <c r="K28" s="17">
        <v>69311.48</v>
      </c>
      <c r="L28" s="17">
        <v>0</v>
      </c>
      <c r="M28" s="17">
        <v>12113.6</v>
      </c>
      <c r="N28" s="17">
        <v>1189.05</v>
      </c>
      <c r="O28" s="17">
        <v>0</v>
      </c>
      <c r="P28" s="17">
        <v>0</v>
      </c>
      <c r="Q28" s="45">
        <f>SUM(Tabela13[[#This Row],[jan/24]:[dez/24]])</f>
        <v>97086.23000000001</v>
      </c>
    </row>
    <row r="29" spans="2:19" x14ac:dyDescent="0.25">
      <c r="B29" s="29" t="s">
        <v>41</v>
      </c>
      <c r="C29" s="25" t="s">
        <v>14</v>
      </c>
      <c r="D29" s="16">
        <v>45</v>
      </c>
      <c r="E29" s="17">
        <v>614.04999999999995</v>
      </c>
      <c r="F29" s="17">
        <v>0</v>
      </c>
      <c r="G29" s="17">
        <v>1194.26</v>
      </c>
      <c r="H29" s="17">
        <v>0</v>
      </c>
      <c r="I29" s="17">
        <v>8244.7000000000007</v>
      </c>
      <c r="J29" s="17">
        <v>1980.9</v>
      </c>
      <c r="K29" s="17">
        <v>1211.49</v>
      </c>
      <c r="L29" s="17">
        <v>1715.96</v>
      </c>
      <c r="M29" s="17">
        <v>5294.06</v>
      </c>
      <c r="N29" s="17">
        <v>2947.61</v>
      </c>
      <c r="O29" s="17">
        <v>10201.129999999999</v>
      </c>
      <c r="P29" s="17">
        <v>1062</v>
      </c>
      <c r="Q29" s="45">
        <f>SUM(Tabela13[[#This Row],[jan/24]:[dez/24]])</f>
        <v>34466.160000000003</v>
      </c>
    </row>
    <row r="30" spans="2:19" x14ac:dyDescent="0.25">
      <c r="B30" s="29" t="s">
        <v>41</v>
      </c>
      <c r="C30" s="25" t="s">
        <v>14</v>
      </c>
      <c r="D30" s="16">
        <v>46</v>
      </c>
      <c r="E30" s="17">
        <v>0</v>
      </c>
      <c r="F30" s="17">
        <v>4107.55</v>
      </c>
      <c r="G30" s="17">
        <v>0</v>
      </c>
      <c r="H30" s="17">
        <v>0</v>
      </c>
      <c r="I30" s="17">
        <v>1960.9</v>
      </c>
      <c r="J30" s="17">
        <v>6032.06</v>
      </c>
      <c r="K30" s="17">
        <v>529.75</v>
      </c>
      <c r="L30" s="17">
        <v>4225.6499999999996</v>
      </c>
      <c r="M30" s="17">
        <v>1419.2</v>
      </c>
      <c r="N30" s="17">
        <v>2927.7</v>
      </c>
      <c r="O30" s="17">
        <v>0</v>
      </c>
      <c r="P30" s="17">
        <v>0</v>
      </c>
      <c r="Q30" s="45">
        <f>SUM(Tabela13[[#This Row],[jan/24]:[dez/24]])</f>
        <v>21202.810000000005</v>
      </c>
    </row>
    <row r="31" spans="2:19" x14ac:dyDescent="0.25">
      <c r="B31" s="29" t="s">
        <v>41</v>
      </c>
      <c r="C31" s="25" t="s">
        <v>15</v>
      </c>
      <c r="D31" s="16">
        <v>47</v>
      </c>
      <c r="E31" s="17">
        <v>12721.43</v>
      </c>
      <c r="F31" s="17">
        <v>9350.58</v>
      </c>
      <c r="G31" s="17">
        <v>18221.93</v>
      </c>
      <c r="H31" s="17">
        <v>2450.69</v>
      </c>
      <c r="I31" s="17">
        <v>8203.85</v>
      </c>
      <c r="J31" s="17">
        <v>31962.79</v>
      </c>
      <c r="K31" s="17">
        <v>30301.1</v>
      </c>
      <c r="L31" s="17">
        <v>3986.76</v>
      </c>
      <c r="M31" s="17">
        <v>16970.87</v>
      </c>
      <c r="N31" s="17">
        <v>3669.3</v>
      </c>
      <c r="O31" s="17">
        <v>16111.55</v>
      </c>
      <c r="P31" s="17">
        <v>1089.21</v>
      </c>
      <c r="Q31" s="45">
        <f>SUM(Tabela13[[#This Row],[jan/24]:[dez/24]])</f>
        <v>155040.05999999997</v>
      </c>
    </row>
    <row r="32" spans="2:19" x14ac:dyDescent="0.25">
      <c r="B32" s="29" t="s">
        <v>41</v>
      </c>
      <c r="C32" s="25" t="s">
        <v>15</v>
      </c>
      <c r="D32" s="16">
        <v>48</v>
      </c>
      <c r="E32" s="17">
        <v>4112.8100000000004</v>
      </c>
      <c r="F32" s="17">
        <v>1450.38</v>
      </c>
      <c r="G32" s="17">
        <v>2587.67</v>
      </c>
      <c r="H32" s="17">
        <v>1455.9</v>
      </c>
      <c r="I32" s="17">
        <v>755.21</v>
      </c>
      <c r="J32" s="17">
        <v>3028.85</v>
      </c>
      <c r="K32" s="17">
        <v>928.07</v>
      </c>
      <c r="L32" s="17">
        <v>2736.32</v>
      </c>
      <c r="M32" s="17">
        <v>658.01</v>
      </c>
      <c r="N32" s="17">
        <v>661.58</v>
      </c>
      <c r="O32" s="17">
        <v>17798</v>
      </c>
      <c r="P32" s="17">
        <v>6710.27</v>
      </c>
      <c r="Q32" s="45">
        <f>SUM(Tabela13[[#This Row],[jan/24]:[dez/24]])</f>
        <v>42883.070000000007</v>
      </c>
    </row>
    <row r="33" spans="2:17" x14ac:dyDescent="0.25">
      <c r="B33" s="29" t="s">
        <v>41</v>
      </c>
      <c r="C33" s="25" t="s">
        <v>15</v>
      </c>
      <c r="D33" s="16">
        <v>49</v>
      </c>
      <c r="E33" s="17">
        <v>0</v>
      </c>
      <c r="F33" s="17">
        <v>4817.7</v>
      </c>
      <c r="G33" s="17">
        <v>943.73</v>
      </c>
      <c r="H33" s="17">
        <v>3920.51</v>
      </c>
      <c r="I33" s="17">
        <v>1790.13</v>
      </c>
      <c r="J33" s="17">
        <v>2105</v>
      </c>
      <c r="K33" s="17">
        <v>3375.95</v>
      </c>
      <c r="L33" s="17">
        <v>0</v>
      </c>
      <c r="M33" s="17">
        <v>4552.37</v>
      </c>
      <c r="N33" s="17">
        <v>23450.63</v>
      </c>
      <c r="O33" s="17">
        <v>0</v>
      </c>
      <c r="P33" s="17">
        <v>1996.52</v>
      </c>
      <c r="Q33" s="45">
        <f>SUM(Tabela13[[#This Row],[jan/24]:[dez/24]])</f>
        <v>46952.54</v>
      </c>
    </row>
    <row r="34" spans="2:17" x14ac:dyDescent="0.25">
      <c r="B34" s="29" t="s">
        <v>41</v>
      </c>
      <c r="C34" s="25" t="s">
        <v>16</v>
      </c>
      <c r="D34" s="16">
        <v>51</v>
      </c>
      <c r="E34" s="17">
        <v>17609.88</v>
      </c>
      <c r="F34" s="17">
        <v>10361.6</v>
      </c>
      <c r="G34" s="17">
        <v>19447.18</v>
      </c>
      <c r="H34" s="17">
        <v>15206.86</v>
      </c>
      <c r="I34" s="17">
        <v>7281.76</v>
      </c>
      <c r="J34" s="17">
        <v>6424.7</v>
      </c>
      <c r="K34" s="17">
        <v>11115.52</v>
      </c>
      <c r="L34" s="17">
        <v>14329.97</v>
      </c>
      <c r="M34" s="17">
        <v>7492.7</v>
      </c>
      <c r="N34" s="17">
        <v>4187.95</v>
      </c>
      <c r="O34" s="17">
        <v>17417.18</v>
      </c>
      <c r="P34" s="17">
        <v>29901.65</v>
      </c>
      <c r="Q34" s="45">
        <f>SUM(Tabela13[[#This Row],[jan/24]:[dez/24]])</f>
        <v>160776.94999999998</v>
      </c>
    </row>
    <row r="35" spans="2:17" x14ac:dyDescent="0.25">
      <c r="B35" s="29" t="s">
        <v>41</v>
      </c>
      <c r="C35" s="25" t="s">
        <v>16</v>
      </c>
      <c r="D35" s="16">
        <v>53</v>
      </c>
      <c r="E35" s="17">
        <v>8815.9599999999991</v>
      </c>
      <c r="F35" s="17">
        <v>0</v>
      </c>
      <c r="G35" s="17">
        <v>21067.79</v>
      </c>
      <c r="H35" s="17">
        <v>0</v>
      </c>
      <c r="I35" s="17">
        <v>3278.34</v>
      </c>
      <c r="J35" s="17">
        <v>4514.3599999999997</v>
      </c>
      <c r="K35" s="17">
        <v>0</v>
      </c>
      <c r="L35" s="17">
        <v>48355.23</v>
      </c>
      <c r="M35" s="17">
        <v>0</v>
      </c>
      <c r="N35" s="17">
        <v>1540.35</v>
      </c>
      <c r="O35" s="17">
        <v>0</v>
      </c>
      <c r="P35" s="17">
        <v>2701.62</v>
      </c>
      <c r="Q35" s="45">
        <f>SUM(Tabela13[[#This Row],[jan/24]:[dez/24]])</f>
        <v>90273.65</v>
      </c>
    </row>
    <row r="36" spans="2:17" x14ac:dyDescent="0.25">
      <c r="B36" s="29" t="s">
        <v>41</v>
      </c>
      <c r="C36" s="25" t="s">
        <v>16</v>
      </c>
      <c r="D36" s="16">
        <v>54</v>
      </c>
      <c r="E36" s="17">
        <v>3173</v>
      </c>
      <c r="F36" s="17">
        <v>275.58</v>
      </c>
      <c r="G36" s="17">
        <v>312.93</v>
      </c>
      <c r="H36" s="17">
        <v>0</v>
      </c>
      <c r="I36" s="17">
        <v>0</v>
      </c>
      <c r="J36" s="17">
        <v>0</v>
      </c>
      <c r="K36" s="17">
        <v>17460.88</v>
      </c>
      <c r="L36" s="17">
        <v>43510.28</v>
      </c>
      <c r="M36" s="17">
        <v>4837.9799999999996</v>
      </c>
      <c r="N36" s="17">
        <v>39138.32</v>
      </c>
      <c r="O36" s="17">
        <v>6924.96</v>
      </c>
      <c r="P36" s="17">
        <v>0</v>
      </c>
      <c r="Q36" s="45">
        <f>SUM(Tabela13[[#This Row],[jan/24]:[dez/24]])</f>
        <v>115633.93000000001</v>
      </c>
    </row>
    <row r="37" spans="2:17" x14ac:dyDescent="0.25">
      <c r="B37" s="29" t="s">
        <v>41</v>
      </c>
      <c r="C37" s="25" t="s">
        <v>16</v>
      </c>
      <c r="D37" s="16">
        <v>55</v>
      </c>
      <c r="E37" s="17">
        <v>36512.47</v>
      </c>
      <c r="F37" s="17">
        <v>2749.29</v>
      </c>
      <c r="G37" s="17">
        <v>4547.53</v>
      </c>
      <c r="H37" s="17">
        <v>33170.370000000003</v>
      </c>
      <c r="I37" s="17">
        <v>31688.83</v>
      </c>
      <c r="J37" s="17">
        <v>2321.0700000000002</v>
      </c>
      <c r="K37" s="17">
        <v>5388.32</v>
      </c>
      <c r="L37" s="17">
        <v>13428.98</v>
      </c>
      <c r="M37" s="17">
        <v>29770.799999999999</v>
      </c>
      <c r="N37" s="17">
        <v>17058.2</v>
      </c>
      <c r="O37" s="17">
        <v>33321.9</v>
      </c>
      <c r="P37" s="17">
        <v>14784.03</v>
      </c>
      <c r="Q37" s="45">
        <f>SUM(Tabela13[[#This Row],[jan/24]:[dez/24]])</f>
        <v>224741.79</v>
      </c>
    </row>
    <row r="38" spans="2:17" x14ac:dyDescent="0.25">
      <c r="B38" s="29" t="s">
        <v>41</v>
      </c>
      <c r="C38" s="25" t="s">
        <v>17</v>
      </c>
      <c r="D38" s="16">
        <v>61</v>
      </c>
      <c r="E38" s="17">
        <v>14434.4</v>
      </c>
      <c r="F38" s="17">
        <v>6998.38</v>
      </c>
      <c r="G38" s="17">
        <v>33331.300000000003</v>
      </c>
      <c r="H38" s="17">
        <v>5161.99</v>
      </c>
      <c r="I38" s="17">
        <v>25037.27</v>
      </c>
      <c r="J38" s="17">
        <v>31473.05</v>
      </c>
      <c r="K38" s="17">
        <v>13432.33</v>
      </c>
      <c r="L38" s="17">
        <v>26123.11</v>
      </c>
      <c r="M38" s="17">
        <v>22467.37</v>
      </c>
      <c r="N38" s="17">
        <v>12431.58</v>
      </c>
      <c r="O38" s="17">
        <v>3200.51</v>
      </c>
      <c r="P38" s="17">
        <v>24240.35</v>
      </c>
      <c r="Q38" s="45">
        <f>SUM(Tabela13[[#This Row],[jan/24]:[dez/24]])</f>
        <v>218331.64</v>
      </c>
    </row>
    <row r="39" spans="2:17" x14ac:dyDescent="0.25">
      <c r="B39" s="29" t="s">
        <v>41</v>
      </c>
      <c r="C39" s="25" t="s">
        <v>18</v>
      </c>
      <c r="D39" s="16">
        <v>62</v>
      </c>
      <c r="E39" s="17">
        <v>4721.12</v>
      </c>
      <c r="F39" s="17">
        <v>11001.92</v>
      </c>
      <c r="G39" s="17">
        <v>6538.44</v>
      </c>
      <c r="H39" s="17">
        <v>14793.92</v>
      </c>
      <c r="I39" s="17">
        <v>7579.02</v>
      </c>
      <c r="J39" s="17">
        <v>1772.42</v>
      </c>
      <c r="K39" s="17">
        <v>19934.47</v>
      </c>
      <c r="L39" s="17">
        <v>19131.79</v>
      </c>
      <c r="M39" s="17">
        <v>19332.080000000002</v>
      </c>
      <c r="N39" s="17">
        <v>5062.45</v>
      </c>
      <c r="O39" s="17">
        <v>16381.45</v>
      </c>
      <c r="P39" s="17">
        <v>32237.63</v>
      </c>
      <c r="Q39" s="45">
        <f>SUM(Tabela13[[#This Row],[jan/24]:[dez/24]])</f>
        <v>158486.71</v>
      </c>
    </row>
    <row r="40" spans="2:17" x14ac:dyDescent="0.25">
      <c r="B40" s="29" t="s">
        <v>41</v>
      </c>
      <c r="C40" s="25" t="s">
        <v>19</v>
      </c>
      <c r="D40" s="16">
        <v>63</v>
      </c>
      <c r="E40" s="17">
        <v>6945.24</v>
      </c>
      <c r="F40" s="17">
        <v>2257.38</v>
      </c>
      <c r="G40" s="17">
        <v>2240</v>
      </c>
      <c r="H40" s="17">
        <v>529.29999999999995</v>
      </c>
      <c r="I40" s="17">
        <v>2814.22</v>
      </c>
      <c r="J40" s="17">
        <v>9494.6200000000008</v>
      </c>
      <c r="K40" s="17">
        <v>6447.56</v>
      </c>
      <c r="L40" s="17">
        <v>87.37</v>
      </c>
      <c r="M40" s="17">
        <v>2210</v>
      </c>
      <c r="N40" s="17">
        <v>37195.699999999997</v>
      </c>
      <c r="O40" s="17">
        <v>0</v>
      </c>
      <c r="P40" s="17">
        <v>11264.27</v>
      </c>
      <c r="Q40" s="45">
        <f>SUM(Tabela13[[#This Row],[jan/24]:[dez/24]])</f>
        <v>81485.66</v>
      </c>
    </row>
    <row r="41" spans="2:17" x14ac:dyDescent="0.25">
      <c r="B41" s="29" t="s">
        <v>41</v>
      </c>
      <c r="C41" s="25" t="s">
        <v>18</v>
      </c>
      <c r="D41" s="16">
        <v>64</v>
      </c>
      <c r="E41" s="17">
        <v>0</v>
      </c>
      <c r="F41" s="17">
        <v>1696.38</v>
      </c>
      <c r="G41" s="17">
        <v>136.74</v>
      </c>
      <c r="H41" s="17">
        <v>0</v>
      </c>
      <c r="I41" s="17">
        <v>2521.8000000000002</v>
      </c>
      <c r="J41" s="17">
        <v>411.54</v>
      </c>
      <c r="K41" s="17">
        <v>1852</v>
      </c>
      <c r="L41" s="17">
        <v>485.85</v>
      </c>
      <c r="M41" s="17">
        <v>0</v>
      </c>
      <c r="N41" s="17">
        <v>11175.84</v>
      </c>
      <c r="O41" s="17">
        <v>3862.79</v>
      </c>
      <c r="P41" s="17">
        <v>3206.75</v>
      </c>
      <c r="Q41" s="45">
        <f>SUM(Tabela13[[#This Row],[jan/24]:[dez/24]])</f>
        <v>25349.690000000002</v>
      </c>
    </row>
    <row r="42" spans="2:17" x14ac:dyDescent="0.25">
      <c r="B42" s="29" t="s">
        <v>41</v>
      </c>
      <c r="C42" s="25" t="s">
        <v>20</v>
      </c>
      <c r="D42" s="16">
        <v>65</v>
      </c>
      <c r="E42" s="17">
        <v>0</v>
      </c>
      <c r="F42" s="17">
        <v>4994.8900000000003</v>
      </c>
      <c r="G42" s="17">
        <v>17564.88</v>
      </c>
      <c r="H42" s="17">
        <v>8432.27</v>
      </c>
      <c r="I42" s="17">
        <v>4766.46</v>
      </c>
      <c r="J42" s="17">
        <v>0</v>
      </c>
      <c r="K42" s="17">
        <v>6168.24</v>
      </c>
      <c r="L42" s="17">
        <v>0</v>
      </c>
      <c r="M42" s="17">
        <v>6956.75</v>
      </c>
      <c r="N42" s="17">
        <v>15762.02</v>
      </c>
      <c r="O42" s="17">
        <v>5505.65</v>
      </c>
      <c r="P42" s="17">
        <v>4043.85</v>
      </c>
      <c r="Q42" s="45">
        <f>SUM(Tabela13[[#This Row],[jan/24]:[dez/24]])</f>
        <v>74195.009999999995</v>
      </c>
    </row>
    <row r="43" spans="2:17" x14ac:dyDescent="0.25">
      <c r="B43" s="29" t="s">
        <v>41</v>
      </c>
      <c r="C43" s="25" t="s">
        <v>20</v>
      </c>
      <c r="D43" s="16">
        <v>66</v>
      </c>
      <c r="E43" s="17">
        <v>51937.65</v>
      </c>
      <c r="F43" s="17">
        <v>461.21</v>
      </c>
      <c r="G43" s="17">
        <v>35869</v>
      </c>
      <c r="H43" s="17">
        <v>9286.5</v>
      </c>
      <c r="I43" s="17">
        <v>6042.75</v>
      </c>
      <c r="J43" s="17">
        <v>2841</v>
      </c>
      <c r="K43" s="17">
        <v>438.9</v>
      </c>
      <c r="L43" s="17">
        <v>0</v>
      </c>
      <c r="M43" s="17">
        <v>2976.8</v>
      </c>
      <c r="N43" s="17">
        <v>3641.46</v>
      </c>
      <c r="O43" s="17">
        <v>24015</v>
      </c>
      <c r="P43" s="17">
        <v>3097.95</v>
      </c>
      <c r="Q43" s="45">
        <f>SUM(Tabela13[[#This Row],[jan/24]:[dez/24]])</f>
        <v>140608.22000000003</v>
      </c>
    </row>
    <row r="44" spans="2:17" x14ac:dyDescent="0.25">
      <c r="B44" s="29" t="s">
        <v>41</v>
      </c>
      <c r="C44" s="25" t="s">
        <v>21</v>
      </c>
      <c r="D44" s="16">
        <v>67</v>
      </c>
      <c r="E44" s="17">
        <v>266.51</v>
      </c>
      <c r="F44" s="17">
        <v>3312.03</v>
      </c>
      <c r="G44" s="17">
        <v>18647.68</v>
      </c>
      <c r="H44" s="17">
        <v>2776.03</v>
      </c>
      <c r="I44" s="17">
        <v>5064.3</v>
      </c>
      <c r="J44" s="17">
        <v>15246.59</v>
      </c>
      <c r="K44" s="17">
        <v>3511.04</v>
      </c>
      <c r="L44" s="17">
        <v>3916.37</v>
      </c>
      <c r="M44" s="17">
        <v>8154.18</v>
      </c>
      <c r="N44" s="17">
        <v>11515.5</v>
      </c>
      <c r="O44" s="17">
        <v>2570.48</v>
      </c>
      <c r="P44" s="17">
        <v>25</v>
      </c>
      <c r="Q44" s="45">
        <f>SUM(Tabela13[[#This Row],[jan/24]:[dez/24]])</f>
        <v>75005.710000000006</v>
      </c>
    </row>
    <row r="45" spans="2:17" x14ac:dyDescent="0.25">
      <c r="B45" s="29" t="s">
        <v>41</v>
      </c>
      <c r="C45" s="25" t="s">
        <v>22</v>
      </c>
      <c r="D45" s="16">
        <v>68</v>
      </c>
      <c r="E45" s="17">
        <v>1855.34</v>
      </c>
      <c r="F45" s="17">
        <v>0</v>
      </c>
      <c r="G45" s="17">
        <v>828.7</v>
      </c>
      <c r="H45" s="17">
        <v>250</v>
      </c>
      <c r="I45" s="17">
        <v>0</v>
      </c>
      <c r="J45" s="17">
        <v>9344.25</v>
      </c>
      <c r="K45" s="17">
        <v>3830</v>
      </c>
      <c r="L45" s="17">
        <v>51035.77</v>
      </c>
      <c r="M45" s="17">
        <v>122.21</v>
      </c>
      <c r="N45" s="17">
        <v>10585.86</v>
      </c>
      <c r="O45" s="17">
        <v>0</v>
      </c>
      <c r="P45" s="17">
        <v>572.95000000000005</v>
      </c>
      <c r="Q45" s="45">
        <f>SUM(Tabela13[[#This Row],[jan/24]:[dez/24]])</f>
        <v>78425.08</v>
      </c>
    </row>
    <row r="46" spans="2:17" x14ac:dyDescent="0.25">
      <c r="B46" s="29" t="s">
        <v>41</v>
      </c>
      <c r="C46" s="25" t="s">
        <v>23</v>
      </c>
      <c r="D46" s="16">
        <v>69</v>
      </c>
      <c r="E46" s="17">
        <v>3869.5</v>
      </c>
      <c r="F46" s="17">
        <v>1147.9000000000001</v>
      </c>
      <c r="G46" s="17">
        <v>16286.92</v>
      </c>
      <c r="H46" s="17">
        <v>1771.64</v>
      </c>
      <c r="I46" s="17">
        <v>15909.47</v>
      </c>
      <c r="J46" s="17">
        <v>3982.05</v>
      </c>
      <c r="K46" s="17">
        <v>570</v>
      </c>
      <c r="L46" s="17">
        <v>5200.33</v>
      </c>
      <c r="M46" s="17">
        <v>5950.17</v>
      </c>
      <c r="N46" s="17">
        <v>24517</v>
      </c>
      <c r="O46" s="17">
        <v>420.4</v>
      </c>
      <c r="P46" s="17">
        <v>4478</v>
      </c>
      <c r="Q46" s="45">
        <f>SUM(Tabela13[[#This Row],[jan/24]:[dez/24]])</f>
        <v>84103.38</v>
      </c>
    </row>
    <row r="47" spans="2:17" x14ac:dyDescent="0.25">
      <c r="B47" s="29" t="s">
        <v>42</v>
      </c>
      <c r="C47" s="25" t="s">
        <v>24</v>
      </c>
      <c r="D47" s="16">
        <v>71</v>
      </c>
      <c r="E47" s="17">
        <v>6483.03</v>
      </c>
      <c r="F47" s="17">
        <v>1640.17</v>
      </c>
      <c r="G47" s="17">
        <v>16612.72</v>
      </c>
      <c r="H47" s="17">
        <v>14329.25</v>
      </c>
      <c r="I47" s="17">
        <v>39569.360000000001</v>
      </c>
      <c r="J47" s="17">
        <v>23814.880000000001</v>
      </c>
      <c r="K47" s="17">
        <v>8252.23</v>
      </c>
      <c r="L47" s="17">
        <v>35537.040000000001</v>
      </c>
      <c r="M47" s="17">
        <v>57477.3</v>
      </c>
      <c r="N47" s="17">
        <v>2250.04</v>
      </c>
      <c r="O47" s="17">
        <v>35563.69</v>
      </c>
      <c r="P47" s="17">
        <v>99599.71</v>
      </c>
      <c r="Q47" s="45">
        <f>SUM(Tabela13[[#This Row],[jan/24]:[dez/24]])</f>
        <v>341129.42</v>
      </c>
    </row>
    <row r="48" spans="2:17" x14ac:dyDescent="0.25">
      <c r="B48" s="29" t="s">
        <v>42</v>
      </c>
      <c r="C48" s="25" t="s">
        <v>24</v>
      </c>
      <c r="D48" s="16">
        <v>73</v>
      </c>
      <c r="E48" s="17">
        <v>4209.33</v>
      </c>
      <c r="F48" s="17">
        <v>6648.05</v>
      </c>
      <c r="G48" s="17">
        <v>4870.4399999999996</v>
      </c>
      <c r="H48" s="17">
        <v>1879.93</v>
      </c>
      <c r="I48" s="17">
        <v>1853.09</v>
      </c>
      <c r="J48" s="17">
        <v>2374.38</v>
      </c>
      <c r="K48" s="17">
        <v>8150.53</v>
      </c>
      <c r="L48" s="17">
        <v>4628.8</v>
      </c>
      <c r="M48" s="17">
        <v>7173.77</v>
      </c>
      <c r="N48" s="17">
        <v>0</v>
      </c>
      <c r="O48" s="17">
        <v>5416.72</v>
      </c>
      <c r="P48" s="17">
        <v>213.18</v>
      </c>
      <c r="Q48" s="45">
        <f>SUM(Tabela13[[#This Row],[jan/24]:[dez/24]])</f>
        <v>47418.220000000008</v>
      </c>
    </row>
    <row r="49" spans="2:19" x14ac:dyDescent="0.25">
      <c r="B49" s="29" t="s">
        <v>42</v>
      </c>
      <c r="C49" s="25" t="s">
        <v>24</v>
      </c>
      <c r="D49" s="16">
        <v>74</v>
      </c>
      <c r="E49" s="17">
        <v>118.79</v>
      </c>
      <c r="F49" s="17">
        <v>0</v>
      </c>
      <c r="G49" s="17">
        <v>312.49</v>
      </c>
      <c r="H49" s="17">
        <v>0</v>
      </c>
      <c r="I49" s="17">
        <v>0</v>
      </c>
      <c r="J49" s="17">
        <v>1416.4</v>
      </c>
      <c r="K49" s="17">
        <v>0</v>
      </c>
      <c r="L49" s="17">
        <v>589.55999999999995</v>
      </c>
      <c r="M49" s="17">
        <v>3225.99</v>
      </c>
      <c r="N49" s="17">
        <v>2250.04</v>
      </c>
      <c r="O49" s="17">
        <v>0</v>
      </c>
      <c r="P49" s="17">
        <v>1744.35</v>
      </c>
      <c r="Q49" s="45">
        <f>SUM(Tabela13[[#This Row],[jan/24]:[dez/24]])</f>
        <v>9657.619999999999</v>
      </c>
    </row>
    <row r="50" spans="2:19" x14ac:dyDescent="0.25">
      <c r="B50" s="29" t="s">
        <v>42</v>
      </c>
      <c r="C50" s="25" t="s">
        <v>24</v>
      </c>
      <c r="D50" s="16">
        <v>75</v>
      </c>
      <c r="E50" s="17">
        <v>1710.95</v>
      </c>
      <c r="F50" s="17">
        <v>218.19</v>
      </c>
      <c r="G50" s="17">
        <v>2161.06</v>
      </c>
      <c r="H50" s="17">
        <v>488.72</v>
      </c>
      <c r="I50" s="17">
        <v>6733.47</v>
      </c>
      <c r="J50" s="17">
        <v>1016.47</v>
      </c>
      <c r="K50" s="17">
        <v>1204.07</v>
      </c>
      <c r="L50" s="17">
        <v>740.9</v>
      </c>
      <c r="M50" s="17">
        <v>4320.54</v>
      </c>
      <c r="N50" s="17">
        <v>26344.85</v>
      </c>
      <c r="O50" s="17">
        <v>19993.39</v>
      </c>
      <c r="P50" s="17">
        <v>2787.73</v>
      </c>
      <c r="Q50" s="45">
        <f>SUM(Tabela13[[#This Row],[jan/24]:[dez/24]])</f>
        <v>67720.34</v>
      </c>
    </row>
    <row r="51" spans="2:19" x14ac:dyDescent="0.25">
      <c r="B51" s="29" t="s">
        <v>42</v>
      </c>
      <c r="C51" s="25" t="s">
        <v>24</v>
      </c>
      <c r="D51" s="16">
        <v>77</v>
      </c>
      <c r="E51" s="17">
        <v>0</v>
      </c>
      <c r="F51" s="17">
        <v>866.87</v>
      </c>
      <c r="G51" s="17">
        <v>2486.8000000000002</v>
      </c>
      <c r="H51" s="17">
        <v>5403.6</v>
      </c>
      <c r="I51" s="17">
        <v>0</v>
      </c>
      <c r="J51" s="17">
        <v>623.25</v>
      </c>
      <c r="K51" s="17">
        <v>4182.2299999999996</v>
      </c>
      <c r="L51" s="17">
        <v>1923.87</v>
      </c>
      <c r="M51" s="17">
        <v>3406.59</v>
      </c>
      <c r="N51" s="17">
        <v>8225.9500000000007</v>
      </c>
      <c r="O51" s="17">
        <v>2462.58</v>
      </c>
      <c r="P51" s="17">
        <v>9770</v>
      </c>
      <c r="Q51" s="45">
        <f>SUM(Tabela13[[#This Row],[jan/24]:[dez/24]])</f>
        <v>39351.74</v>
      </c>
    </row>
    <row r="52" spans="2:19" x14ac:dyDescent="0.25">
      <c r="B52" s="29" t="s">
        <v>42</v>
      </c>
      <c r="C52" s="25" t="s">
        <v>25</v>
      </c>
      <c r="D52" s="16">
        <v>79</v>
      </c>
      <c r="E52" s="17">
        <v>2216.71</v>
      </c>
      <c r="F52" s="17">
        <v>4447.7</v>
      </c>
      <c r="G52" s="17">
        <v>15420.05</v>
      </c>
      <c r="H52" s="17">
        <v>15099.05</v>
      </c>
      <c r="I52" s="17">
        <v>0</v>
      </c>
      <c r="J52" s="17">
        <v>11755.05</v>
      </c>
      <c r="K52" s="17">
        <v>2162.29</v>
      </c>
      <c r="L52" s="17">
        <v>6529.98</v>
      </c>
      <c r="M52" s="17">
        <v>5540.68</v>
      </c>
      <c r="N52" s="17">
        <v>8934.09</v>
      </c>
      <c r="O52" s="17">
        <v>5544.87</v>
      </c>
      <c r="P52" s="17">
        <v>913.69</v>
      </c>
      <c r="Q52" s="45">
        <f>SUM(Tabela13[[#This Row],[jan/24]:[dez/24]])</f>
        <v>78564.160000000003</v>
      </c>
    </row>
    <row r="53" spans="2:19" x14ac:dyDescent="0.25">
      <c r="B53" s="29" t="s">
        <v>42</v>
      </c>
      <c r="C53" s="25" t="s">
        <v>26</v>
      </c>
      <c r="D53" s="16">
        <v>81</v>
      </c>
      <c r="E53" s="17">
        <v>7385.39</v>
      </c>
      <c r="F53" s="17">
        <v>5401.25</v>
      </c>
      <c r="G53" s="17">
        <v>5461.72</v>
      </c>
      <c r="H53" s="17">
        <v>9443.24</v>
      </c>
      <c r="I53" s="17">
        <v>1917.8</v>
      </c>
      <c r="J53" s="17">
        <v>31114.74</v>
      </c>
      <c r="K53" s="17">
        <v>32973.51</v>
      </c>
      <c r="L53" s="17">
        <v>28710.14</v>
      </c>
      <c r="M53" s="17">
        <v>88468.18</v>
      </c>
      <c r="N53" s="17">
        <v>43824.76</v>
      </c>
      <c r="O53" s="17">
        <v>57594.62</v>
      </c>
      <c r="P53" s="17">
        <v>67319.850000000006</v>
      </c>
      <c r="Q53" s="45">
        <f>SUM(Tabela13[[#This Row],[jan/24]:[dez/24]])</f>
        <v>379615.19999999995</v>
      </c>
    </row>
    <row r="54" spans="2:19" x14ac:dyDescent="0.25">
      <c r="B54" s="29" t="s">
        <v>42</v>
      </c>
      <c r="C54" s="25" t="s">
        <v>27</v>
      </c>
      <c r="D54" s="16">
        <v>82</v>
      </c>
      <c r="E54" s="17">
        <v>3500.8</v>
      </c>
      <c r="F54" s="17">
        <v>8745.27</v>
      </c>
      <c r="G54" s="17">
        <v>8998.52</v>
      </c>
      <c r="H54" s="17">
        <v>0</v>
      </c>
      <c r="I54" s="17">
        <v>2463.63</v>
      </c>
      <c r="J54" s="17">
        <v>252.15</v>
      </c>
      <c r="K54" s="17">
        <v>4216.75</v>
      </c>
      <c r="L54" s="17">
        <v>556.24</v>
      </c>
      <c r="M54" s="17">
        <v>0</v>
      </c>
      <c r="N54" s="17">
        <v>275.25</v>
      </c>
      <c r="O54" s="17">
        <v>68.17</v>
      </c>
      <c r="P54" s="17">
        <v>11648.02</v>
      </c>
      <c r="Q54" s="45">
        <f>SUM(Tabela13[[#This Row],[jan/24]:[dez/24]])</f>
        <v>40724.800000000003</v>
      </c>
    </row>
    <row r="55" spans="2:19" x14ac:dyDescent="0.25">
      <c r="B55" s="29" t="s">
        <v>42</v>
      </c>
      <c r="C55" s="25" t="s">
        <v>28</v>
      </c>
      <c r="D55" s="16">
        <v>83</v>
      </c>
      <c r="E55" s="17">
        <v>11577.39</v>
      </c>
      <c r="F55" s="17">
        <v>3263.21</v>
      </c>
      <c r="G55" s="17">
        <v>745.59</v>
      </c>
      <c r="H55" s="17">
        <v>0</v>
      </c>
      <c r="I55" s="17">
        <v>1475.62</v>
      </c>
      <c r="J55" s="17">
        <v>1556.56</v>
      </c>
      <c r="K55" s="17">
        <v>1323.38</v>
      </c>
      <c r="L55" s="17">
        <v>12033.6</v>
      </c>
      <c r="M55" s="17">
        <v>6063.95</v>
      </c>
      <c r="N55" s="17">
        <v>3361</v>
      </c>
      <c r="O55" s="17">
        <v>0</v>
      </c>
      <c r="P55" s="17">
        <v>170.98</v>
      </c>
      <c r="Q55" s="45">
        <f>SUM(Tabela13[[#This Row],[jan/24]:[dez/24]])</f>
        <v>41571.279999999999</v>
      </c>
    </row>
    <row r="56" spans="2:19" x14ac:dyDescent="0.25">
      <c r="B56" s="29" t="s">
        <v>42</v>
      </c>
      <c r="C56" s="25" t="s">
        <v>29</v>
      </c>
      <c r="D56" s="16">
        <v>84</v>
      </c>
      <c r="E56" s="17">
        <v>1438.89</v>
      </c>
      <c r="F56" s="17">
        <v>359.1</v>
      </c>
      <c r="G56" s="17">
        <v>13233.38</v>
      </c>
      <c r="H56" s="17">
        <v>7211.36</v>
      </c>
      <c r="I56" s="17">
        <v>20475.02</v>
      </c>
      <c r="J56" s="17">
        <v>5922.2</v>
      </c>
      <c r="K56" s="17">
        <v>35887.370000000003</v>
      </c>
      <c r="L56" s="17">
        <v>5683.26</v>
      </c>
      <c r="M56" s="17">
        <v>44648.62</v>
      </c>
      <c r="N56" s="17">
        <v>9291</v>
      </c>
      <c r="O56" s="17">
        <v>123362.05</v>
      </c>
      <c r="P56" s="17">
        <v>32795</v>
      </c>
      <c r="Q56" s="45">
        <f>SUM(Tabela13[[#This Row],[jan/24]:[dez/24]])</f>
        <v>300307.25</v>
      </c>
    </row>
    <row r="57" spans="2:19" x14ac:dyDescent="0.25">
      <c r="B57" s="29" t="s">
        <v>42</v>
      </c>
      <c r="C57" s="25" t="s">
        <v>30</v>
      </c>
      <c r="D57" s="16">
        <v>85</v>
      </c>
      <c r="E57" s="17">
        <v>1754</v>
      </c>
      <c r="F57" s="17">
        <v>6945.84</v>
      </c>
      <c r="G57" s="17">
        <v>3682.79</v>
      </c>
      <c r="H57" s="17">
        <v>7407.5</v>
      </c>
      <c r="I57" s="17">
        <v>1367.3</v>
      </c>
      <c r="J57" s="17">
        <v>3931.76</v>
      </c>
      <c r="K57" s="17">
        <v>10351.780000000001</v>
      </c>
      <c r="L57" s="17">
        <v>10337.26</v>
      </c>
      <c r="M57" s="17">
        <v>35793.06</v>
      </c>
      <c r="N57" s="17">
        <v>20174.96</v>
      </c>
      <c r="O57" s="17">
        <v>2452.87</v>
      </c>
      <c r="P57" s="17">
        <v>5324.42</v>
      </c>
      <c r="Q57" s="45">
        <f>SUM(Tabela13[[#This Row],[jan/24]:[dez/24]])</f>
        <v>109523.54</v>
      </c>
    </row>
    <row r="58" spans="2:19" x14ac:dyDescent="0.25">
      <c r="B58" s="29" t="s">
        <v>42</v>
      </c>
      <c r="C58" s="25" t="s">
        <v>31</v>
      </c>
      <c r="D58" s="16">
        <v>86</v>
      </c>
      <c r="E58" s="17">
        <v>0</v>
      </c>
      <c r="F58" s="17">
        <v>0</v>
      </c>
      <c r="G58" s="17">
        <v>13929.57</v>
      </c>
      <c r="H58" s="17">
        <v>286.8</v>
      </c>
      <c r="I58" s="17">
        <v>0</v>
      </c>
      <c r="J58" s="17">
        <v>16684.75</v>
      </c>
      <c r="K58" s="17">
        <v>8747.1</v>
      </c>
      <c r="L58" s="17">
        <v>981.6</v>
      </c>
      <c r="M58" s="17">
        <v>6226.1</v>
      </c>
      <c r="N58" s="17">
        <v>118.2</v>
      </c>
      <c r="O58" s="17">
        <v>0</v>
      </c>
      <c r="P58" s="17">
        <v>99.37</v>
      </c>
      <c r="Q58" s="45">
        <f>SUM(Tabela13[[#This Row],[jan/24]:[dez/24]])</f>
        <v>47073.49</v>
      </c>
    </row>
    <row r="59" spans="2:19" x14ac:dyDescent="0.25">
      <c r="B59" s="29" t="s">
        <v>42</v>
      </c>
      <c r="C59" s="25" t="s">
        <v>26</v>
      </c>
      <c r="D59" s="16">
        <v>87</v>
      </c>
      <c r="E59" s="17">
        <v>0</v>
      </c>
      <c r="F59" s="17">
        <v>0</v>
      </c>
      <c r="G59" s="17">
        <v>170.82</v>
      </c>
      <c r="H59" s="17">
        <v>12144</v>
      </c>
      <c r="I59" s="17">
        <v>0</v>
      </c>
      <c r="J59" s="17">
        <v>594.30999999999995</v>
      </c>
      <c r="K59" s="17">
        <v>5087.12</v>
      </c>
      <c r="L59" s="17">
        <v>1857.78</v>
      </c>
      <c r="M59" s="17">
        <v>0</v>
      </c>
      <c r="N59" s="17">
        <v>0</v>
      </c>
      <c r="O59" s="17">
        <v>0</v>
      </c>
      <c r="P59" s="17">
        <v>3541.88</v>
      </c>
      <c r="Q59" s="45">
        <f>SUM(Tabela13[[#This Row],[jan/24]:[dez/24]])</f>
        <v>23395.91</v>
      </c>
    </row>
    <row r="60" spans="2:19" x14ac:dyDescent="0.25">
      <c r="B60" s="29" t="s">
        <v>42</v>
      </c>
      <c r="C60" s="25" t="s">
        <v>30</v>
      </c>
      <c r="D60" s="16">
        <v>88</v>
      </c>
      <c r="E60" s="17">
        <v>997.69</v>
      </c>
      <c r="F60" s="17">
        <v>1971.44</v>
      </c>
      <c r="G60" s="17">
        <v>2355.4</v>
      </c>
      <c r="H60" s="17">
        <v>11410.64</v>
      </c>
      <c r="I60" s="17">
        <v>3628.71</v>
      </c>
      <c r="J60" s="17">
        <v>8450.74</v>
      </c>
      <c r="K60" s="17">
        <v>5681.3</v>
      </c>
      <c r="L60" s="17">
        <v>8015.7</v>
      </c>
      <c r="M60" s="17">
        <v>1794.06</v>
      </c>
      <c r="N60" s="17">
        <v>0</v>
      </c>
      <c r="O60" s="17">
        <v>2798.9</v>
      </c>
      <c r="P60" s="17">
        <v>344.5</v>
      </c>
      <c r="Q60" s="45">
        <f>SUM(Tabela13[[#This Row],[jan/24]:[dez/24]])</f>
        <v>47449.079999999994</v>
      </c>
    </row>
    <row r="61" spans="2:19" x14ac:dyDescent="0.25">
      <c r="B61" s="29" t="s">
        <v>42</v>
      </c>
      <c r="C61" s="25" t="s">
        <v>31</v>
      </c>
      <c r="D61" s="16">
        <v>89</v>
      </c>
      <c r="E61" s="17">
        <v>0</v>
      </c>
      <c r="F61" s="17">
        <v>0</v>
      </c>
      <c r="G61" s="17">
        <v>0</v>
      </c>
      <c r="H61" s="17">
        <v>0</v>
      </c>
      <c r="I61" s="17">
        <v>570.41</v>
      </c>
      <c r="J61" s="17">
        <v>0</v>
      </c>
      <c r="K61" s="17">
        <v>0</v>
      </c>
      <c r="L61" s="17">
        <v>2005.99</v>
      </c>
      <c r="M61" s="17">
        <v>0</v>
      </c>
      <c r="N61" s="17">
        <v>0</v>
      </c>
      <c r="O61" s="17">
        <v>0</v>
      </c>
      <c r="P61" s="17">
        <v>0</v>
      </c>
      <c r="Q61" s="45">
        <f>SUM(Tabela13[[#This Row],[jan/24]:[dez/24]])</f>
        <v>2576.4</v>
      </c>
    </row>
    <row r="62" spans="2:19" x14ac:dyDescent="0.25">
      <c r="B62" s="29" t="s">
        <v>42</v>
      </c>
      <c r="C62" s="25" t="s">
        <v>32</v>
      </c>
      <c r="D62" s="16">
        <v>91</v>
      </c>
      <c r="E62" s="17">
        <v>695.65</v>
      </c>
      <c r="F62" s="17">
        <v>13948.76</v>
      </c>
      <c r="G62" s="17">
        <v>3652.88</v>
      </c>
      <c r="H62" s="17">
        <v>10366.82</v>
      </c>
      <c r="I62" s="17">
        <v>0</v>
      </c>
      <c r="J62" s="15">
        <v>0</v>
      </c>
      <c r="K62" s="17">
        <v>920.56</v>
      </c>
      <c r="L62" s="17">
        <v>2799.51</v>
      </c>
      <c r="M62" s="17">
        <v>0</v>
      </c>
      <c r="N62" s="17">
        <v>2263.66</v>
      </c>
      <c r="O62" s="17">
        <v>2198.0500000000002</v>
      </c>
      <c r="P62" s="17">
        <v>732.2</v>
      </c>
      <c r="Q62" s="45">
        <f>SUM(Tabela13[[#This Row],[jan/24]:[dez/24]])</f>
        <v>37578.089999999997</v>
      </c>
      <c r="R62" s="18"/>
      <c r="S62" s="18"/>
    </row>
    <row r="63" spans="2:19" x14ac:dyDescent="0.25">
      <c r="B63" s="29" t="s">
        <v>42</v>
      </c>
      <c r="C63" s="25" t="s">
        <v>33</v>
      </c>
      <c r="D63" s="16">
        <v>92</v>
      </c>
      <c r="E63" s="17">
        <v>42942.9</v>
      </c>
      <c r="F63" s="17">
        <v>6128.72</v>
      </c>
      <c r="G63" s="17">
        <v>19315.82</v>
      </c>
      <c r="H63" s="17">
        <v>64855.99</v>
      </c>
      <c r="I63" s="17">
        <v>57731.86</v>
      </c>
      <c r="J63" s="17">
        <v>76715.5</v>
      </c>
      <c r="K63" s="17">
        <v>6583.64</v>
      </c>
      <c r="L63" s="17">
        <v>88401.25</v>
      </c>
      <c r="M63" s="17">
        <v>7517.54</v>
      </c>
      <c r="N63" s="17">
        <v>31889.66</v>
      </c>
      <c r="O63" s="17">
        <v>6044.1</v>
      </c>
      <c r="P63" s="17">
        <v>111978.85</v>
      </c>
      <c r="Q63" s="45">
        <f>SUM(Tabela13[[#This Row],[jan/24]:[dez/24]])</f>
        <v>520105.82999999996</v>
      </c>
    </row>
    <row r="64" spans="2:19" x14ac:dyDescent="0.25">
      <c r="B64" s="29" t="s">
        <v>42</v>
      </c>
      <c r="C64" s="25" t="s">
        <v>32</v>
      </c>
      <c r="D64" s="16">
        <v>93</v>
      </c>
      <c r="E64" s="17">
        <v>0</v>
      </c>
      <c r="F64" s="17">
        <v>3643.55</v>
      </c>
      <c r="G64" s="17">
        <v>0</v>
      </c>
      <c r="H64" s="17">
        <v>0</v>
      </c>
      <c r="I64" s="17">
        <v>15640.3</v>
      </c>
      <c r="J64" s="17">
        <v>103796.4</v>
      </c>
      <c r="K64" s="17">
        <v>7840.16</v>
      </c>
      <c r="L64" s="17">
        <v>0</v>
      </c>
      <c r="M64" s="17">
        <v>0</v>
      </c>
      <c r="N64" s="17">
        <v>0</v>
      </c>
      <c r="O64" s="17">
        <v>666.02</v>
      </c>
      <c r="P64" s="17">
        <v>67553.16</v>
      </c>
      <c r="Q64" s="45">
        <f>SUM(Tabela13[[#This Row],[jan/24]:[dez/24]])</f>
        <v>199139.59</v>
      </c>
    </row>
    <row r="65" spans="2:19" x14ac:dyDescent="0.25">
      <c r="B65" s="29" t="s">
        <v>42</v>
      </c>
      <c r="C65" s="25" t="s">
        <v>32</v>
      </c>
      <c r="D65" s="16">
        <v>94</v>
      </c>
      <c r="E65" s="17">
        <v>0</v>
      </c>
      <c r="F65" s="17">
        <v>8255.6299999999992</v>
      </c>
      <c r="G65" s="17">
        <v>1232.21</v>
      </c>
      <c r="H65" s="17">
        <v>8574.1299999999992</v>
      </c>
      <c r="I65" s="17">
        <v>15168.43</v>
      </c>
      <c r="J65" s="17">
        <v>7598.05</v>
      </c>
      <c r="K65" s="15">
        <v>0</v>
      </c>
      <c r="L65" s="17">
        <v>3847.2</v>
      </c>
      <c r="M65" s="17">
        <v>35420.65</v>
      </c>
      <c r="N65" s="17">
        <v>0</v>
      </c>
      <c r="O65" s="17">
        <v>2467.86</v>
      </c>
      <c r="P65" s="17">
        <v>67553.16</v>
      </c>
      <c r="Q65" s="45">
        <f>SUM(Tabela13[[#This Row],[jan/24]:[dez/24]])</f>
        <v>150117.32</v>
      </c>
      <c r="S65" s="18"/>
    </row>
    <row r="66" spans="2:19" x14ac:dyDescent="0.25">
      <c r="B66" s="29" t="s">
        <v>42</v>
      </c>
      <c r="C66" s="25" t="s">
        <v>34</v>
      </c>
      <c r="D66" s="16">
        <v>95</v>
      </c>
      <c r="E66" s="17">
        <v>0</v>
      </c>
      <c r="F66" s="17">
        <v>451.49</v>
      </c>
      <c r="G66" s="17">
        <v>0</v>
      </c>
      <c r="H66" s="17">
        <v>0</v>
      </c>
      <c r="I66" s="17">
        <v>0</v>
      </c>
      <c r="J66" s="17">
        <v>0</v>
      </c>
      <c r="K66" s="17">
        <v>733.64</v>
      </c>
      <c r="L66" s="17">
        <v>0</v>
      </c>
      <c r="M66" s="17">
        <v>3069.21</v>
      </c>
      <c r="N66" s="17">
        <v>0</v>
      </c>
      <c r="O66" s="17">
        <v>0</v>
      </c>
      <c r="P66" s="17">
        <v>990.45</v>
      </c>
      <c r="Q66" s="45">
        <f>SUM(Tabela13[[#This Row],[jan/24]:[dez/24]])</f>
        <v>5244.79</v>
      </c>
    </row>
    <row r="67" spans="2:19" x14ac:dyDescent="0.25">
      <c r="B67" s="29" t="s">
        <v>42</v>
      </c>
      <c r="C67" s="25" t="s">
        <v>35</v>
      </c>
      <c r="D67" s="16">
        <v>96</v>
      </c>
      <c r="E67" s="17">
        <v>1873.85</v>
      </c>
      <c r="F67" s="17">
        <v>455.89</v>
      </c>
      <c r="G67" s="17">
        <v>3918</v>
      </c>
      <c r="H67" s="17">
        <v>1349.6</v>
      </c>
      <c r="I67" s="17">
        <v>4326.95</v>
      </c>
      <c r="J67" s="17">
        <v>0</v>
      </c>
      <c r="K67" s="17">
        <v>4027.85</v>
      </c>
      <c r="L67" s="17">
        <v>0</v>
      </c>
      <c r="M67" s="17">
        <v>1438.7</v>
      </c>
      <c r="N67" s="17">
        <v>1620.95</v>
      </c>
      <c r="O67" s="17">
        <v>9496.42</v>
      </c>
      <c r="P67" s="17">
        <v>12220</v>
      </c>
      <c r="Q67" s="45">
        <f>SUM(Tabela13[[#This Row],[jan/24]:[dez/24]])</f>
        <v>40728.21</v>
      </c>
    </row>
    <row r="68" spans="2:19" x14ac:dyDescent="0.25">
      <c r="B68" s="29" t="s">
        <v>42</v>
      </c>
      <c r="C68" s="25" t="s">
        <v>33</v>
      </c>
      <c r="D68" s="16">
        <v>97</v>
      </c>
      <c r="E68" s="17">
        <v>4138.3500000000004</v>
      </c>
      <c r="F68" s="17">
        <v>0</v>
      </c>
      <c r="G68" s="17">
        <v>343.67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45">
        <f>SUM(Tabela13[[#This Row],[jan/24]:[dez/24]])</f>
        <v>4482.0200000000004</v>
      </c>
    </row>
    <row r="69" spans="2:19" x14ac:dyDescent="0.25">
      <c r="B69" s="29" t="s">
        <v>42</v>
      </c>
      <c r="C69" s="25" t="s">
        <v>36</v>
      </c>
      <c r="D69" s="16">
        <v>98</v>
      </c>
      <c r="E69" s="17">
        <v>3085.34</v>
      </c>
      <c r="F69" s="17">
        <v>11208.72</v>
      </c>
      <c r="G69" s="17">
        <v>1937.54</v>
      </c>
      <c r="H69" s="17">
        <v>2254.65</v>
      </c>
      <c r="I69" s="17">
        <v>4415.21</v>
      </c>
      <c r="J69" s="17">
        <v>967.43</v>
      </c>
      <c r="K69" s="17">
        <v>9679.07</v>
      </c>
      <c r="L69" s="17">
        <v>5172.46</v>
      </c>
      <c r="M69" s="17">
        <v>888.14</v>
      </c>
      <c r="N69" s="17">
        <v>2875.9</v>
      </c>
      <c r="O69" s="17">
        <v>9318.59</v>
      </c>
      <c r="P69" s="17">
        <v>1128</v>
      </c>
      <c r="Q69" s="45">
        <f>SUM(Tabela13[[#This Row],[jan/24]:[dez/24]])</f>
        <v>52931.05</v>
      </c>
    </row>
    <row r="70" spans="2:19" x14ac:dyDescent="0.25">
      <c r="B70" s="32" t="s">
        <v>42</v>
      </c>
      <c r="C70" s="26" t="s">
        <v>36</v>
      </c>
      <c r="D70" s="23">
        <v>99</v>
      </c>
      <c r="E70" s="21">
        <v>3973.58</v>
      </c>
      <c r="F70" s="21">
        <v>2493.88</v>
      </c>
      <c r="G70" s="21">
        <v>0</v>
      </c>
      <c r="H70" s="21">
        <v>394.5</v>
      </c>
      <c r="I70" s="21">
        <v>0</v>
      </c>
      <c r="J70" s="21">
        <v>2234.1999999999998</v>
      </c>
      <c r="K70" s="21">
        <v>0</v>
      </c>
      <c r="L70" s="21">
        <v>0</v>
      </c>
      <c r="M70" s="21">
        <v>550.62</v>
      </c>
      <c r="N70" s="21">
        <v>0</v>
      </c>
      <c r="O70" s="21">
        <v>955.9</v>
      </c>
      <c r="P70" s="21">
        <v>0</v>
      </c>
      <c r="Q70" s="45">
        <f>SUM(Tabela13[[#This Row],[jan/24]:[dez/24]])</f>
        <v>10602.68</v>
      </c>
    </row>
    <row r="71" spans="2:19" x14ac:dyDescent="0.25">
      <c r="B71" s="36" t="s">
        <v>58</v>
      </c>
      <c r="C71" s="37"/>
      <c r="D71" s="38"/>
      <c r="E71" s="39">
        <f>SUBTOTAL(109,Tabela13[jan/24])</f>
        <v>1768889.65</v>
      </c>
      <c r="F71" s="39">
        <f>SUBTOTAL(109,Tabela13[fev/24])</f>
        <v>995113.94999999972</v>
      </c>
      <c r="G71" s="39">
        <f>SUBTOTAL(109,Tabela13[mar/24])</f>
        <v>1269973.7799999998</v>
      </c>
      <c r="H71" s="39">
        <f>SUBTOTAL(109,Tabela13[abr/24])</f>
        <v>1434303.8800000001</v>
      </c>
      <c r="I71" s="39">
        <f>SUBTOTAL(109,Tabela13[mai/24])</f>
        <v>1343419.9700000002</v>
      </c>
      <c r="J71" s="39">
        <f>SUBTOTAL(109,Tabela13[jun/24])</f>
        <v>1208757.6600000001</v>
      </c>
      <c r="K71" s="39">
        <f>SUBTOTAL(109,Tabela13[jul/24])</f>
        <v>1506560.3000000003</v>
      </c>
      <c r="L71" s="39">
        <f>SUBTOTAL(109,Tabela13[ago/24])</f>
        <v>1850356.1500000006</v>
      </c>
      <c r="M71" s="39">
        <f>SUBTOTAL(109,Tabela13[set/24])</f>
        <v>1715863.0800000005</v>
      </c>
      <c r="N71" s="39">
        <f>SUBTOTAL(109,Tabela13[out/24])</f>
        <v>1499135.84</v>
      </c>
      <c r="O71" s="39">
        <f>SUBTOTAL(109,Tabela13[nov/24])</f>
        <v>1547322.25</v>
      </c>
      <c r="P71" s="39">
        <f>SUBTOTAL(109,Tabela13[dez/24])</f>
        <v>1431215.1799999997</v>
      </c>
      <c r="Q71" s="39">
        <f>SUBTOTAL(109,Tabela13[Total])</f>
        <v>17570911.690000001</v>
      </c>
    </row>
  </sheetData>
  <phoneticPr fontId="19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E21D-999A-4899-912B-10FF32DEA3E1}">
  <dimension ref="B1:O31"/>
  <sheetViews>
    <sheetView zoomScaleNormal="100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H15" sqref="H15"/>
    </sheetView>
  </sheetViews>
  <sheetFormatPr defaultColWidth="9.140625" defaultRowHeight="15" x14ac:dyDescent="0.25"/>
  <cols>
    <col min="1" max="1" width="0.85546875" style="4" customWidth="1"/>
    <col min="2" max="2" width="12.85546875" style="27" customWidth="1"/>
    <col min="3" max="3" width="14" style="4" customWidth="1"/>
    <col min="4" max="15" width="16.7109375" style="4" customWidth="1"/>
    <col min="16" max="16" width="11.7109375" style="4" bestFit="1" customWidth="1"/>
    <col min="17" max="18" width="12.7109375" style="4" bestFit="1" customWidth="1"/>
    <col min="19" max="16384" width="9.140625" style="4"/>
  </cols>
  <sheetData>
    <row r="1" spans="2:15" ht="5.25" customHeight="1" x14ac:dyDescent="0.25"/>
    <row r="2" spans="2:15" ht="30.75" customHeight="1" x14ac:dyDescent="0.25">
      <c r="B2" s="19"/>
    </row>
    <row r="3" spans="2:15" s="20" customFormat="1" ht="27.75" customHeight="1" thickBot="1" x14ac:dyDescent="0.3">
      <c r="B3" s="33" t="s">
        <v>39</v>
      </c>
      <c r="C3" s="34" t="s">
        <v>37</v>
      </c>
      <c r="D3" s="35" t="s">
        <v>47</v>
      </c>
      <c r="E3" s="35" t="s">
        <v>48</v>
      </c>
      <c r="F3" s="35" t="s">
        <v>49</v>
      </c>
      <c r="G3" s="35" t="s">
        <v>50</v>
      </c>
      <c r="H3" s="35" t="s">
        <v>51</v>
      </c>
      <c r="I3" s="35" t="s">
        <v>52</v>
      </c>
      <c r="J3" s="35" t="s">
        <v>53</v>
      </c>
      <c r="K3" s="35" t="s">
        <v>54</v>
      </c>
      <c r="L3" s="35" t="s">
        <v>55</v>
      </c>
      <c r="M3" s="35" t="s">
        <v>56</v>
      </c>
      <c r="N3" s="35" t="s">
        <v>57</v>
      </c>
      <c r="O3" s="35" t="s">
        <v>65</v>
      </c>
    </row>
    <row r="4" spans="2:15" x14ac:dyDescent="0.25">
      <c r="B4" s="28" t="s">
        <v>41</v>
      </c>
      <c r="C4" s="24" t="s">
        <v>22</v>
      </c>
      <c r="D4" s="14">
        <f>DDD!E45</f>
        <v>1855.34</v>
      </c>
      <c r="E4" s="14">
        <f>DDD!F45</f>
        <v>0</v>
      </c>
      <c r="F4" s="14">
        <f>DDD!G45</f>
        <v>828.7</v>
      </c>
      <c r="G4" s="14">
        <f>DDD!H45</f>
        <v>250</v>
      </c>
      <c r="H4" s="14">
        <f>DDD!I45</f>
        <v>0</v>
      </c>
      <c r="I4" s="14">
        <f>DDD!J45</f>
        <v>9344.25</v>
      </c>
      <c r="J4" s="14">
        <f>DDD!K45</f>
        <v>3830</v>
      </c>
      <c r="K4" s="14">
        <f>DDD!L45</f>
        <v>51035.77</v>
      </c>
      <c r="L4" s="14">
        <f>DDD!M45</f>
        <v>122.21</v>
      </c>
      <c r="M4" s="14">
        <f>DDD!N45</f>
        <v>10585.86</v>
      </c>
      <c r="N4" s="14">
        <f>DDD!O45</f>
        <v>0</v>
      </c>
      <c r="O4" s="14">
        <f>DDD!P45</f>
        <v>572.95000000000005</v>
      </c>
    </row>
    <row r="5" spans="2:15" x14ac:dyDescent="0.25">
      <c r="B5" s="29" t="s">
        <v>42</v>
      </c>
      <c r="C5" s="25" t="s">
        <v>27</v>
      </c>
      <c r="D5" s="17">
        <f>DDD!E54</f>
        <v>3500.8</v>
      </c>
      <c r="E5" s="17">
        <f>DDD!F54</f>
        <v>8745.27</v>
      </c>
      <c r="F5" s="17">
        <f>DDD!G54</f>
        <v>8998.52</v>
      </c>
      <c r="G5" s="17">
        <f>DDD!H54</f>
        <v>0</v>
      </c>
      <c r="H5" s="17">
        <f>DDD!I54</f>
        <v>2463.63</v>
      </c>
      <c r="I5" s="17">
        <f>DDD!J54</f>
        <v>252.15</v>
      </c>
      <c r="J5" s="17">
        <f>DDD!K54</f>
        <v>4216.75</v>
      </c>
      <c r="K5" s="17">
        <f>DDD!L54</f>
        <v>556.24</v>
      </c>
      <c r="L5" s="17">
        <f>DDD!M54</f>
        <v>0</v>
      </c>
      <c r="M5" s="17">
        <f>DDD!N54</f>
        <v>275.25</v>
      </c>
      <c r="N5" s="17">
        <f>DDD!O54</f>
        <v>68.17</v>
      </c>
      <c r="O5" s="17">
        <f>DDD!P54</f>
        <v>11648.02</v>
      </c>
    </row>
    <row r="6" spans="2:15" x14ac:dyDescent="0.25">
      <c r="B6" s="29" t="s">
        <v>42</v>
      </c>
      <c r="C6" s="25" t="s">
        <v>33</v>
      </c>
      <c r="D6" s="17">
        <f>DDD!E63+DDD!E68</f>
        <v>47081.25</v>
      </c>
      <c r="E6" s="17">
        <f>DDD!F63+DDD!F68</f>
        <v>6128.72</v>
      </c>
      <c r="F6" s="17">
        <f>DDD!G63+DDD!G68</f>
        <v>19659.489999999998</v>
      </c>
      <c r="G6" s="17">
        <f>DDD!H63+DDD!H68</f>
        <v>64855.99</v>
      </c>
      <c r="H6" s="17">
        <f>DDD!I63+DDD!I68</f>
        <v>57731.86</v>
      </c>
      <c r="I6" s="17">
        <f>DDD!J63+DDD!J68</f>
        <v>76715.5</v>
      </c>
      <c r="J6" s="17">
        <f>DDD!K63+DDD!K68</f>
        <v>6583.64</v>
      </c>
      <c r="K6" s="17">
        <f>DDD!L63+DDD!L68</f>
        <v>88401.25</v>
      </c>
      <c r="L6" s="17">
        <f>DDD!M63+DDD!M68</f>
        <v>7517.54</v>
      </c>
      <c r="M6" s="17">
        <f>DDD!N63+DDD!N68</f>
        <v>31889.66</v>
      </c>
      <c r="N6" s="17">
        <f>DDD!O63+DDD!O68</f>
        <v>6044.1</v>
      </c>
      <c r="O6" s="17">
        <f>DDD!P63+DDD!P68</f>
        <v>111978.85</v>
      </c>
    </row>
    <row r="7" spans="2:15" x14ac:dyDescent="0.25">
      <c r="B7" s="29" t="s">
        <v>42</v>
      </c>
      <c r="C7" s="25" t="s">
        <v>35</v>
      </c>
      <c r="D7" s="17">
        <f>DDD!E67</f>
        <v>1873.85</v>
      </c>
      <c r="E7" s="15">
        <f>DDD!F67</f>
        <v>455.89</v>
      </c>
      <c r="F7" s="17">
        <f>DDD!G67</f>
        <v>3918</v>
      </c>
      <c r="G7" s="15">
        <f>DDD!H67</f>
        <v>1349.6</v>
      </c>
      <c r="H7" s="17">
        <f>DDD!I67</f>
        <v>4326.95</v>
      </c>
      <c r="I7" s="15">
        <f>DDD!J67</f>
        <v>0</v>
      </c>
      <c r="J7" s="17">
        <f>DDD!K67</f>
        <v>4027.85</v>
      </c>
      <c r="K7" s="15">
        <f>DDD!L67</f>
        <v>0</v>
      </c>
      <c r="L7" s="17">
        <f>DDD!M67</f>
        <v>1438.7</v>
      </c>
      <c r="M7" s="15">
        <f>DDD!N67</f>
        <v>1620.95</v>
      </c>
      <c r="N7" s="17">
        <f>DDD!O67</f>
        <v>9496.42</v>
      </c>
      <c r="O7" s="17">
        <f>DDD!P67</f>
        <v>12220</v>
      </c>
    </row>
    <row r="8" spans="2:15" x14ac:dyDescent="0.25">
      <c r="B8" s="29" t="s">
        <v>42</v>
      </c>
      <c r="C8" s="25" t="s">
        <v>24</v>
      </c>
      <c r="D8" s="17">
        <f>DDD!E47+DDD!E48+DDD!E49+DDD!E50+DDD!E51</f>
        <v>12522.100000000002</v>
      </c>
      <c r="E8" s="17">
        <f>DDD!F47+DDD!F48+DDD!F49+DDD!F50+DDD!F51</f>
        <v>9373.2800000000025</v>
      </c>
      <c r="F8" s="17">
        <f>DDD!G47+DDD!G48+DDD!G49+DDD!G50+DDD!G51</f>
        <v>26443.510000000002</v>
      </c>
      <c r="G8" s="17">
        <f>DDD!H47+DDD!H48+DDD!H49+DDD!H50+DDD!H51</f>
        <v>22101.5</v>
      </c>
      <c r="H8" s="17">
        <f>DDD!I47+DDD!I48+DDD!I49+DDD!I50+DDD!I51</f>
        <v>48155.92</v>
      </c>
      <c r="I8" s="17">
        <f>DDD!J47+DDD!J48+DDD!J49+DDD!J50+DDD!J51</f>
        <v>29245.380000000005</v>
      </c>
      <c r="J8" s="17">
        <f>DDD!K47+DDD!K48+DDD!K49+DDD!K50+DDD!K51</f>
        <v>21789.059999999998</v>
      </c>
      <c r="K8" s="17">
        <f>DDD!L47+DDD!L48+DDD!L49+DDD!L50+DDD!L51</f>
        <v>43420.170000000006</v>
      </c>
      <c r="L8" s="17">
        <f>DDD!M47+DDD!M48+DDD!M49+DDD!M50+DDD!M51</f>
        <v>75604.19</v>
      </c>
      <c r="M8" s="17">
        <f>DDD!N47+DDD!N48+DDD!N49+DDD!N50+DDD!N51</f>
        <v>39070.880000000005</v>
      </c>
      <c r="N8" s="17">
        <f>DDD!O47+DDD!O48+DDD!O49+DDD!O50+DDD!O51</f>
        <v>63436.380000000005</v>
      </c>
      <c r="O8" s="17">
        <f>DDD!P47+DDD!P48+DDD!P49+DDD!P50+DDD!P51</f>
        <v>114114.97</v>
      </c>
    </row>
    <row r="9" spans="2:15" x14ac:dyDescent="0.25">
      <c r="B9" s="29" t="s">
        <v>42</v>
      </c>
      <c r="C9" s="25" t="s">
        <v>30</v>
      </c>
      <c r="D9" s="17">
        <f>DDD!E57+DDD!E60</f>
        <v>2751.69</v>
      </c>
      <c r="E9" s="17">
        <f>DDD!F57+DDD!F60</f>
        <v>8917.2800000000007</v>
      </c>
      <c r="F9" s="17">
        <f>DDD!G57+DDD!G60</f>
        <v>6038.1900000000005</v>
      </c>
      <c r="G9" s="17">
        <f>DDD!H57+DDD!H60</f>
        <v>18818.14</v>
      </c>
      <c r="H9" s="17">
        <f>DDD!I57+DDD!I60</f>
        <v>4996.01</v>
      </c>
      <c r="I9" s="17">
        <f>DDD!J57+DDD!J60</f>
        <v>12382.5</v>
      </c>
      <c r="J9" s="17">
        <f>DDD!K57+DDD!K60</f>
        <v>16033.080000000002</v>
      </c>
      <c r="K9" s="17">
        <f>DDD!L57+DDD!L60</f>
        <v>18352.96</v>
      </c>
      <c r="L9" s="17">
        <f>DDD!M57+DDD!M60</f>
        <v>37587.119999999995</v>
      </c>
      <c r="M9" s="17">
        <f>DDD!N57+DDD!N60</f>
        <v>20174.96</v>
      </c>
      <c r="N9" s="17">
        <f>DDD!O57+DDD!O60</f>
        <v>5251.77</v>
      </c>
      <c r="O9" s="17">
        <f>DDD!P57+DDD!P60</f>
        <v>5668.92</v>
      </c>
    </row>
    <row r="10" spans="2:15" x14ac:dyDescent="0.25">
      <c r="B10" s="29" t="s">
        <v>41</v>
      </c>
      <c r="C10" s="25" t="s">
        <v>17</v>
      </c>
      <c r="D10" s="17">
        <f>DDD!E38</f>
        <v>14434.4</v>
      </c>
      <c r="E10" s="17">
        <f>DDD!F38</f>
        <v>6998.38</v>
      </c>
      <c r="F10" s="17">
        <f>DDD!G38</f>
        <v>33331.300000000003</v>
      </c>
      <c r="G10" s="17">
        <f>DDD!H38</f>
        <v>5161.99</v>
      </c>
      <c r="H10" s="17">
        <f>DDD!I38</f>
        <v>25037.27</v>
      </c>
      <c r="I10" s="17">
        <f>DDD!J38</f>
        <v>31473.05</v>
      </c>
      <c r="J10" s="17">
        <f>DDD!K38</f>
        <v>13432.33</v>
      </c>
      <c r="K10" s="17">
        <f>DDD!L38</f>
        <v>26123.11</v>
      </c>
      <c r="L10" s="17">
        <f>DDD!M38</f>
        <v>22467.37</v>
      </c>
      <c r="M10" s="17">
        <f>DDD!N38</f>
        <v>12431.58</v>
      </c>
      <c r="N10" s="17">
        <f>DDD!O38</f>
        <v>3200.51</v>
      </c>
      <c r="O10" s="17">
        <f>DDD!P38</f>
        <v>24240.35</v>
      </c>
    </row>
    <row r="11" spans="2:15" x14ac:dyDescent="0.25">
      <c r="B11" s="29" t="s">
        <v>43</v>
      </c>
      <c r="C11" s="25" t="s">
        <v>12</v>
      </c>
      <c r="D11" s="17">
        <f>DDD!E16+DDD!E17</f>
        <v>44643.91</v>
      </c>
      <c r="E11" s="17">
        <f>DDD!F16+DDD!F17</f>
        <v>10387.950000000001</v>
      </c>
      <c r="F11" s="17">
        <f>DDD!G16+DDD!G17</f>
        <v>14852.04</v>
      </c>
      <c r="G11" s="17">
        <f>DDD!H16+DDD!H17</f>
        <v>21140.07</v>
      </c>
      <c r="H11" s="17">
        <f>DDD!I16+DDD!I17</f>
        <v>25411.64</v>
      </c>
      <c r="I11" s="17">
        <f>DDD!J16+DDD!J17</f>
        <v>49747.58</v>
      </c>
      <c r="J11" s="17">
        <f>DDD!K16+DDD!K17</f>
        <v>16474.349999999999</v>
      </c>
      <c r="K11" s="17">
        <f>DDD!L16+DDD!L17</f>
        <v>12919.67</v>
      </c>
      <c r="L11" s="17">
        <f>DDD!M16+DDD!M17</f>
        <v>89603.51999999999</v>
      </c>
      <c r="M11" s="17">
        <f>DDD!N16+DDD!N17</f>
        <v>87783.39</v>
      </c>
      <c r="N11" s="17">
        <f>DDD!O16+DDD!O17</f>
        <v>103718.20000000001</v>
      </c>
      <c r="O11" s="17">
        <f>DDD!P16+DDD!P17</f>
        <v>129981.82</v>
      </c>
    </row>
    <row r="12" spans="2:15" x14ac:dyDescent="0.25">
      <c r="B12" s="29" t="s">
        <v>41</v>
      </c>
      <c r="C12" s="25" t="s">
        <v>18</v>
      </c>
      <c r="D12" s="17">
        <f>DDD!E39+DDD!E41</f>
        <v>4721.12</v>
      </c>
      <c r="E12" s="17">
        <f>DDD!F39+DDD!F41</f>
        <v>12698.3</v>
      </c>
      <c r="F12" s="17">
        <f>DDD!G39+DDD!G41</f>
        <v>6675.1799999999994</v>
      </c>
      <c r="G12" s="17">
        <f>DDD!H39+DDD!H41</f>
        <v>14793.92</v>
      </c>
      <c r="H12" s="17">
        <f>DDD!I39+DDD!I41</f>
        <v>10100.82</v>
      </c>
      <c r="I12" s="17">
        <f>DDD!J39+DDD!J41</f>
        <v>2183.96</v>
      </c>
      <c r="J12" s="17">
        <f>DDD!K39+DDD!K41</f>
        <v>21786.47</v>
      </c>
      <c r="K12" s="17">
        <f>DDD!L39+DDD!L41</f>
        <v>19617.64</v>
      </c>
      <c r="L12" s="17">
        <f>DDD!M39+DDD!M41</f>
        <v>19332.080000000002</v>
      </c>
      <c r="M12" s="17">
        <f>DDD!N39+DDD!N41</f>
        <v>16238.29</v>
      </c>
      <c r="N12" s="17">
        <f>DDD!O39+DDD!O41</f>
        <v>20244.240000000002</v>
      </c>
      <c r="O12" s="17">
        <f>DDD!P39+DDD!P41</f>
        <v>35444.380000000005</v>
      </c>
    </row>
    <row r="13" spans="2:15" x14ac:dyDescent="0.25">
      <c r="B13" s="29" t="s">
        <v>42</v>
      </c>
      <c r="C13" s="25" t="s">
        <v>36</v>
      </c>
      <c r="D13" s="17">
        <f>DDD!E69+DDD!E70</f>
        <v>7058.92</v>
      </c>
      <c r="E13" s="17">
        <f>DDD!F69+DDD!F70</f>
        <v>13702.599999999999</v>
      </c>
      <c r="F13" s="17">
        <f>DDD!G69+DDD!G70</f>
        <v>1937.54</v>
      </c>
      <c r="G13" s="17">
        <f>DDD!H69+DDD!H70</f>
        <v>2649.15</v>
      </c>
      <c r="H13" s="17">
        <f>DDD!I69+DDD!I70</f>
        <v>4415.21</v>
      </c>
      <c r="I13" s="17">
        <f>DDD!J69+DDD!J70</f>
        <v>3201.6299999999997</v>
      </c>
      <c r="J13" s="17">
        <f>DDD!K69+DDD!K70</f>
        <v>9679.07</v>
      </c>
      <c r="K13" s="17">
        <f>DDD!L69+DDD!L70</f>
        <v>5172.46</v>
      </c>
      <c r="L13" s="17">
        <f>DDD!M69+DDD!M70</f>
        <v>1438.76</v>
      </c>
      <c r="M13" s="17">
        <f>DDD!N69+DDD!N70</f>
        <v>2875.9</v>
      </c>
      <c r="N13" s="17">
        <f>DDD!O69+DDD!O70</f>
        <v>10274.49</v>
      </c>
      <c r="O13" s="17">
        <f>DDD!P69+DDD!P70</f>
        <v>1128</v>
      </c>
    </row>
    <row r="14" spans="2:15" x14ac:dyDescent="0.25">
      <c r="B14" s="29" t="s">
        <v>43</v>
      </c>
      <c r="C14" s="25" t="s">
        <v>13</v>
      </c>
      <c r="D14" s="17">
        <f>DDD!E18+DDD!E19+DDD!E20+DDD!E21+DDD!E22+DDD!E23+DDD!E24</f>
        <v>574569.71</v>
      </c>
      <c r="E14" s="17">
        <f>DDD!F18+DDD!F19+DDD!F20+DDD!F21+DDD!F22+DDD!F23+DDD!F24</f>
        <v>440529.00999999995</v>
      </c>
      <c r="F14" s="17">
        <f>DDD!G18+DDD!G19+DDD!G20+DDD!G21+DDD!G22+DDD!G23+DDD!G24</f>
        <v>334787.19000000006</v>
      </c>
      <c r="G14" s="17">
        <f>DDD!H18+DDD!H19+DDD!H20+DDD!H21+DDD!H22+DDD!H23+DDD!H24</f>
        <v>678508.09000000008</v>
      </c>
      <c r="H14" s="17">
        <f>DDD!I18+DDD!I19+DDD!I20+DDD!I21+DDD!I22+DDD!I23+DDD!I24</f>
        <v>599715.68000000005</v>
      </c>
      <c r="I14" s="17">
        <f>DDD!J18+DDD!J19+DDD!J20+DDD!J21+DDD!J22+DDD!J23+DDD!J24</f>
        <v>434878.94</v>
      </c>
      <c r="J14" s="17">
        <f>DDD!K18+DDD!K19+DDD!K20+DDD!K21+DDD!K22+DDD!K23+DDD!K24</f>
        <v>474708.79000000004</v>
      </c>
      <c r="K14" s="17">
        <f>DDD!L18+DDD!L19+DDD!L20+DDD!L21+DDD!L22+DDD!L23+DDD!L24</f>
        <v>576624.27</v>
      </c>
      <c r="L14" s="17">
        <f>DDD!M18+DDD!M19+DDD!M20+DDD!M21+DDD!M22+DDD!M23+DDD!M24</f>
        <v>680310.62000000011</v>
      </c>
      <c r="M14" s="17">
        <f>DDD!N18+DDD!N19+DDD!N20+DDD!N21+DDD!N22+DDD!N23+DDD!N24</f>
        <v>513922.36999999994</v>
      </c>
      <c r="N14" s="17">
        <f>DDD!O18+DDD!O19+DDD!O20+DDD!O21+DDD!O22+DDD!O23+DDD!O24</f>
        <v>509860.48000000004</v>
      </c>
      <c r="O14" s="17">
        <f>DDD!P18+DDD!P19+DDD!P20+DDD!P21+DDD!P22+DDD!P23+DDD!P24</f>
        <v>335962.64999999997</v>
      </c>
    </row>
    <row r="15" spans="2:15" x14ac:dyDescent="0.25">
      <c r="B15" s="29" t="s">
        <v>41</v>
      </c>
      <c r="C15" s="25" t="s">
        <v>21</v>
      </c>
      <c r="D15" s="17">
        <f>DDD!E44</f>
        <v>266.51</v>
      </c>
      <c r="E15" s="17">
        <f>DDD!F44</f>
        <v>3312.03</v>
      </c>
      <c r="F15" s="17">
        <f>DDD!G44</f>
        <v>18647.68</v>
      </c>
      <c r="G15" s="17">
        <f>DDD!H44</f>
        <v>2776.03</v>
      </c>
      <c r="H15" s="17">
        <f>DDD!I44</f>
        <v>5064.3</v>
      </c>
      <c r="I15" s="17">
        <f>DDD!J44</f>
        <v>15246.59</v>
      </c>
      <c r="J15" s="17">
        <f>DDD!K44</f>
        <v>3511.04</v>
      </c>
      <c r="K15" s="17">
        <f>DDD!L44</f>
        <v>3916.37</v>
      </c>
      <c r="L15" s="17">
        <f>DDD!M44</f>
        <v>8154.18</v>
      </c>
      <c r="M15" s="17">
        <f>DDD!N44</f>
        <v>11515.5</v>
      </c>
      <c r="N15" s="17">
        <f>DDD!O44</f>
        <v>2570.48</v>
      </c>
      <c r="O15" s="17">
        <f>DDD!P44</f>
        <v>25</v>
      </c>
    </row>
    <row r="16" spans="2:15" x14ac:dyDescent="0.25">
      <c r="B16" s="29" t="s">
        <v>41</v>
      </c>
      <c r="C16" s="25" t="s">
        <v>20</v>
      </c>
      <c r="D16" s="17">
        <f>DDD!E42+DDD!E43</f>
        <v>51937.65</v>
      </c>
      <c r="E16" s="17">
        <f>DDD!F42+DDD!F43</f>
        <v>5456.1</v>
      </c>
      <c r="F16" s="17">
        <f>DDD!G42+DDD!G43</f>
        <v>53433.880000000005</v>
      </c>
      <c r="G16" s="17">
        <f>DDD!H42+DDD!H43</f>
        <v>17718.77</v>
      </c>
      <c r="H16" s="17">
        <f>DDD!I42+DDD!I43</f>
        <v>10809.21</v>
      </c>
      <c r="I16" s="17">
        <f>DDD!J42+DDD!J43</f>
        <v>2841</v>
      </c>
      <c r="J16" s="17">
        <f>DDD!K42+DDD!K43</f>
        <v>6607.1399999999994</v>
      </c>
      <c r="K16" s="17">
        <f>DDD!L42+DDD!L43</f>
        <v>0</v>
      </c>
      <c r="L16" s="17">
        <f>DDD!M42+DDD!M43</f>
        <v>9933.5499999999993</v>
      </c>
      <c r="M16" s="17">
        <f>DDD!N42+DDD!N43</f>
        <v>19403.48</v>
      </c>
      <c r="N16" s="17">
        <f>DDD!O42+DDD!O43</f>
        <v>29520.65</v>
      </c>
      <c r="O16" s="17">
        <f>DDD!P42+DDD!P43</f>
        <v>7141.7999999999993</v>
      </c>
    </row>
    <row r="17" spans="2:15" x14ac:dyDescent="0.25">
      <c r="B17" s="29" t="s">
        <v>42</v>
      </c>
      <c r="C17" s="25" t="s">
        <v>32</v>
      </c>
      <c r="D17" s="15">
        <f>DDD!E62+DDD!E64+DDD!E65</f>
        <v>695.65</v>
      </c>
      <c r="E17" s="15">
        <f>DDD!F62+DDD!F64+DDD!F65</f>
        <v>25847.940000000002</v>
      </c>
      <c r="F17" s="15">
        <f>DDD!G62+DDD!G64+DDD!G65</f>
        <v>4885.09</v>
      </c>
      <c r="G17" s="15">
        <f>DDD!H62+DDD!H64+DDD!H65</f>
        <v>18940.949999999997</v>
      </c>
      <c r="H17" s="15">
        <f>DDD!I62+DDD!I64+DDD!I65</f>
        <v>30808.73</v>
      </c>
      <c r="I17" s="15">
        <f>DDD!J62+DDD!J64+DDD!J65</f>
        <v>111394.45</v>
      </c>
      <c r="J17" s="15">
        <f>DDD!K62+DDD!K64+DDD!K65</f>
        <v>8760.7199999999993</v>
      </c>
      <c r="K17" s="15">
        <f>DDD!L62+DDD!L64+DDD!L65</f>
        <v>6646.71</v>
      </c>
      <c r="L17" s="15">
        <f>DDD!M62+DDD!M64+DDD!M65</f>
        <v>35420.65</v>
      </c>
      <c r="M17" s="15">
        <f>DDD!N62+DDD!N64+DDD!N65</f>
        <v>2263.66</v>
      </c>
      <c r="N17" s="15">
        <f>DDD!O62+DDD!O64+DDD!O65</f>
        <v>5331.93</v>
      </c>
      <c r="O17" s="15">
        <f>DDD!P62+DDD!P64+DDD!P65</f>
        <v>135838.52000000002</v>
      </c>
    </row>
    <row r="18" spans="2:15" x14ac:dyDescent="0.25">
      <c r="B18" s="29" t="s">
        <v>42</v>
      </c>
      <c r="C18" s="25" t="s">
        <v>28</v>
      </c>
      <c r="D18" s="17">
        <f>DDD!E55</f>
        <v>11577.39</v>
      </c>
      <c r="E18" s="17">
        <f>DDD!F55</f>
        <v>3263.21</v>
      </c>
      <c r="F18" s="17">
        <f>DDD!G55</f>
        <v>745.59</v>
      </c>
      <c r="G18" s="17">
        <f>DDD!H55</f>
        <v>0</v>
      </c>
      <c r="H18" s="17">
        <f>DDD!I55</f>
        <v>1475.62</v>
      </c>
      <c r="I18" s="17">
        <f>DDD!J55</f>
        <v>1556.56</v>
      </c>
      <c r="J18" s="17">
        <f>DDD!K55</f>
        <v>1323.38</v>
      </c>
      <c r="K18" s="17">
        <f>DDD!L55</f>
        <v>12033.6</v>
      </c>
      <c r="L18" s="17">
        <f>DDD!M55</f>
        <v>6063.95</v>
      </c>
      <c r="M18" s="17">
        <f>DDD!N55</f>
        <v>3361</v>
      </c>
      <c r="N18" s="17">
        <f>DDD!O55</f>
        <v>0</v>
      </c>
      <c r="O18" s="17">
        <f>DDD!P55</f>
        <v>170.98</v>
      </c>
    </row>
    <row r="19" spans="2:15" x14ac:dyDescent="0.25">
      <c r="B19" s="29" t="s">
        <v>42</v>
      </c>
      <c r="C19" s="25" t="s">
        <v>26</v>
      </c>
      <c r="D19" s="17">
        <f>DDD!E53+DDD!E59</f>
        <v>7385.39</v>
      </c>
      <c r="E19" s="17">
        <f>DDD!F53+DDD!F59</f>
        <v>5401.25</v>
      </c>
      <c r="F19" s="17">
        <f>DDD!G53+DDD!G59</f>
        <v>5632.54</v>
      </c>
      <c r="G19" s="17">
        <f>DDD!H53+DDD!H59</f>
        <v>21587.239999999998</v>
      </c>
      <c r="H19" s="17">
        <f>DDD!I53+DDD!I59</f>
        <v>1917.8</v>
      </c>
      <c r="I19" s="17">
        <f>DDD!J53+DDD!J59</f>
        <v>31709.050000000003</v>
      </c>
      <c r="J19" s="17">
        <f>DDD!K53+DDD!K59</f>
        <v>38060.630000000005</v>
      </c>
      <c r="K19" s="17">
        <f>DDD!L53+DDD!L59</f>
        <v>30567.919999999998</v>
      </c>
      <c r="L19" s="17">
        <f>DDD!M53+DDD!M59</f>
        <v>88468.18</v>
      </c>
      <c r="M19" s="17">
        <f>DDD!N53+DDD!N59</f>
        <v>43824.76</v>
      </c>
      <c r="N19" s="17">
        <f>DDD!O53+DDD!O59</f>
        <v>57594.62</v>
      </c>
      <c r="O19" s="17">
        <f>DDD!P53+DDD!P59</f>
        <v>70861.73000000001</v>
      </c>
    </row>
    <row r="20" spans="2:15" x14ac:dyDescent="0.25">
      <c r="B20" s="29" t="s">
        <v>42</v>
      </c>
      <c r="C20" s="25" t="s">
        <v>31</v>
      </c>
      <c r="D20" s="17">
        <f>DDD!E58+DDD!E61</f>
        <v>0</v>
      </c>
      <c r="E20" s="17">
        <f>DDD!F58+DDD!F61</f>
        <v>0</v>
      </c>
      <c r="F20" s="17">
        <f>DDD!G58+DDD!G61</f>
        <v>13929.57</v>
      </c>
      <c r="G20" s="17">
        <f>DDD!H58+DDD!H61</f>
        <v>286.8</v>
      </c>
      <c r="H20" s="17">
        <f>DDD!I58+DDD!I61</f>
        <v>570.41</v>
      </c>
      <c r="I20" s="17">
        <f>DDD!J58+DDD!J61</f>
        <v>16684.75</v>
      </c>
      <c r="J20" s="17">
        <f>DDD!K58+DDD!K61</f>
        <v>8747.1</v>
      </c>
      <c r="K20" s="17">
        <f>DDD!L58+DDD!L61</f>
        <v>2987.59</v>
      </c>
      <c r="L20" s="17">
        <f>DDD!M58+DDD!M61</f>
        <v>6226.1</v>
      </c>
      <c r="M20" s="17">
        <f>DDD!N58+DDD!N61</f>
        <v>118.2</v>
      </c>
      <c r="N20" s="17">
        <f>DDD!O58+DDD!O61</f>
        <v>0</v>
      </c>
      <c r="O20" s="17">
        <f>DDD!P58+DDD!P61</f>
        <v>99.37</v>
      </c>
    </row>
    <row r="21" spans="2:15" x14ac:dyDescent="0.25">
      <c r="B21" s="29" t="s">
        <v>41</v>
      </c>
      <c r="C21" s="25" t="s">
        <v>14</v>
      </c>
      <c r="D21" s="17">
        <f>DDD!E25+DDD!E26+DDD!E27+DDD!E28+DDD!E29+DDD!E30</f>
        <v>12037.029999999999</v>
      </c>
      <c r="E21" s="17">
        <f>DDD!F25+DDD!F26+DDD!F27+DDD!F28+DDD!F29+DDD!F30</f>
        <v>19309.25</v>
      </c>
      <c r="F21" s="17">
        <f>DDD!G25+DDD!G26+DDD!G27+DDD!G28+DDD!G29+DDD!G30</f>
        <v>12930.57</v>
      </c>
      <c r="G21" s="17">
        <f>DDD!H25+DDD!H26+DDD!H27+DDD!H28+DDD!H29+DDD!H30</f>
        <v>8005.52</v>
      </c>
      <c r="H21" s="17">
        <f>DDD!I25+DDD!I26+DDD!I27+DDD!I28+DDD!I29+DDD!I30</f>
        <v>80652.439999999988</v>
      </c>
      <c r="I21" s="17">
        <f>DDD!J25+DDD!J26+DDD!J27+DDD!J28+DDD!J29+DDD!J30</f>
        <v>26234.660000000003</v>
      </c>
      <c r="J21" s="17">
        <f>DDD!K25+DDD!K26+DDD!K27+DDD!K28+DDD!K29+DDD!K30</f>
        <v>83299.5</v>
      </c>
      <c r="K21" s="17">
        <f>DDD!L25+DDD!L26+DDD!L27+DDD!L28+DDD!L29+DDD!L30</f>
        <v>22023.599999999999</v>
      </c>
      <c r="L21" s="17">
        <f>DDD!M25+DDD!M26+DDD!M27+DDD!M28+DDD!M29+DDD!M30</f>
        <v>26733.270000000004</v>
      </c>
      <c r="M21" s="17">
        <f>DDD!N25+DDD!N26+DDD!N27+DDD!N28+DDD!N29+DDD!N30</f>
        <v>35065.07</v>
      </c>
      <c r="N21" s="17">
        <f>DDD!O25+DDD!O26+DDD!O27+DDD!O28+DDD!O29+DDD!O30</f>
        <v>22136.159999999996</v>
      </c>
      <c r="O21" s="17">
        <f>DDD!P25+DDD!P26+DDD!P27+DDD!P28+DDD!P29+DDD!P30</f>
        <v>18343.519999999997</v>
      </c>
    </row>
    <row r="22" spans="2:15" x14ac:dyDescent="0.25">
      <c r="B22" s="29" t="s">
        <v>43</v>
      </c>
      <c r="C22" s="25" t="s">
        <v>11</v>
      </c>
      <c r="D22" s="17">
        <f>DDD!E13+DDD!E14+DDD!E15</f>
        <v>446605.92</v>
      </c>
      <c r="E22" s="17">
        <f>DDD!F13+DDD!F14+DDD!F15</f>
        <v>125728.79000000001</v>
      </c>
      <c r="F22" s="17">
        <f>DDD!G13+DDD!G14+DDD!G15</f>
        <v>240163.91</v>
      </c>
      <c r="G22" s="17">
        <f>DDD!H13+DDD!H14+DDD!H15</f>
        <v>102188</v>
      </c>
      <c r="H22" s="17">
        <f>DDD!I13+DDD!I14+DDD!I15</f>
        <v>41254.479999999996</v>
      </c>
      <c r="I22" s="17">
        <f>DDD!J13+DDD!J14+DDD!J15</f>
        <v>99320.48</v>
      </c>
      <c r="J22" s="17">
        <f>DDD!K13+DDD!K14+DDD!K15</f>
        <v>190558.06</v>
      </c>
      <c r="K22" s="17">
        <f>DDD!L13+DDD!L14+DDD!L15</f>
        <v>286651.67000000004</v>
      </c>
      <c r="L22" s="17">
        <f>DDD!M13+DDD!M14+DDD!M15</f>
        <v>178785.79</v>
      </c>
      <c r="M22" s="17">
        <f>DDD!N13+DDD!N14+DDD!N15</f>
        <v>56517.83</v>
      </c>
      <c r="N22" s="17">
        <f>DDD!O13+DDD!O14+DDD!O15</f>
        <v>72589.289999999994</v>
      </c>
      <c r="O22" s="17">
        <f>DDD!P13+DDD!P14+DDD!P15</f>
        <v>44668.590000000004</v>
      </c>
    </row>
    <row r="23" spans="2:15" x14ac:dyDescent="0.25">
      <c r="B23" s="29" t="s">
        <v>42</v>
      </c>
      <c r="C23" s="25" t="s">
        <v>29</v>
      </c>
      <c r="D23" s="17">
        <f>DDD!E56</f>
        <v>1438.89</v>
      </c>
      <c r="E23" s="17">
        <f>DDD!F56</f>
        <v>359.1</v>
      </c>
      <c r="F23" s="17">
        <f>DDD!G56</f>
        <v>13233.38</v>
      </c>
      <c r="G23" s="17">
        <f>DDD!H56</f>
        <v>7211.36</v>
      </c>
      <c r="H23" s="17">
        <f>DDD!I56</f>
        <v>20475.02</v>
      </c>
      <c r="I23" s="17">
        <f>DDD!J56</f>
        <v>5922.2</v>
      </c>
      <c r="J23" s="17">
        <f>DDD!K56</f>
        <v>35887.370000000003</v>
      </c>
      <c r="K23" s="17">
        <f>DDD!L56</f>
        <v>5683.26</v>
      </c>
      <c r="L23" s="17">
        <f>DDD!M56</f>
        <v>44648.62</v>
      </c>
      <c r="M23" s="17">
        <f>DDD!N56</f>
        <v>9291</v>
      </c>
      <c r="N23" s="17">
        <f>DDD!O56</f>
        <v>123362.05</v>
      </c>
      <c r="O23" s="17">
        <f>DDD!P56</f>
        <v>32795</v>
      </c>
    </row>
    <row r="24" spans="2:15" x14ac:dyDescent="0.25">
      <c r="B24" s="29" t="s">
        <v>41</v>
      </c>
      <c r="C24" s="25" t="s">
        <v>23</v>
      </c>
      <c r="D24" s="17">
        <f>DDD!E46</f>
        <v>3869.5</v>
      </c>
      <c r="E24" s="17">
        <f>DDD!F46</f>
        <v>1147.9000000000001</v>
      </c>
      <c r="F24" s="17">
        <f>DDD!G46</f>
        <v>16286.92</v>
      </c>
      <c r="G24" s="17">
        <f>DDD!H46</f>
        <v>1771.64</v>
      </c>
      <c r="H24" s="17">
        <f>DDD!I46</f>
        <v>15909.47</v>
      </c>
      <c r="I24" s="17">
        <f>DDD!J46</f>
        <v>3982.05</v>
      </c>
      <c r="J24" s="17">
        <f>DDD!K46</f>
        <v>570</v>
      </c>
      <c r="K24" s="17">
        <f>DDD!L46</f>
        <v>5200.33</v>
      </c>
      <c r="L24" s="17">
        <f>DDD!M46</f>
        <v>5950.17</v>
      </c>
      <c r="M24" s="17">
        <f>DDD!N46</f>
        <v>24517</v>
      </c>
      <c r="N24" s="17">
        <f>DDD!O46</f>
        <v>420.4</v>
      </c>
      <c r="O24" s="17">
        <f>DDD!P46</f>
        <v>4478</v>
      </c>
    </row>
    <row r="25" spans="2:15" x14ac:dyDescent="0.25">
      <c r="B25" s="29" t="s">
        <v>42</v>
      </c>
      <c r="C25" s="25" t="s">
        <v>34</v>
      </c>
      <c r="D25" s="15">
        <f>DDD!E66</f>
        <v>0</v>
      </c>
      <c r="E25" s="15">
        <f>DDD!F66</f>
        <v>451.49</v>
      </c>
      <c r="F25" s="15">
        <f>DDD!G66</f>
        <v>0</v>
      </c>
      <c r="G25" s="15">
        <f>DDD!H66</f>
        <v>0</v>
      </c>
      <c r="H25" s="15">
        <f>DDD!I66</f>
        <v>0</v>
      </c>
      <c r="I25" s="15">
        <f>DDD!J66</f>
        <v>0</v>
      </c>
      <c r="J25" s="15">
        <f>DDD!K66</f>
        <v>733.64</v>
      </c>
      <c r="K25" s="15">
        <f>DDD!L66</f>
        <v>0</v>
      </c>
      <c r="L25" s="15">
        <f>DDD!M66</f>
        <v>3069.21</v>
      </c>
      <c r="M25" s="15">
        <f>DDD!N66</f>
        <v>0</v>
      </c>
      <c r="N25" s="15">
        <f>DDD!O66</f>
        <v>0</v>
      </c>
      <c r="O25" s="15">
        <f>DDD!P66</f>
        <v>990.45</v>
      </c>
    </row>
    <row r="26" spans="2:15" x14ac:dyDescent="0.25">
      <c r="B26" s="29" t="s">
        <v>41</v>
      </c>
      <c r="C26" s="25" t="s">
        <v>16</v>
      </c>
      <c r="D26" s="17">
        <f>DDD!E34+DDD!E35+DDD!E36+DDD!E37</f>
        <v>66111.31</v>
      </c>
      <c r="E26" s="17">
        <f>DDD!F34+DDD!F35+DDD!F36+DDD!F37</f>
        <v>13386.470000000001</v>
      </c>
      <c r="F26" s="17">
        <f>DDD!G34+DDD!G35+DDD!G36+DDD!G37</f>
        <v>45375.43</v>
      </c>
      <c r="G26" s="17">
        <f>DDD!H34+DDD!H35+DDD!H36+DDD!H37</f>
        <v>48377.23</v>
      </c>
      <c r="H26" s="17">
        <f>DDD!I34+DDD!I35+DDD!I36+DDD!I37</f>
        <v>42248.93</v>
      </c>
      <c r="I26" s="17">
        <f>DDD!J34+DDD!J35+DDD!J36+DDD!J37</f>
        <v>13260.13</v>
      </c>
      <c r="J26" s="17">
        <f>DDD!K34+DDD!K35+DDD!K36+DDD!K37</f>
        <v>33964.720000000001</v>
      </c>
      <c r="K26" s="17">
        <f>DDD!L34+DDD!L35+DDD!L36+DDD!L37</f>
        <v>119624.46</v>
      </c>
      <c r="L26" s="17">
        <f>DDD!M34+DDD!M35+DDD!M36+DDD!M37</f>
        <v>42101.479999999996</v>
      </c>
      <c r="M26" s="17">
        <f>DDD!N34+DDD!N35+DDD!N36+DDD!N37</f>
        <v>61924.819999999992</v>
      </c>
      <c r="N26" s="17">
        <f>DDD!O34+DDD!O35+DDD!O36+DDD!O37</f>
        <v>57664.04</v>
      </c>
      <c r="O26" s="17">
        <f>DDD!P34+DDD!P35+DDD!P36+DDD!P37</f>
        <v>47387.3</v>
      </c>
    </row>
    <row r="27" spans="2:15" x14ac:dyDescent="0.25">
      <c r="B27" s="29" t="s">
        <v>41</v>
      </c>
      <c r="C27" s="25" t="s">
        <v>15</v>
      </c>
      <c r="D27" s="17">
        <f>DDD!E31+DDD!E32+DDD!E33</f>
        <v>16834.240000000002</v>
      </c>
      <c r="E27" s="17">
        <f>DDD!F31+DDD!F32+DDD!F33</f>
        <v>15618.66</v>
      </c>
      <c r="F27" s="17">
        <f>DDD!G31+DDD!G32+DDD!G33</f>
        <v>21753.329999999998</v>
      </c>
      <c r="G27" s="17">
        <f>DDD!H31+DDD!H32+DDD!H33</f>
        <v>7827.1</v>
      </c>
      <c r="H27" s="17">
        <f>DDD!I31+DDD!I32+DDD!I33</f>
        <v>10749.190000000002</v>
      </c>
      <c r="I27" s="17">
        <f>DDD!J31+DDD!J32+DDD!J33</f>
        <v>37096.639999999999</v>
      </c>
      <c r="J27" s="17">
        <f>DDD!K31+DDD!K32+DDD!K33</f>
        <v>34605.119999999995</v>
      </c>
      <c r="K27" s="17">
        <f>DDD!L31+DDD!L32+DDD!L33</f>
        <v>6723.08</v>
      </c>
      <c r="L27" s="17">
        <f>DDD!M31+DDD!M32+DDD!M33</f>
        <v>22181.249999999996</v>
      </c>
      <c r="M27" s="17">
        <f>DDD!N31+DDD!N32+DDD!N33</f>
        <v>27781.510000000002</v>
      </c>
      <c r="N27" s="17">
        <f>DDD!O31+DDD!O32+DDD!O33</f>
        <v>33909.550000000003</v>
      </c>
      <c r="O27" s="17">
        <f>DDD!P31+DDD!P32+DDD!P33</f>
        <v>9796</v>
      </c>
    </row>
    <row r="28" spans="2:15" x14ac:dyDescent="0.25">
      <c r="B28" s="29" t="s">
        <v>42</v>
      </c>
      <c r="C28" s="25" t="s">
        <v>25</v>
      </c>
      <c r="D28" s="17">
        <f>DDD!E52</f>
        <v>2216.71</v>
      </c>
      <c r="E28" s="17">
        <f>DDD!F52</f>
        <v>4447.7</v>
      </c>
      <c r="F28" s="17">
        <f>DDD!G52</f>
        <v>15420.05</v>
      </c>
      <c r="G28" s="17">
        <f>DDD!H52</f>
        <v>15099.05</v>
      </c>
      <c r="H28" s="17">
        <f>DDD!I52</f>
        <v>0</v>
      </c>
      <c r="I28" s="17">
        <f>DDD!J52</f>
        <v>11755.05</v>
      </c>
      <c r="J28" s="17">
        <f>DDD!K52</f>
        <v>2162.29</v>
      </c>
      <c r="K28" s="17">
        <f>DDD!L52</f>
        <v>6529.98</v>
      </c>
      <c r="L28" s="17">
        <f>DDD!M52</f>
        <v>5540.68</v>
      </c>
      <c r="M28" s="17">
        <f>DDD!N52</f>
        <v>8934.09</v>
      </c>
      <c r="N28" s="17">
        <f>DDD!O52</f>
        <v>5544.87</v>
      </c>
      <c r="O28" s="17">
        <f>DDD!P52</f>
        <v>913.69</v>
      </c>
    </row>
    <row r="29" spans="2:15" x14ac:dyDescent="0.25">
      <c r="B29" s="29" t="s">
        <v>40</v>
      </c>
      <c r="C29" s="25" t="s">
        <v>10</v>
      </c>
      <c r="D29" s="17">
        <f>DDD!E4+DDD!E5+DDD!E6+DDD!E7+DDD!E8+DDD!E9+DDD!E10+DDD!E11+DDD!E12</f>
        <v>425955.12999999995</v>
      </c>
      <c r="E29" s="17">
        <f>DDD!F4+DDD!F5+DDD!F6+DDD!F7+DDD!F8+DDD!F9+DDD!F10+DDD!F11+DDD!F12</f>
        <v>251190.00000000003</v>
      </c>
      <c r="F29" s="17">
        <f>DDD!G4+DDD!G5+DDD!G6+DDD!G7+DDD!G8+DDD!G9+DDD!G10+DDD!G11+DDD!G12</f>
        <v>347826.18</v>
      </c>
      <c r="G29" s="17">
        <f>DDD!H4+DDD!H5+DDD!H6+DDD!H7+DDD!H8+DDD!H9+DDD!H10+DDD!H11+DDD!H12</f>
        <v>352356.44</v>
      </c>
      <c r="H29" s="17">
        <f>DDD!I4+DDD!I5+DDD!I6+DDD!I7+DDD!I8+DDD!I9+DDD!I10+DDD!I11+DDD!I12</f>
        <v>296315.16000000003</v>
      </c>
      <c r="I29" s="17">
        <f>DDD!J4+DDD!J5+DDD!J6+DDD!J7+DDD!J8+DDD!J9+DDD!J10+DDD!J11+DDD!J12</f>
        <v>172834.49000000002</v>
      </c>
      <c r="J29" s="17">
        <f>DDD!K4+DDD!K5+DDD!K6+DDD!K7+DDD!K8+DDD!K9+DDD!K10+DDD!K11+DDD!K12</f>
        <v>458760.64</v>
      </c>
      <c r="K29" s="17">
        <f>DDD!L4+DDD!L5+DDD!L6+DDD!L7+DDD!L8+DDD!L9+DDD!L10+DDD!L11+DDD!L12</f>
        <v>499456.67</v>
      </c>
      <c r="L29" s="17">
        <f>DDD!M4+DDD!M5+DDD!M6+DDD!M7+DDD!M8+DDD!M9+DDD!M10+DDD!M11+DDD!M12</f>
        <v>294953.88999999996</v>
      </c>
      <c r="M29" s="17">
        <f>DDD!N4+DDD!N5+DDD!N6+DDD!N7+DDD!N8+DDD!N9+DDD!N10+DDD!N11+DDD!N12</f>
        <v>420553.13000000006</v>
      </c>
      <c r="N29" s="17">
        <f>DDD!O4+DDD!O5+DDD!O6+DDD!O7+DDD!O8+DDD!O9+DDD!O10+DDD!O11+DDD!O12</f>
        <v>405083.45</v>
      </c>
      <c r="O29" s="17">
        <f>DDD!P4+DDD!P5+DDD!P6+DDD!P7+DDD!P8+DDD!P9+DDD!P10+DDD!P11+DDD!P12</f>
        <v>263480.05000000005</v>
      </c>
    </row>
    <row r="30" spans="2:15" x14ac:dyDescent="0.25">
      <c r="B30" s="32" t="s">
        <v>41</v>
      </c>
      <c r="C30" s="26" t="s">
        <v>19</v>
      </c>
      <c r="D30" s="21">
        <f>DDD!E40</f>
        <v>6945.24</v>
      </c>
      <c r="E30" s="21">
        <f>DDD!F40</f>
        <v>2257.38</v>
      </c>
      <c r="F30" s="21">
        <f>DDD!G40</f>
        <v>2240</v>
      </c>
      <c r="G30" s="21">
        <f>DDD!H40</f>
        <v>529.29999999999995</v>
      </c>
      <c r="H30" s="21">
        <f>DDD!I40</f>
        <v>2814.22</v>
      </c>
      <c r="I30" s="21">
        <f>DDD!J40</f>
        <v>9494.6200000000008</v>
      </c>
      <c r="J30" s="21">
        <f>DDD!K40</f>
        <v>6447.56</v>
      </c>
      <c r="K30" s="21">
        <f>DDD!L40</f>
        <v>87.37</v>
      </c>
      <c r="L30" s="21">
        <f>DDD!M40</f>
        <v>2210</v>
      </c>
      <c r="M30" s="21">
        <f>DDD!N40</f>
        <v>37195.699999999997</v>
      </c>
      <c r="N30" s="21">
        <f>DDD!O40</f>
        <v>0</v>
      </c>
      <c r="O30" s="21">
        <f>DDD!P40</f>
        <v>11264.27</v>
      </c>
    </row>
    <row r="31" spans="2:15" x14ac:dyDescent="0.25">
      <c r="B31" s="36" t="s">
        <v>58</v>
      </c>
      <c r="C31" s="37"/>
      <c r="D31" s="39">
        <f>SUBTOTAL(109,Tabela1[jan/24])</f>
        <v>1768889.65</v>
      </c>
      <c r="E31" s="39">
        <f>SUBTOTAL(109,Tabela1[fev/24])</f>
        <v>995113.95</v>
      </c>
      <c r="F31" s="39">
        <f>SUBTOTAL(109,Tabela1[mar/24])</f>
        <v>1269973.78</v>
      </c>
      <c r="G31" s="39">
        <f>SUBTOTAL(109,Tabela1[abr/24])</f>
        <v>1434303.8800000004</v>
      </c>
      <c r="H31" s="39">
        <f>SUBTOTAL(109,Tabela1[mai/24])</f>
        <v>1343419.97</v>
      </c>
      <c r="I31" s="39">
        <f>SUBTOTAL(109,Tabela1[jun/24])</f>
        <v>1208757.6600000001</v>
      </c>
      <c r="J31" s="39">
        <f>SUBTOTAL(109,Tabela1[jul/24])</f>
        <v>1506560.3</v>
      </c>
      <c r="K31" s="39">
        <f>SUBTOTAL(109,Tabela1[ago/24])</f>
        <v>1850356.1500000001</v>
      </c>
      <c r="L31" s="39">
        <f>SUBTOTAL(109,Tabela1[set/24])</f>
        <v>1715863.08</v>
      </c>
      <c r="M31" s="39">
        <f>SUBTOTAL(109,Tabela1[out/24])</f>
        <v>1499135.8399999999</v>
      </c>
      <c r="N31" s="39">
        <f>SUBTOTAL(109,Tabela1[nov/24])</f>
        <v>1547322.2500000002</v>
      </c>
      <c r="O31" s="39">
        <f>SUBTOTAL(109,Tabela1[dez/24])</f>
        <v>1431215.18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5C20-3A4C-4FB7-B486-1BAAFACF16E0}">
  <dimension ref="B1:AQ17"/>
  <sheetViews>
    <sheetView workbookViewId="0">
      <pane xSplit="4" topLeftCell="E1" activePane="topRight" state="frozen"/>
      <selection pane="topRight" activeCell="G20" sqref="G20"/>
    </sheetView>
  </sheetViews>
  <sheetFormatPr defaultColWidth="9.140625" defaultRowHeight="15" x14ac:dyDescent="0.25"/>
  <cols>
    <col min="1" max="1" width="1.42578125" style="4" customWidth="1"/>
    <col min="2" max="4" width="9.140625" style="4"/>
    <col min="5" max="5" width="11.5703125" style="4" bestFit="1" customWidth="1"/>
    <col min="6" max="6" width="14.28515625" style="4" bestFit="1" customWidth="1"/>
    <col min="7" max="7" width="10.28515625" style="4" bestFit="1" customWidth="1"/>
    <col min="8" max="8" width="11.7109375" style="4" bestFit="1" customWidth="1"/>
    <col min="9" max="9" width="14.28515625" style="4" bestFit="1" customWidth="1"/>
    <col min="10" max="10" width="10.28515625" style="4" bestFit="1" customWidth="1"/>
    <col min="11" max="11" width="11.5703125" style="4" bestFit="1" customWidth="1"/>
    <col min="12" max="12" width="14.28515625" style="4" bestFit="1" customWidth="1"/>
    <col min="13" max="13" width="10.28515625" style="4" bestFit="1" customWidth="1"/>
    <col min="14" max="14" width="11.5703125" style="4" bestFit="1" customWidth="1"/>
    <col min="15" max="15" width="14.28515625" style="4" bestFit="1" customWidth="1"/>
    <col min="16" max="16" width="10.28515625" style="4" bestFit="1" customWidth="1"/>
    <col min="17" max="17" width="11.5703125" style="4" bestFit="1" customWidth="1"/>
    <col min="18" max="18" width="14.28515625" style="4" bestFit="1" customWidth="1"/>
    <col min="19" max="19" width="10.28515625" style="4" bestFit="1" customWidth="1"/>
    <col min="20" max="20" width="11.5703125" style="4" bestFit="1" customWidth="1"/>
    <col min="21" max="21" width="14.28515625" style="4" bestFit="1" customWidth="1"/>
    <col min="22" max="22" width="10.28515625" style="4" bestFit="1" customWidth="1"/>
    <col min="23" max="23" width="11.5703125" style="4" bestFit="1" customWidth="1"/>
    <col min="24" max="24" width="14.28515625" style="4" bestFit="1" customWidth="1"/>
    <col min="25" max="25" width="10.28515625" style="4" bestFit="1" customWidth="1"/>
    <col min="26" max="26" width="11.5703125" style="4" bestFit="1" customWidth="1"/>
    <col min="27" max="27" width="14.28515625" style="4" bestFit="1" customWidth="1"/>
    <col min="28" max="28" width="10.28515625" style="4" bestFit="1" customWidth="1"/>
    <col min="29" max="29" width="11.5703125" style="4" bestFit="1" customWidth="1"/>
    <col min="30" max="30" width="14.28515625" style="4" bestFit="1" customWidth="1"/>
    <col min="31" max="31" width="10.28515625" style="4" bestFit="1" customWidth="1"/>
    <col min="32" max="32" width="11.5703125" style="4" bestFit="1" customWidth="1"/>
    <col min="33" max="33" width="14.28515625" style="4" bestFit="1" customWidth="1"/>
    <col min="34" max="34" width="10.28515625" style="4" bestFit="1" customWidth="1"/>
    <col min="35" max="35" width="11.5703125" style="4" bestFit="1" customWidth="1"/>
    <col min="36" max="36" width="14.28515625" style="4" bestFit="1" customWidth="1"/>
    <col min="37" max="37" width="10.28515625" style="4" bestFit="1" customWidth="1"/>
    <col min="38" max="38" width="11.5703125" style="4" bestFit="1" customWidth="1"/>
    <col min="39" max="39" width="14.28515625" style="4" bestFit="1" customWidth="1"/>
    <col min="40" max="40" width="10.28515625" style="4" customWidth="1"/>
    <col min="41" max="41" width="13.28515625" style="4" bestFit="1" customWidth="1"/>
    <col min="42" max="42" width="15.28515625" style="4" bestFit="1" customWidth="1"/>
    <col min="43" max="43" width="10.28515625" style="4" bestFit="1" customWidth="1"/>
    <col min="44" max="16384" width="9.140625" style="4"/>
  </cols>
  <sheetData>
    <row r="1" spans="2:43" ht="4.5" customHeight="1" x14ac:dyDescent="0.25"/>
    <row r="2" spans="2:43" ht="21.75" thickBot="1" x14ac:dyDescent="0.4">
      <c r="B2" s="30" t="s">
        <v>44</v>
      </c>
    </row>
    <row r="3" spans="2:43" x14ac:dyDescent="0.25">
      <c r="B3" s="81" t="s">
        <v>1</v>
      </c>
      <c r="C3" s="82"/>
      <c r="D3" s="83"/>
      <c r="E3" s="92">
        <v>45292</v>
      </c>
      <c r="F3" s="93"/>
      <c r="G3" s="94"/>
      <c r="H3" s="92">
        <v>45323</v>
      </c>
      <c r="I3" s="93"/>
      <c r="J3" s="94"/>
      <c r="K3" s="92">
        <v>45352</v>
      </c>
      <c r="L3" s="93"/>
      <c r="M3" s="94"/>
      <c r="N3" s="92">
        <v>45383</v>
      </c>
      <c r="O3" s="93"/>
      <c r="P3" s="94"/>
      <c r="Q3" s="92">
        <v>45413</v>
      </c>
      <c r="R3" s="93"/>
      <c r="S3" s="94"/>
      <c r="T3" s="92">
        <v>45444</v>
      </c>
      <c r="U3" s="93"/>
      <c r="V3" s="94"/>
      <c r="W3" s="92">
        <v>45474</v>
      </c>
      <c r="X3" s="93"/>
      <c r="Y3" s="94"/>
      <c r="Z3" s="92">
        <v>45505</v>
      </c>
      <c r="AA3" s="93"/>
      <c r="AB3" s="94"/>
      <c r="AC3" s="92">
        <v>45536</v>
      </c>
      <c r="AD3" s="93"/>
      <c r="AE3" s="94"/>
      <c r="AF3" s="92">
        <v>45566</v>
      </c>
      <c r="AG3" s="93"/>
      <c r="AH3" s="94"/>
      <c r="AI3" s="92">
        <v>45597</v>
      </c>
      <c r="AJ3" s="93"/>
      <c r="AK3" s="94"/>
      <c r="AL3" s="92">
        <v>45627</v>
      </c>
      <c r="AM3" s="93"/>
      <c r="AN3" s="94"/>
      <c r="AO3" s="95" t="s">
        <v>6</v>
      </c>
      <c r="AP3" s="97" t="s">
        <v>45</v>
      </c>
      <c r="AQ3" s="90" t="s">
        <v>59</v>
      </c>
    </row>
    <row r="4" spans="2:43" ht="15.75" thickBot="1" x14ac:dyDescent="0.3">
      <c r="B4" s="84"/>
      <c r="C4" s="85"/>
      <c r="D4" s="86"/>
      <c r="E4" s="47" t="s">
        <v>6</v>
      </c>
      <c r="F4" s="52" t="s">
        <v>45</v>
      </c>
      <c r="G4" s="58" t="s">
        <v>59</v>
      </c>
      <c r="H4" s="47" t="s">
        <v>6</v>
      </c>
      <c r="I4" s="52" t="s">
        <v>45</v>
      </c>
      <c r="J4" s="63" t="s">
        <v>59</v>
      </c>
      <c r="K4" s="47" t="s">
        <v>6</v>
      </c>
      <c r="L4" s="52" t="s">
        <v>45</v>
      </c>
      <c r="M4" s="63" t="s">
        <v>59</v>
      </c>
      <c r="N4" s="47" t="s">
        <v>6</v>
      </c>
      <c r="O4" s="52" t="s">
        <v>45</v>
      </c>
      <c r="P4" s="63" t="s">
        <v>59</v>
      </c>
      <c r="Q4" s="47" t="s">
        <v>6</v>
      </c>
      <c r="R4" s="52" t="s">
        <v>45</v>
      </c>
      <c r="S4" s="63" t="s">
        <v>59</v>
      </c>
      <c r="T4" s="47" t="s">
        <v>6</v>
      </c>
      <c r="U4" s="52" t="s">
        <v>45</v>
      </c>
      <c r="V4" s="63" t="s">
        <v>59</v>
      </c>
      <c r="W4" s="47" t="s">
        <v>6</v>
      </c>
      <c r="X4" s="52" t="s">
        <v>45</v>
      </c>
      <c r="Y4" s="63" t="s">
        <v>59</v>
      </c>
      <c r="Z4" s="47" t="s">
        <v>6</v>
      </c>
      <c r="AA4" s="52" t="s">
        <v>45</v>
      </c>
      <c r="AB4" s="63" t="s">
        <v>59</v>
      </c>
      <c r="AC4" s="47" t="s">
        <v>6</v>
      </c>
      <c r="AD4" s="52" t="s">
        <v>45</v>
      </c>
      <c r="AE4" s="63" t="s">
        <v>59</v>
      </c>
      <c r="AF4" s="47" t="s">
        <v>6</v>
      </c>
      <c r="AG4" s="52" t="s">
        <v>45</v>
      </c>
      <c r="AH4" s="63" t="s">
        <v>59</v>
      </c>
      <c r="AI4" s="47" t="s">
        <v>6</v>
      </c>
      <c r="AJ4" s="52" t="s">
        <v>45</v>
      </c>
      <c r="AK4" s="63" t="s">
        <v>59</v>
      </c>
      <c r="AL4" s="47" t="s">
        <v>6</v>
      </c>
      <c r="AM4" s="52" t="s">
        <v>45</v>
      </c>
      <c r="AN4" s="63" t="s">
        <v>59</v>
      </c>
      <c r="AO4" s="96"/>
      <c r="AP4" s="98"/>
      <c r="AQ4" s="91"/>
    </row>
    <row r="5" spans="2:43" x14ac:dyDescent="0.25">
      <c r="B5" s="106" t="s">
        <v>2</v>
      </c>
      <c r="C5" s="107"/>
      <c r="D5" s="107"/>
      <c r="E5" s="48">
        <v>225698.15</v>
      </c>
      <c r="F5" s="13">
        <v>6994370.3300000001</v>
      </c>
      <c r="G5" s="59">
        <f>E5/F5</f>
        <v>3.2268544465245665E-2</v>
      </c>
      <c r="H5" s="48">
        <v>208002</v>
      </c>
      <c r="I5" s="13">
        <v>6002938.8799999999</v>
      </c>
      <c r="J5" s="61">
        <f>H5/I5</f>
        <v>3.4650027954307605E-2</v>
      </c>
      <c r="K5" s="48">
        <v>293737</v>
      </c>
      <c r="L5" s="13">
        <v>4888545.99</v>
      </c>
      <c r="M5" s="61">
        <f>K5/L5</f>
        <v>6.0086782573155251E-2</v>
      </c>
      <c r="N5" s="48">
        <v>344625</v>
      </c>
      <c r="O5" s="13">
        <v>8693189.4399999995</v>
      </c>
      <c r="P5" s="61">
        <f>N5/O5</f>
        <v>3.9643102497487967E-2</v>
      </c>
      <c r="Q5" s="48">
        <v>349861</v>
      </c>
      <c r="R5" s="13">
        <v>8161437.6900000004</v>
      </c>
      <c r="S5" s="61">
        <f>Q5/R5</f>
        <v>4.2867569819062111E-2</v>
      </c>
      <c r="T5" s="48">
        <v>159850</v>
      </c>
      <c r="U5" s="13">
        <v>24168279.379999999</v>
      </c>
      <c r="V5" s="61">
        <f>T5/U5</f>
        <v>6.6140413840250802E-3</v>
      </c>
      <c r="W5" s="48">
        <v>430578</v>
      </c>
      <c r="X5" s="13">
        <v>15290234.17</v>
      </c>
      <c r="Y5" s="61">
        <f>W5/X5</f>
        <v>2.8160327383658375E-2</v>
      </c>
      <c r="Z5" s="48">
        <v>556559</v>
      </c>
      <c r="AA5" s="13">
        <v>30376280.780000001</v>
      </c>
      <c r="AB5" s="61">
        <f>Z5/AA5</f>
        <v>1.8322157476449292E-2</v>
      </c>
      <c r="AC5" s="48">
        <v>461776</v>
      </c>
      <c r="AD5" s="13">
        <v>33704687.670000002</v>
      </c>
      <c r="AE5" s="61">
        <f>AC5/AD5</f>
        <v>1.3700646168901287E-2</v>
      </c>
      <c r="AF5" s="48">
        <v>283699</v>
      </c>
      <c r="AG5" s="13">
        <v>16264342.560000001</v>
      </c>
      <c r="AH5" s="61">
        <f>AF5/AG5</f>
        <v>1.7443004471494605E-2</v>
      </c>
      <c r="AI5" s="48">
        <v>509280</v>
      </c>
      <c r="AJ5" s="13">
        <v>18299665.75</v>
      </c>
      <c r="AK5" s="61">
        <f>AI5/AJ5</f>
        <v>2.7830016512733299E-2</v>
      </c>
      <c r="AL5" s="48">
        <f>'Por Vendedor'!AA5</f>
        <v>388957.49999999994</v>
      </c>
      <c r="AM5" s="13">
        <v>3055292.42</v>
      </c>
      <c r="AN5" s="61">
        <f>AL5/AM5</f>
        <v>0.12730614505304863</v>
      </c>
      <c r="AO5" s="51">
        <f>SUM(E5+H5+K5+N5+Q5+T5+W5+Z5+AC5+AF5+AI5+AL5)</f>
        <v>4212622.6499999994</v>
      </c>
      <c r="AP5" s="13">
        <f>SUM(F5+I5+L5+O5+R5+U5+X5+AA5+AD5+AG5+AJ5+AM5)</f>
        <v>175899265.05999997</v>
      </c>
      <c r="AQ5" s="59">
        <f>AO5/AP5</f>
        <v>2.3949063394682498E-2</v>
      </c>
    </row>
    <row r="6" spans="2:43" x14ac:dyDescent="0.25">
      <c r="B6" s="106" t="s">
        <v>3</v>
      </c>
      <c r="C6" s="107"/>
      <c r="D6" s="107"/>
      <c r="E6" s="49">
        <v>848195.09</v>
      </c>
      <c r="F6" s="13">
        <v>27033149.629999999</v>
      </c>
      <c r="G6" s="59">
        <f>E6/F6</f>
        <v>3.1376110501704794E-2</v>
      </c>
      <c r="H6" s="49">
        <v>397702</v>
      </c>
      <c r="I6" s="13">
        <v>16367379.439999999</v>
      </c>
      <c r="J6" s="61">
        <f>H6/I6</f>
        <v>2.4298452996578176E-2</v>
      </c>
      <c r="K6" s="49">
        <v>488223</v>
      </c>
      <c r="L6" s="13">
        <v>20985533.190000001</v>
      </c>
      <c r="M6" s="61">
        <f>K6/L6</f>
        <v>2.326474126626658E-2</v>
      </c>
      <c r="N6" s="49">
        <v>588351</v>
      </c>
      <c r="O6" s="13">
        <v>31022637.5</v>
      </c>
      <c r="P6" s="61">
        <f>N6/O6</f>
        <v>1.8965215320586457E-2</v>
      </c>
      <c r="Q6" s="49">
        <v>385306</v>
      </c>
      <c r="R6" s="13">
        <v>24129733.350000001</v>
      </c>
      <c r="S6" s="61">
        <f>Q6/R6</f>
        <v>1.5968100202814715E-2</v>
      </c>
      <c r="T6" s="49">
        <v>637514</v>
      </c>
      <c r="U6" s="13">
        <v>25760935.129999999</v>
      </c>
      <c r="V6" s="61">
        <f>T6/U6</f>
        <v>2.4747315917797587E-2</v>
      </c>
      <c r="W6" s="49">
        <v>484905</v>
      </c>
      <c r="X6" s="13">
        <v>21051206.219999999</v>
      </c>
      <c r="Y6" s="61">
        <f>W6/X6</f>
        <v>2.3034547043642044E-2</v>
      </c>
      <c r="Z6" s="49">
        <v>545519</v>
      </c>
      <c r="AA6" s="13">
        <v>32898072.34</v>
      </c>
      <c r="AB6" s="61">
        <f>Z6/AA6</f>
        <v>1.6582096189773288E-2</v>
      </c>
      <c r="AC6" s="49">
        <v>629646</v>
      </c>
      <c r="AD6" s="13">
        <v>12580740.449999999</v>
      </c>
      <c r="AE6" s="61">
        <f>AC6/AD6</f>
        <v>5.0048405537211446E-2</v>
      </c>
      <c r="AF6" s="49">
        <v>511543</v>
      </c>
      <c r="AG6" s="13">
        <v>43516110.399999999</v>
      </c>
      <c r="AH6" s="61">
        <f>AF6/AG6</f>
        <v>1.1755255589203579E-2</v>
      </c>
      <c r="AI6" s="49">
        <v>406995</v>
      </c>
      <c r="AJ6" s="13">
        <v>7324117.0599999996</v>
      </c>
      <c r="AK6" s="61">
        <f>AI6/AJ6</f>
        <v>5.5569155526304495E-2</v>
      </c>
      <c r="AL6" s="49">
        <f>'Por Vendedor'!AA6</f>
        <v>483059.75000000006</v>
      </c>
      <c r="AM6" s="13">
        <v>5936163.0300000003</v>
      </c>
      <c r="AN6" s="61">
        <f>AL6/AM6</f>
        <v>8.1375755274699729E-2</v>
      </c>
      <c r="AO6" s="49">
        <f>SUM(E6+H6+K6+N6+Q6+T6+W6+Z6+AC6+AF6+AI6+AL6)</f>
        <v>6406958.8399999999</v>
      </c>
      <c r="AP6" s="13">
        <f t="shared" ref="AP6:AP7" si="0">SUM(F6+I6+L6+O6+R6+U6+X6+AA6+AD6+AG6+AJ6+AM6)</f>
        <v>268605777.74000001</v>
      </c>
      <c r="AQ6" s="59">
        <f>AO6/AP6</f>
        <v>2.3852647154156484E-2</v>
      </c>
    </row>
    <row r="7" spans="2:43" x14ac:dyDescent="0.25">
      <c r="B7" s="104" t="s">
        <v>4</v>
      </c>
      <c r="C7" s="105"/>
      <c r="D7" s="105"/>
      <c r="E7" s="49">
        <v>254849.15</v>
      </c>
      <c r="F7" s="13">
        <v>13339167.18</v>
      </c>
      <c r="G7" s="59">
        <f>E7/F7</f>
        <v>1.9105326933911326E-2</v>
      </c>
      <c r="H7" s="49">
        <v>134732</v>
      </c>
      <c r="I7" s="13">
        <v>57811300.609999999</v>
      </c>
      <c r="J7" s="61">
        <f>H7/I7</f>
        <v>2.3305478094830219E-3</v>
      </c>
      <c r="K7" s="49">
        <v>99918</v>
      </c>
      <c r="L7" s="13">
        <v>15700894.109999999</v>
      </c>
      <c r="M7" s="61">
        <f>K7/L7</f>
        <v>6.3638414029148563E-3</v>
      </c>
      <c r="N7" s="49">
        <v>92389.6</v>
      </c>
      <c r="O7" s="13">
        <v>6554367.1399999997</v>
      </c>
      <c r="P7" s="61">
        <f>N7/O7</f>
        <v>1.4095884168002223E-2</v>
      </c>
      <c r="Q7" s="49">
        <v>176517</v>
      </c>
      <c r="R7" s="13">
        <v>15478517.210000001</v>
      </c>
      <c r="S7" s="61">
        <f>Q7/R7</f>
        <v>1.1403999336962329E-2</v>
      </c>
      <c r="T7" s="49">
        <v>140816</v>
      </c>
      <c r="U7" s="13">
        <v>25292431.170000002</v>
      </c>
      <c r="V7" s="61">
        <f>T7/U7</f>
        <v>5.5675153983230146E-3</v>
      </c>
      <c r="W7" s="49">
        <v>246264</v>
      </c>
      <c r="X7" s="13">
        <v>24385414.25</v>
      </c>
      <c r="Y7" s="61">
        <f>W7/X7</f>
        <v>1.0098823726154253E-2</v>
      </c>
      <c r="Z7" s="49">
        <v>272325</v>
      </c>
      <c r="AA7" s="13">
        <v>13286171.439999999</v>
      </c>
      <c r="AB7" s="61">
        <f>Z7/AA7</f>
        <v>2.0496875358700022E-2</v>
      </c>
      <c r="AC7" s="49">
        <v>203499</v>
      </c>
      <c r="AD7" s="13">
        <v>22869824.57</v>
      </c>
      <c r="AE7" s="61">
        <f>AC7/AD7</f>
        <v>8.8981443376240123E-3</v>
      </c>
      <c r="AF7" s="49">
        <v>263483</v>
      </c>
      <c r="AG7" s="13">
        <v>58151080.93</v>
      </c>
      <c r="AH7" s="61">
        <f>AF7/AG7</f>
        <v>4.531007778121451E-3</v>
      </c>
      <c r="AI7" s="49">
        <v>215712</v>
      </c>
      <c r="AJ7" s="13">
        <v>20114618.670000002</v>
      </c>
      <c r="AK7" s="61">
        <f>AI7/AJ7</f>
        <v>1.0724140663015611E-2</v>
      </c>
      <c r="AL7" s="49">
        <f>'Por Vendedor'!AA7</f>
        <v>158875.04</v>
      </c>
      <c r="AM7" s="13">
        <v>4955320.78</v>
      </c>
      <c r="AN7" s="61">
        <f>AL7/AM7</f>
        <v>3.206150460354254E-2</v>
      </c>
      <c r="AO7" s="49">
        <f>SUM(E7+H7+K7+N7+Q7+T7+W7+Z7+AC7+AF7+AI7+AL7)</f>
        <v>2259379.79</v>
      </c>
      <c r="AP7" s="13">
        <f t="shared" si="0"/>
        <v>277939108.06</v>
      </c>
      <c r="AQ7" s="59">
        <f>AO7/AP7</f>
        <v>8.1290459833822919E-3</v>
      </c>
    </row>
    <row r="8" spans="2:43" ht="15.75" thickBot="1" x14ac:dyDescent="0.3">
      <c r="B8" s="104" t="s">
        <v>5</v>
      </c>
      <c r="C8" s="105"/>
      <c r="D8" s="105"/>
      <c r="E8" s="50">
        <v>0</v>
      </c>
      <c r="F8" s="57">
        <v>0</v>
      </c>
      <c r="G8" s="60"/>
      <c r="H8" s="50">
        <v>19422.830000000002</v>
      </c>
      <c r="I8" s="57">
        <v>6660118.9900000002</v>
      </c>
      <c r="J8" s="64">
        <f>H8/I8</f>
        <v>2.9162887373578293E-3</v>
      </c>
      <c r="K8" s="50">
        <v>25632.15</v>
      </c>
      <c r="L8" s="57">
        <v>8012317.0499999998</v>
      </c>
      <c r="M8" s="64">
        <f>K8/L8</f>
        <v>3.1990933259437109E-3</v>
      </c>
      <c r="N8" s="50">
        <v>67697</v>
      </c>
      <c r="O8" s="57">
        <v>10309420.210000001</v>
      </c>
      <c r="P8" s="64">
        <f>N8/O8</f>
        <v>6.5665186422738699E-3</v>
      </c>
      <c r="Q8" s="50">
        <v>69834</v>
      </c>
      <c r="R8" s="57">
        <v>8907176.7899999991</v>
      </c>
      <c r="S8" s="64">
        <f>Q8/R8</f>
        <v>7.8401946707066551E-3</v>
      </c>
      <c r="T8" s="50">
        <v>258234</v>
      </c>
      <c r="U8" s="57">
        <v>8166033.4500000002</v>
      </c>
      <c r="V8" s="64">
        <f>T8/U8</f>
        <v>3.162294173556196E-2</v>
      </c>
      <c r="W8" s="50">
        <v>141231</v>
      </c>
      <c r="X8" s="57">
        <v>7297804.75</v>
      </c>
      <c r="Y8" s="64">
        <f>W8/X8</f>
        <v>1.9352532006285863E-2</v>
      </c>
      <c r="Z8" s="50">
        <v>251016</v>
      </c>
      <c r="AA8" s="57">
        <v>7849762.7800000003</v>
      </c>
      <c r="AB8" s="64">
        <f>Z8/AA8</f>
        <v>3.1977526841900313E-2</v>
      </c>
      <c r="AC8" s="50">
        <v>309431</v>
      </c>
      <c r="AD8" s="57">
        <v>6472232.6399999997</v>
      </c>
      <c r="AE8" s="64">
        <f>AC8/AD8</f>
        <v>4.7809004591033988E-2</v>
      </c>
      <c r="AF8" s="50">
        <v>290710</v>
      </c>
      <c r="AG8" s="57">
        <v>7613238.0700000003</v>
      </c>
      <c r="AH8" s="64">
        <f>AF8/AG8</f>
        <v>3.818480353918579E-2</v>
      </c>
      <c r="AI8" s="50">
        <v>224243</v>
      </c>
      <c r="AJ8" s="57">
        <v>8856567.3800000008</v>
      </c>
      <c r="AK8" s="64">
        <f>AI8/AJ8</f>
        <v>2.5319403147814133E-2</v>
      </c>
      <c r="AL8" s="50">
        <f>'Por Vendedor'!AA8</f>
        <v>210734.21000000002</v>
      </c>
      <c r="AM8" s="57">
        <v>1463083.86</v>
      </c>
      <c r="AN8" s="50">
        <f>AL8/AM8</f>
        <v>0.14403426608779624</v>
      </c>
      <c r="AO8" s="50">
        <f>SUM(E8+H8+K8+N8+Q8+T8+W8+Z8+AC8+AF8+AI8+AL8)</f>
        <v>1868185.19</v>
      </c>
      <c r="AP8" s="57">
        <f>SUM(F8+I8+L8+O8+R8+U8+X8+AA8+AD8+AG8+AJ8+AM8)</f>
        <v>81607755.969999999</v>
      </c>
      <c r="AQ8" s="66">
        <f>AO8/AP8</f>
        <v>2.2892250470491645E-2</v>
      </c>
    </row>
    <row r="11" spans="2:43" ht="21.75" thickBot="1" x14ac:dyDescent="0.4">
      <c r="B11" s="30" t="s">
        <v>46</v>
      </c>
    </row>
    <row r="12" spans="2:43" x14ac:dyDescent="0.25">
      <c r="B12" s="81" t="s">
        <v>1</v>
      </c>
      <c r="C12" s="82"/>
      <c r="D12" s="83"/>
      <c r="E12" s="92">
        <v>45292</v>
      </c>
      <c r="F12" s="93"/>
      <c r="G12" s="94"/>
      <c r="H12" s="92">
        <v>45323</v>
      </c>
      <c r="I12" s="93"/>
      <c r="J12" s="94"/>
      <c r="K12" s="92">
        <v>45352</v>
      </c>
      <c r="L12" s="93"/>
      <c r="M12" s="94"/>
      <c r="N12" s="92">
        <v>45383</v>
      </c>
      <c r="O12" s="93"/>
      <c r="P12" s="94"/>
      <c r="Q12" s="92">
        <v>45413</v>
      </c>
      <c r="R12" s="93"/>
      <c r="S12" s="94"/>
      <c r="T12" s="92">
        <v>45444</v>
      </c>
      <c r="U12" s="93"/>
      <c r="V12" s="94"/>
      <c r="W12" s="92">
        <v>45474</v>
      </c>
      <c r="X12" s="93"/>
      <c r="Y12" s="94"/>
      <c r="Z12" s="92">
        <v>45505</v>
      </c>
      <c r="AA12" s="93"/>
      <c r="AB12" s="94"/>
      <c r="AC12" s="92">
        <v>45536</v>
      </c>
      <c r="AD12" s="93"/>
      <c r="AE12" s="94"/>
      <c r="AF12" s="92">
        <v>45566</v>
      </c>
      <c r="AG12" s="93"/>
      <c r="AH12" s="94"/>
      <c r="AI12" s="101">
        <v>45597</v>
      </c>
      <c r="AJ12" s="102"/>
      <c r="AK12" s="103"/>
      <c r="AL12" s="101">
        <v>45627</v>
      </c>
      <c r="AM12" s="102"/>
      <c r="AN12" s="103"/>
      <c r="AO12" s="95" t="s">
        <v>6</v>
      </c>
      <c r="AP12" s="99" t="s">
        <v>45</v>
      </c>
      <c r="AQ12" s="90" t="s">
        <v>59</v>
      </c>
    </row>
    <row r="13" spans="2:43" ht="15.75" thickBot="1" x14ac:dyDescent="0.3">
      <c r="B13" s="84"/>
      <c r="C13" s="85"/>
      <c r="D13" s="86"/>
      <c r="E13" s="47" t="s">
        <v>6</v>
      </c>
      <c r="F13" s="52" t="s">
        <v>45</v>
      </c>
      <c r="G13" s="63" t="s">
        <v>59</v>
      </c>
      <c r="H13" s="47" t="s">
        <v>6</v>
      </c>
      <c r="I13" s="52" t="s">
        <v>45</v>
      </c>
      <c r="J13" s="63" t="s">
        <v>59</v>
      </c>
      <c r="K13" s="47" t="s">
        <v>6</v>
      </c>
      <c r="L13" s="52" t="s">
        <v>45</v>
      </c>
      <c r="M13" s="63" t="s">
        <v>59</v>
      </c>
      <c r="N13" s="47" t="s">
        <v>6</v>
      </c>
      <c r="O13" s="52" t="s">
        <v>45</v>
      </c>
      <c r="P13" s="63" t="s">
        <v>59</v>
      </c>
      <c r="Q13" s="47" t="s">
        <v>6</v>
      </c>
      <c r="R13" s="52" t="s">
        <v>45</v>
      </c>
      <c r="S13" s="63" t="s">
        <v>59</v>
      </c>
      <c r="T13" s="47" t="s">
        <v>6</v>
      </c>
      <c r="U13" s="52" t="s">
        <v>45</v>
      </c>
      <c r="V13" s="63" t="s">
        <v>59</v>
      </c>
      <c r="W13" s="47" t="s">
        <v>6</v>
      </c>
      <c r="X13" s="52" t="s">
        <v>45</v>
      </c>
      <c r="Y13" s="63" t="s">
        <v>59</v>
      </c>
      <c r="Z13" s="47" t="s">
        <v>6</v>
      </c>
      <c r="AA13" s="52" t="s">
        <v>45</v>
      </c>
      <c r="AB13" s="63" t="s">
        <v>59</v>
      </c>
      <c r="AC13" s="47" t="s">
        <v>6</v>
      </c>
      <c r="AD13" s="52" t="s">
        <v>45</v>
      </c>
      <c r="AE13" s="63" t="s">
        <v>59</v>
      </c>
      <c r="AF13" s="47" t="s">
        <v>6</v>
      </c>
      <c r="AG13" s="52" t="s">
        <v>45</v>
      </c>
      <c r="AH13" s="63" t="s">
        <v>59</v>
      </c>
      <c r="AI13" s="47" t="s">
        <v>6</v>
      </c>
      <c r="AJ13" s="52" t="s">
        <v>45</v>
      </c>
      <c r="AK13" s="63" t="s">
        <v>59</v>
      </c>
      <c r="AL13" s="47" t="s">
        <v>6</v>
      </c>
      <c r="AM13" s="52" t="s">
        <v>45</v>
      </c>
      <c r="AN13" s="63" t="s">
        <v>59</v>
      </c>
      <c r="AO13" s="96"/>
      <c r="AP13" s="100"/>
      <c r="AQ13" s="91"/>
    </row>
    <row r="14" spans="2:43" x14ac:dyDescent="0.25">
      <c r="B14" s="106" t="s">
        <v>2</v>
      </c>
      <c r="C14" s="107"/>
      <c r="D14" s="107"/>
      <c r="E14" s="55">
        <v>61</v>
      </c>
      <c r="F14" s="46">
        <v>269</v>
      </c>
      <c r="G14" s="59">
        <f>E14/F14</f>
        <v>0.22676579925650558</v>
      </c>
      <c r="H14" s="55">
        <v>69</v>
      </c>
      <c r="I14" s="46">
        <v>224</v>
      </c>
      <c r="J14" s="61">
        <f>H14/I14</f>
        <v>0.3080357142857143</v>
      </c>
      <c r="K14" s="55">
        <v>89</v>
      </c>
      <c r="L14" s="46">
        <v>244</v>
      </c>
      <c r="M14" s="61">
        <f>K14/L14</f>
        <v>0.36475409836065575</v>
      </c>
      <c r="N14" s="55">
        <v>102</v>
      </c>
      <c r="O14" s="46">
        <v>353</v>
      </c>
      <c r="P14" s="61">
        <f>N14/O14</f>
        <v>0.28895184135977336</v>
      </c>
      <c r="Q14" s="55">
        <v>104</v>
      </c>
      <c r="R14" s="46">
        <v>373</v>
      </c>
      <c r="S14" s="61">
        <f>Q14/R14</f>
        <v>0.27882037533512066</v>
      </c>
      <c r="T14" s="55">
        <v>80</v>
      </c>
      <c r="U14" s="46">
        <v>398</v>
      </c>
      <c r="V14" s="61">
        <f>T14/U14</f>
        <v>0.20100502512562815</v>
      </c>
      <c r="W14" s="55">
        <v>166</v>
      </c>
      <c r="X14" s="46">
        <v>352</v>
      </c>
      <c r="Y14" s="61">
        <f>W14/X14</f>
        <v>0.47159090909090912</v>
      </c>
      <c r="Z14" s="55">
        <v>130</v>
      </c>
      <c r="AA14" s="46">
        <v>515</v>
      </c>
      <c r="AB14" s="61">
        <f>Z14/AA14</f>
        <v>0.25242718446601942</v>
      </c>
      <c r="AC14" s="55">
        <v>130</v>
      </c>
      <c r="AD14" s="46">
        <v>500</v>
      </c>
      <c r="AE14" s="61">
        <f>AC14/AD14</f>
        <v>0.26</v>
      </c>
      <c r="AF14" s="55">
        <v>70</v>
      </c>
      <c r="AG14" s="46">
        <v>196</v>
      </c>
      <c r="AH14" s="61">
        <f>AF14/AG14</f>
        <v>0.35714285714285715</v>
      </c>
      <c r="AI14" s="55">
        <v>122</v>
      </c>
      <c r="AJ14" s="46">
        <v>369</v>
      </c>
      <c r="AK14" s="61">
        <f>AI14/AJ14</f>
        <v>0.33062330623306235</v>
      </c>
      <c r="AL14" s="55">
        <v>74</v>
      </c>
      <c r="AM14" s="46">
        <v>224</v>
      </c>
      <c r="AN14" s="61">
        <f>AL14/AM14</f>
        <v>0.33035714285714285</v>
      </c>
      <c r="AO14" s="55">
        <f>AL14+AI14+AF14+AC14+Z14+W14+T14+Q14+N14+K14+H14+E14</f>
        <v>1197</v>
      </c>
      <c r="AP14" s="46">
        <f>AM14+AJ14+AG14+AD14+AA14+X14+U14+R14+O14+L14+I14+F14</f>
        <v>4017</v>
      </c>
      <c r="AQ14" s="59">
        <f>AO14/AP14</f>
        <v>0.29798356982823004</v>
      </c>
    </row>
    <row r="15" spans="2:43" x14ac:dyDescent="0.25">
      <c r="B15" s="106" t="s">
        <v>3</v>
      </c>
      <c r="C15" s="107"/>
      <c r="D15" s="107"/>
      <c r="E15" s="53">
        <v>182</v>
      </c>
      <c r="F15" s="46">
        <v>578</v>
      </c>
      <c r="G15" s="59">
        <f>E15/F15</f>
        <v>0.31487889273356401</v>
      </c>
      <c r="H15" s="55">
        <v>162</v>
      </c>
      <c r="I15" s="46">
        <v>456</v>
      </c>
      <c r="J15" s="61">
        <f>H15/I15</f>
        <v>0.35526315789473684</v>
      </c>
      <c r="K15" s="55">
        <v>186</v>
      </c>
      <c r="L15" s="46">
        <v>540</v>
      </c>
      <c r="M15" s="61">
        <f>K15/L15</f>
        <v>0.34444444444444444</v>
      </c>
      <c r="N15" s="55">
        <v>186</v>
      </c>
      <c r="O15" s="46">
        <v>510</v>
      </c>
      <c r="P15" s="61">
        <f>N15/O15</f>
        <v>0.36470588235294116</v>
      </c>
      <c r="Q15" s="55">
        <v>195</v>
      </c>
      <c r="R15" s="46">
        <v>477</v>
      </c>
      <c r="S15" s="61">
        <f>Q15/R15</f>
        <v>0.4088050314465409</v>
      </c>
      <c r="T15" s="55">
        <v>233</v>
      </c>
      <c r="U15" s="46">
        <v>616</v>
      </c>
      <c r="V15" s="61">
        <f>T15/U15</f>
        <v>0.37824675324675322</v>
      </c>
      <c r="W15" s="55">
        <v>182</v>
      </c>
      <c r="X15" s="46">
        <v>457</v>
      </c>
      <c r="Y15" s="61">
        <f>W15/X15</f>
        <v>0.39824945295404812</v>
      </c>
      <c r="Z15" s="55">
        <v>188</v>
      </c>
      <c r="AA15" s="46">
        <v>650</v>
      </c>
      <c r="AB15" s="61">
        <f>Z15/AA15</f>
        <v>0.28923076923076924</v>
      </c>
      <c r="AC15" s="55">
        <v>188</v>
      </c>
      <c r="AD15" s="46">
        <v>602</v>
      </c>
      <c r="AE15" s="61">
        <f>AC15/AD15</f>
        <v>0.3122923588039867</v>
      </c>
      <c r="AF15" s="55">
        <v>234</v>
      </c>
      <c r="AG15" s="46">
        <v>712</v>
      </c>
      <c r="AH15" s="61">
        <f>AF15/AG15</f>
        <v>0.32865168539325845</v>
      </c>
      <c r="AI15" s="55">
        <v>123</v>
      </c>
      <c r="AJ15" s="46">
        <v>222</v>
      </c>
      <c r="AK15" s="61">
        <f>AI15/AJ15</f>
        <v>0.55405405405405406</v>
      </c>
      <c r="AL15" s="55">
        <v>147</v>
      </c>
      <c r="AM15" s="46">
        <v>373</v>
      </c>
      <c r="AN15" s="61">
        <f>AL15/AM15</f>
        <v>0.3941018766756032</v>
      </c>
      <c r="AO15" s="55">
        <f t="shared" ref="AO15:AP17" si="1">AL15+AI15+AF15+AC15+Z15+W15+T15+Q15+N15+K15+H15+E15</f>
        <v>2206</v>
      </c>
      <c r="AP15" s="46">
        <f t="shared" si="1"/>
        <v>6193</v>
      </c>
      <c r="AQ15" s="59">
        <f>AO15/AP15</f>
        <v>0.35620862263846276</v>
      </c>
    </row>
    <row r="16" spans="2:43" x14ac:dyDescent="0.25">
      <c r="B16" s="104" t="s">
        <v>4</v>
      </c>
      <c r="C16" s="105"/>
      <c r="D16" s="105"/>
      <c r="E16" s="53">
        <v>68</v>
      </c>
      <c r="F16" s="46">
        <v>406</v>
      </c>
      <c r="G16" s="59">
        <f>E16/F16</f>
        <v>0.16748768472906403</v>
      </c>
      <c r="H16" s="55">
        <v>59</v>
      </c>
      <c r="I16" s="46">
        <v>283</v>
      </c>
      <c r="J16" s="61">
        <f>H16/I16</f>
        <v>0.20848056537102475</v>
      </c>
      <c r="K16" s="55">
        <v>50</v>
      </c>
      <c r="L16" s="46">
        <v>326</v>
      </c>
      <c r="M16" s="61">
        <f>K16/L16</f>
        <v>0.15337423312883436</v>
      </c>
      <c r="N16" s="55">
        <v>27</v>
      </c>
      <c r="O16" s="46">
        <v>157</v>
      </c>
      <c r="P16" s="61">
        <f>N16/O16</f>
        <v>0.17197452229299362</v>
      </c>
      <c r="Q16" s="55">
        <v>53</v>
      </c>
      <c r="R16" s="46">
        <v>376</v>
      </c>
      <c r="S16" s="61">
        <f>Q16/R16</f>
        <v>0.14095744680851063</v>
      </c>
      <c r="T16" s="55">
        <v>60</v>
      </c>
      <c r="U16" s="46">
        <v>388</v>
      </c>
      <c r="V16" s="61">
        <f>T16/U16</f>
        <v>0.15463917525773196</v>
      </c>
      <c r="W16" s="55">
        <v>58</v>
      </c>
      <c r="X16" s="46">
        <v>496</v>
      </c>
      <c r="Y16" s="61">
        <f>W16/X16</f>
        <v>0.11693548387096774</v>
      </c>
      <c r="Z16" s="55">
        <v>64</v>
      </c>
      <c r="AA16" s="46">
        <v>412</v>
      </c>
      <c r="AB16" s="61">
        <f>Z16/AA16</f>
        <v>0.1553398058252427</v>
      </c>
      <c r="AC16" s="53">
        <v>64</v>
      </c>
      <c r="AD16" s="46">
        <v>424</v>
      </c>
      <c r="AE16" s="61">
        <f>AC16/AD16</f>
        <v>0.15094339622641509</v>
      </c>
      <c r="AF16" s="53">
        <v>79</v>
      </c>
      <c r="AG16" s="46">
        <v>534</v>
      </c>
      <c r="AH16" s="61">
        <f>AF16/AG16</f>
        <v>0.14794007490636704</v>
      </c>
      <c r="AI16" s="53">
        <v>69</v>
      </c>
      <c r="AJ16" s="46">
        <v>414</v>
      </c>
      <c r="AK16" s="61">
        <f>AI16/AJ16</f>
        <v>0.16666666666666666</v>
      </c>
      <c r="AL16" s="53">
        <v>50</v>
      </c>
      <c r="AM16" s="46">
        <v>198</v>
      </c>
      <c r="AN16" s="61">
        <f>AL16/AM16</f>
        <v>0.25252525252525254</v>
      </c>
      <c r="AO16" s="53">
        <f t="shared" si="1"/>
        <v>701</v>
      </c>
      <c r="AP16" s="46">
        <f t="shared" si="1"/>
        <v>4414</v>
      </c>
      <c r="AQ16" s="59">
        <f>AO16/AP16</f>
        <v>0.15881286814680562</v>
      </c>
    </row>
    <row r="17" spans="2:43" ht="15.75" thickBot="1" x14ac:dyDescent="0.3">
      <c r="B17" s="104" t="s">
        <v>5</v>
      </c>
      <c r="C17" s="105"/>
      <c r="D17" s="105"/>
      <c r="E17" s="54">
        <v>0</v>
      </c>
      <c r="F17" s="56">
        <v>0</v>
      </c>
      <c r="G17" s="65"/>
      <c r="H17" s="54">
        <v>10</v>
      </c>
      <c r="I17" s="56">
        <v>98</v>
      </c>
      <c r="J17" s="62">
        <f>H17/I17</f>
        <v>0.10204081632653061</v>
      </c>
      <c r="K17" s="54">
        <v>15</v>
      </c>
      <c r="L17" s="56">
        <v>194</v>
      </c>
      <c r="M17" s="62">
        <f>K17/L17</f>
        <v>7.7319587628865982E-2</v>
      </c>
      <c r="N17" s="54">
        <v>36</v>
      </c>
      <c r="O17" s="56">
        <v>223</v>
      </c>
      <c r="P17" s="62">
        <f>N17/O17</f>
        <v>0.16143497757847533</v>
      </c>
      <c r="Q17" s="54">
        <v>29</v>
      </c>
      <c r="R17" s="56">
        <v>165</v>
      </c>
      <c r="S17" s="62">
        <f>Q17/R17</f>
        <v>0.17575757575757575</v>
      </c>
      <c r="T17" s="54">
        <v>59</v>
      </c>
      <c r="U17" s="56">
        <v>211</v>
      </c>
      <c r="V17" s="62">
        <f>T17/U17</f>
        <v>0.27962085308056872</v>
      </c>
      <c r="W17" s="54">
        <v>66</v>
      </c>
      <c r="X17" s="56">
        <v>256</v>
      </c>
      <c r="Y17" s="62">
        <f>W17/X17</f>
        <v>0.2578125</v>
      </c>
      <c r="Z17" s="54">
        <v>67</v>
      </c>
      <c r="AA17" s="56">
        <v>236</v>
      </c>
      <c r="AB17" s="62">
        <f>Z17/AA17</f>
        <v>0.28389830508474578</v>
      </c>
      <c r="AC17" s="54">
        <v>67</v>
      </c>
      <c r="AD17" s="56">
        <v>185</v>
      </c>
      <c r="AE17" s="62">
        <f>AC17/AD17</f>
        <v>0.36216216216216218</v>
      </c>
      <c r="AF17" s="54">
        <v>73</v>
      </c>
      <c r="AG17" s="56">
        <v>252</v>
      </c>
      <c r="AH17" s="62">
        <f>AF17/AG17</f>
        <v>0.28968253968253971</v>
      </c>
      <c r="AI17" s="54">
        <v>67</v>
      </c>
      <c r="AJ17" s="56">
        <v>232</v>
      </c>
      <c r="AK17" s="62">
        <f>AI17/AJ17</f>
        <v>0.28879310344827586</v>
      </c>
      <c r="AL17" s="54">
        <v>45</v>
      </c>
      <c r="AM17" s="56">
        <v>102</v>
      </c>
      <c r="AN17" s="62">
        <f>AL17/AM17</f>
        <v>0.44117647058823528</v>
      </c>
      <c r="AO17" s="54">
        <f t="shared" si="1"/>
        <v>534</v>
      </c>
      <c r="AP17" s="56">
        <f t="shared" si="1"/>
        <v>2154</v>
      </c>
      <c r="AQ17" s="66">
        <f>AO17/AP17</f>
        <v>0.24791086350974931</v>
      </c>
    </row>
  </sheetData>
  <mergeCells count="40">
    <mergeCell ref="T12:V12"/>
    <mergeCell ref="W12:Y12"/>
    <mergeCell ref="Z12:AB12"/>
    <mergeCell ref="B16:D16"/>
    <mergeCell ref="B17:D17"/>
    <mergeCell ref="B14:D14"/>
    <mergeCell ref="B15:D15"/>
    <mergeCell ref="K12:M12"/>
    <mergeCell ref="N12:P12"/>
    <mergeCell ref="Q12:S12"/>
    <mergeCell ref="B8:D8"/>
    <mergeCell ref="B12:D13"/>
    <mergeCell ref="E12:G12"/>
    <mergeCell ref="H12:J12"/>
    <mergeCell ref="Z3:AB3"/>
    <mergeCell ref="B7:D7"/>
    <mergeCell ref="B3:D4"/>
    <mergeCell ref="W3:Y3"/>
    <mergeCell ref="T3:V3"/>
    <mergeCell ref="Q3:S3"/>
    <mergeCell ref="N3:P3"/>
    <mergeCell ref="B5:D5"/>
    <mergeCell ref="B6:D6"/>
    <mergeCell ref="K3:M3"/>
    <mergeCell ref="H3:J3"/>
    <mergeCell ref="E3:G3"/>
    <mergeCell ref="AQ12:AQ13"/>
    <mergeCell ref="AQ3:AQ4"/>
    <mergeCell ref="AF3:AH3"/>
    <mergeCell ref="AI3:AK3"/>
    <mergeCell ref="AC3:AE3"/>
    <mergeCell ref="AO3:AO4"/>
    <mergeCell ref="AP3:AP4"/>
    <mergeCell ref="AP12:AP13"/>
    <mergeCell ref="AO12:AO13"/>
    <mergeCell ref="AC12:AE12"/>
    <mergeCell ref="AF12:AH12"/>
    <mergeCell ref="AI12:AK12"/>
    <mergeCell ref="AL3:AN3"/>
    <mergeCell ref="AL12:AN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E984-5CB7-4AF0-8F4B-20C5ACA6FA30}">
  <dimension ref="B1:F16"/>
  <sheetViews>
    <sheetView tabSelected="1" zoomScale="115" zoomScaleNormal="115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F17" sqref="F17"/>
    </sheetView>
  </sheetViews>
  <sheetFormatPr defaultColWidth="9.140625" defaultRowHeight="15" x14ac:dyDescent="0.25"/>
  <cols>
    <col min="1" max="1" width="0.85546875" style="4" customWidth="1"/>
    <col min="2" max="2" width="12.85546875" style="27" customWidth="1"/>
    <col min="3" max="6" width="16.7109375" style="4" customWidth="1"/>
    <col min="7" max="8" width="12.7109375" style="4" bestFit="1" customWidth="1"/>
    <col min="9" max="16384" width="9.140625" style="4"/>
  </cols>
  <sheetData>
    <row r="1" spans="2:6" ht="5.25" customHeight="1" x14ac:dyDescent="0.25"/>
    <row r="2" spans="2:6" ht="30.75" customHeight="1" x14ac:dyDescent="0.25">
      <c r="B2" s="19"/>
    </row>
    <row r="3" spans="2:6" s="20" customFormat="1" ht="27.75" customHeight="1" thickBot="1" x14ac:dyDescent="0.3">
      <c r="B3" s="33" t="s">
        <v>39</v>
      </c>
      <c r="C3" s="35" t="s">
        <v>61</v>
      </c>
      <c r="D3" s="35" t="s">
        <v>62</v>
      </c>
      <c r="E3" s="35" t="s">
        <v>63</v>
      </c>
      <c r="F3" s="35" t="s">
        <v>64</v>
      </c>
    </row>
    <row r="4" spans="2:6" s="20" customFormat="1" x14ac:dyDescent="0.25">
      <c r="B4" s="28" t="s">
        <v>60</v>
      </c>
      <c r="C4" s="67">
        <v>45292</v>
      </c>
      <c r="D4" s="14">
        <v>153492.76</v>
      </c>
      <c r="E4" s="68">
        <v>171</v>
      </c>
      <c r="F4" s="21">
        <f>Tabela14[[#This Row],[Valor]]/Tabela14[[#This Row],[Quant]]</f>
        <v>897.61847953216375</v>
      </c>
    </row>
    <row r="5" spans="2:6" s="20" customFormat="1" x14ac:dyDescent="0.25">
      <c r="B5" s="28" t="s">
        <v>60</v>
      </c>
      <c r="C5" s="67">
        <v>45323</v>
      </c>
      <c r="D5" s="14">
        <v>182268.06</v>
      </c>
      <c r="E5" s="68">
        <v>167</v>
      </c>
      <c r="F5" s="21">
        <f>Tabela14[[#This Row],[Valor]]/Tabela14[[#This Row],[Quant]]</f>
        <v>1091.4255089820358</v>
      </c>
    </row>
    <row r="6" spans="2:6" s="20" customFormat="1" x14ac:dyDescent="0.25">
      <c r="B6" s="28" t="s">
        <v>60</v>
      </c>
      <c r="C6" s="67">
        <v>45352</v>
      </c>
      <c r="D6" s="14">
        <v>165193.04999999999</v>
      </c>
      <c r="E6" s="68">
        <v>196</v>
      </c>
      <c r="F6" s="21">
        <f>Tabela14[[#This Row],[Valor]]/Tabela14[[#This Row],[Quant]]</f>
        <v>842.82168367346935</v>
      </c>
    </row>
    <row r="7" spans="2:6" s="20" customFormat="1" x14ac:dyDescent="0.25">
      <c r="B7" s="28" t="s">
        <v>60</v>
      </c>
      <c r="C7" s="67">
        <v>45383</v>
      </c>
      <c r="D7" s="14">
        <v>132252.45000000001</v>
      </c>
      <c r="E7" s="68">
        <v>138</v>
      </c>
      <c r="F7" s="21">
        <f>Tabela14[[#This Row],[Valor]]/Tabela14[[#This Row],[Quant]]</f>
        <v>958.35108695652184</v>
      </c>
    </row>
    <row r="8" spans="2:6" s="20" customFormat="1" x14ac:dyDescent="0.25">
      <c r="B8" s="28" t="s">
        <v>60</v>
      </c>
      <c r="C8" s="67">
        <v>45413</v>
      </c>
      <c r="D8" s="14">
        <v>103976.76</v>
      </c>
      <c r="E8" s="68">
        <v>134</v>
      </c>
      <c r="F8" s="21">
        <f>Tabela14[[#This Row],[Valor]]/Tabela14[[#This Row],[Quant]]</f>
        <v>775.94597014925364</v>
      </c>
    </row>
    <row r="9" spans="2:6" s="20" customFormat="1" x14ac:dyDescent="0.25">
      <c r="B9" s="28" t="s">
        <v>60</v>
      </c>
      <c r="C9" s="67">
        <v>45444</v>
      </c>
      <c r="D9" s="14">
        <v>109839.52</v>
      </c>
      <c r="E9" s="68">
        <v>101</v>
      </c>
      <c r="F9" s="21">
        <f>Tabela14[[#This Row],[Valor]]/Tabela14[[#This Row],[Quant]]</f>
        <v>1087.52</v>
      </c>
    </row>
    <row r="10" spans="2:6" s="20" customFormat="1" x14ac:dyDescent="0.25">
      <c r="B10" s="28" t="s">
        <v>60</v>
      </c>
      <c r="C10" s="67">
        <v>45474</v>
      </c>
      <c r="D10" s="14">
        <v>158670.99</v>
      </c>
      <c r="E10" s="68">
        <v>160</v>
      </c>
      <c r="F10" s="21">
        <f>Tabela14[[#This Row],[Valor]]/Tabela14[[#This Row],[Quant]]</f>
        <v>991.6936874999999</v>
      </c>
    </row>
    <row r="11" spans="2:6" s="20" customFormat="1" x14ac:dyDescent="0.25">
      <c r="B11" s="28" t="s">
        <v>60</v>
      </c>
      <c r="C11" s="67">
        <v>45505</v>
      </c>
      <c r="D11" s="14">
        <v>231281.9</v>
      </c>
      <c r="E11" s="68">
        <v>201</v>
      </c>
      <c r="F11" s="21">
        <f>Tabela14[[#This Row],[Valor]]/Tabela14[[#This Row],[Quant]]</f>
        <v>1150.6562189054725</v>
      </c>
    </row>
    <row r="12" spans="2:6" s="20" customFormat="1" x14ac:dyDescent="0.25">
      <c r="B12" s="28" t="s">
        <v>60</v>
      </c>
      <c r="C12" s="67">
        <v>45536</v>
      </c>
      <c r="D12" s="14">
        <v>184494.32</v>
      </c>
      <c r="E12" s="68">
        <v>160</v>
      </c>
      <c r="F12" s="21">
        <f>Tabela14[[#This Row],[Valor]]/Tabela14[[#This Row],[Quant]]</f>
        <v>1153.0895</v>
      </c>
    </row>
    <row r="13" spans="2:6" s="20" customFormat="1" x14ac:dyDescent="0.25">
      <c r="B13" s="28" t="s">
        <v>60</v>
      </c>
      <c r="C13" s="67">
        <v>45566</v>
      </c>
      <c r="D13" s="14">
        <v>165677.54999999999</v>
      </c>
      <c r="E13" s="68">
        <v>179</v>
      </c>
      <c r="F13" s="21">
        <f>Tabela14[[#This Row],[Valor]]/Tabela14[[#This Row],[Quant]]</f>
        <v>925.57290502793285</v>
      </c>
    </row>
    <row r="14" spans="2:6" s="20" customFormat="1" x14ac:dyDescent="0.25">
      <c r="B14" s="28" t="s">
        <v>60</v>
      </c>
      <c r="C14" s="67">
        <v>45597</v>
      </c>
      <c r="D14" s="14">
        <v>240450.42</v>
      </c>
      <c r="E14" s="68">
        <v>236</v>
      </c>
      <c r="F14" s="21">
        <f>Tabela14[[#This Row],[Valor]]/Tabela14[[#This Row],[Quant]]</f>
        <v>1018.8577118644068</v>
      </c>
    </row>
    <row r="15" spans="2:6" s="20" customFormat="1" x14ac:dyDescent="0.25">
      <c r="B15" s="28" t="s">
        <v>60</v>
      </c>
      <c r="C15" s="67">
        <v>45627</v>
      </c>
      <c r="D15" s="14">
        <v>247017.2</v>
      </c>
      <c r="E15" s="68">
        <v>311</v>
      </c>
      <c r="F15" s="21">
        <f>Tabela14[[#This Row],[Valor]]/Tabela14[[#This Row],[Quant]]</f>
        <v>794.26752411575569</v>
      </c>
    </row>
    <row r="16" spans="2:6" x14ac:dyDescent="0.25">
      <c r="B16" s="22" t="s">
        <v>58</v>
      </c>
      <c r="C16" s="69"/>
      <c r="D16" s="69">
        <f>SUBTOTAL(109,D4:D15)</f>
        <v>2074614.98</v>
      </c>
      <c r="E16" s="70">
        <f>SUBTOTAL(109,E4:E15)</f>
        <v>2154</v>
      </c>
      <c r="F16" s="69">
        <f>SUBTOTAL(109,F4:F15)/12</f>
        <v>973.98502305891759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Por Vendedor</vt:lpstr>
      <vt:lpstr>DDD</vt:lpstr>
      <vt:lpstr>Estado</vt:lpstr>
      <vt:lpstr>Orçamentos x Vendas</vt:lpstr>
      <vt:lpstr>Loja Virtual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Officemed Financeiro</dc:creator>
  <cp:lastModifiedBy>Officemed Financeiro</cp:lastModifiedBy>
  <dcterms:created xsi:type="dcterms:W3CDTF">2024-12-02T11:59:55Z</dcterms:created>
  <dcterms:modified xsi:type="dcterms:W3CDTF">2025-02-24T17:47:05Z</dcterms:modified>
</cp:coreProperties>
</file>