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81802\Documents\Yoko2022-03-04\Yoko311016\Projekter\Network studies\Nacho network metaanalysis2022\"/>
    </mc:Choice>
  </mc:AlternateContent>
  <bookViews>
    <workbookView xWindow="0" yWindow="0" windowWidth="19200" windowHeight="7050"/>
  </bookViews>
  <sheets>
    <sheet name="IB2004" sheetId="1" r:id="rId1"/>
    <sheet name="SO2004" sheetId="2" r:id="rId2"/>
    <sheet name="IB2005" sheetId="4" r:id="rId3"/>
    <sheet name="HL2005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0" i="4" l="1"/>
  <c r="AG279" i="4"/>
  <c r="G279" i="4"/>
  <c r="AG278" i="4"/>
  <c r="AG277" i="4"/>
  <c r="AG276" i="4"/>
  <c r="AG275" i="4"/>
  <c r="G275" i="4"/>
  <c r="AG274" i="4"/>
  <c r="H274" i="4"/>
  <c r="G274" i="4"/>
  <c r="AG273" i="4"/>
  <c r="H273" i="4"/>
  <c r="G273" i="4"/>
  <c r="AG272" i="4"/>
  <c r="AG271" i="4"/>
  <c r="AG270" i="4"/>
  <c r="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G233" i="4"/>
  <c r="AG232" i="4"/>
  <c r="G232" i="4"/>
  <c r="AG231" i="4"/>
  <c r="AG230" i="4"/>
  <c r="AG229" i="4"/>
  <c r="AG228" i="4"/>
  <c r="AG227" i="4"/>
  <c r="AG226" i="4"/>
  <c r="AG225" i="4"/>
  <c r="AG224" i="4"/>
  <c r="AG223" i="4"/>
  <c r="AG222" i="4"/>
  <c r="H222" i="4"/>
  <c r="G222" i="4"/>
  <c r="AG221" i="4"/>
  <c r="AG220" i="4"/>
  <c r="AG219" i="4"/>
  <c r="AG218" i="4"/>
  <c r="AG217" i="4"/>
  <c r="G217" i="4"/>
  <c r="AG216" i="4"/>
  <c r="G216" i="4"/>
  <c r="AG215" i="4"/>
  <c r="AG214" i="4"/>
  <c r="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H155" i="4"/>
  <c r="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G15" i="4"/>
  <c r="AG14" i="4"/>
  <c r="AG13" i="4"/>
  <c r="AG12" i="4"/>
  <c r="AG11" i="4"/>
  <c r="AG10" i="4"/>
  <c r="AG9" i="4"/>
  <c r="AG8" i="4"/>
  <c r="G8" i="4"/>
  <c r="AG7" i="4"/>
  <c r="AG6" i="4"/>
  <c r="AG5" i="4"/>
  <c r="AG4" i="4"/>
  <c r="AG3" i="4"/>
  <c r="AG2" i="4"/>
  <c r="AK237" i="3"/>
  <c r="AK236" i="3"/>
  <c r="AI237" i="3"/>
  <c r="AK234" i="3"/>
  <c r="AK235" i="3"/>
  <c r="AK232" i="3"/>
  <c r="AK233" i="3"/>
  <c r="AI234" i="3"/>
  <c r="AI232" i="3"/>
  <c r="AK226" i="3"/>
  <c r="AK227" i="3"/>
  <c r="AK224" i="3"/>
  <c r="AK225" i="3"/>
  <c r="AK222" i="3"/>
  <c r="AK223" i="3"/>
  <c r="AK220" i="3"/>
  <c r="AK221" i="3"/>
  <c r="AK219" i="3"/>
  <c r="AK218" i="3"/>
  <c r="AI226" i="3"/>
  <c r="AI224" i="3"/>
  <c r="AI222" i="3"/>
  <c r="AI220" i="3"/>
  <c r="AI218" i="3"/>
  <c r="AK210" i="3"/>
  <c r="AK211" i="3"/>
  <c r="AK208" i="3"/>
  <c r="AK209" i="3"/>
  <c r="AI210" i="3"/>
  <c r="AI208" i="3"/>
  <c r="AK204" i="3"/>
  <c r="AK205" i="3"/>
  <c r="AI204" i="3"/>
  <c r="AK202" i="3"/>
  <c r="AK203" i="3"/>
  <c r="AK200" i="3"/>
  <c r="AK201" i="3"/>
  <c r="AI202" i="3"/>
  <c r="AI200" i="3"/>
  <c r="AK196" i="3"/>
  <c r="AK197" i="3"/>
  <c r="AK194" i="3"/>
  <c r="AK195" i="3"/>
  <c r="AI196" i="3"/>
  <c r="AI194" i="3"/>
  <c r="AK189" i="3"/>
  <c r="AK190" i="3"/>
  <c r="AI189" i="3"/>
  <c r="AK187" i="3"/>
  <c r="AK188" i="3"/>
  <c r="AI187" i="3"/>
  <c r="AK184" i="3"/>
  <c r="AK185" i="3"/>
  <c r="AI184" i="3"/>
  <c r="AK182" i="3"/>
  <c r="AK183" i="3"/>
  <c r="AI182" i="3"/>
  <c r="AK178" i="3"/>
  <c r="AK179" i="3"/>
  <c r="AI178" i="3"/>
  <c r="H178" i="3"/>
  <c r="AK163" i="3"/>
  <c r="AK164" i="3"/>
  <c r="AI163" i="3"/>
  <c r="AK160" i="3"/>
  <c r="AK161" i="3"/>
  <c r="AI160" i="3"/>
  <c r="AK156" i="3"/>
  <c r="AK157" i="3"/>
  <c r="AI156" i="3"/>
  <c r="AK154" i="3"/>
  <c r="AK155" i="3"/>
  <c r="AI154" i="3"/>
  <c r="AK150" i="3"/>
  <c r="AK151" i="3"/>
  <c r="AI150" i="3"/>
  <c r="AK144" i="3"/>
  <c r="AK145" i="3"/>
  <c r="AI144" i="3"/>
  <c r="AK136" i="3"/>
  <c r="AK137" i="3"/>
  <c r="AI136" i="3"/>
  <c r="AK130" i="3"/>
  <c r="AK129" i="3"/>
  <c r="AI130" i="3"/>
  <c r="AK127" i="3"/>
  <c r="AK126" i="3"/>
  <c r="AI127" i="3"/>
  <c r="AK115" i="3"/>
  <c r="AK116" i="3"/>
  <c r="AI115" i="3"/>
  <c r="AK112" i="3"/>
  <c r="AK113" i="3"/>
  <c r="AI112" i="3"/>
  <c r="AK108" i="3"/>
  <c r="AK107" i="3"/>
  <c r="AK106" i="3"/>
  <c r="AI108" i="3"/>
  <c r="AI107" i="3"/>
  <c r="AK97" i="3"/>
  <c r="AK96" i="3"/>
  <c r="AK95" i="3"/>
  <c r="AI97" i="3"/>
  <c r="AI96" i="3"/>
  <c r="AK94" i="3"/>
  <c r="AK93" i="3"/>
  <c r="AI94" i="3"/>
  <c r="AK89" i="3"/>
  <c r="AK90" i="3"/>
  <c r="AI89" i="3"/>
  <c r="AK86" i="3"/>
  <c r="AK87" i="3"/>
  <c r="AI86" i="3"/>
  <c r="AK85" i="3"/>
  <c r="AK84" i="3"/>
  <c r="AI85" i="3"/>
  <c r="AK81" i="3"/>
  <c r="AK80" i="3"/>
  <c r="AI81" i="3"/>
  <c r="AK79" i="3"/>
  <c r="AK78" i="3"/>
  <c r="AI79" i="3"/>
  <c r="AK76" i="3"/>
  <c r="AK75" i="3"/>
  <c r="AI76" i="3"/>
  <c r="AK72" i="3"/>
  <c r="AK73" i="3"/>
  <c r="AK74" i="3"/>
  <c r="AI72" i="3"/>
  <c r="AI73" i="3"/>
  <c r="AK68" i="3"/>
  <c r="AK71" i="3"/>
  <c r="AK70" i="3"/>
  <c r="AK69" i="3"/>
  <c r="AI68" i="3"/>
  <c r="AI71" i="3"/>
  <c r="AI70" i="3"/>
  <c r="AK65" i="3"/>
  <c r="AK67" i="3"/>
  <c r="AK66" i="3"/>
  <c r="AI65" i="3"/>
  <c r="AI67" i="3"/>
  <c r="AK64" i="3"/>
  <c r="AK63" i="3"/>
  <c r="AI64" i="3"/>
  <c r="AK61" i="3"/>
  <c r="AK62" i="3"/>
  <c r="AK60" i="3"/>
  <c r="AI61" i="3"/>
  <c r="AI62" i="3"/>
  <c r="AK57" i="3"/>
  <c r="AK59" i="3"/>
  <c r="AK58" i="3"/>
  <c r="AI57" i="3"/>
  <c r="AI59" i="3"/>
  <c r="AK56" i="3"/>
  <c r="AK54" i="3"/>
  <c r="AK55" i="3"/>
  <c r="AI56" i="3"/>
  <c r="AI54" i="3"/>
  <c r="AK53" i="3"/>
  <c r="AK52" i="3"/>
  <c r="AI53" i="3"/>
  <c r="AK50" i="3"/>
  <c r="AK49" i="3"/>
  <c r="AI50" i="3"/>
  <c r="AK48" i="3"/>
  <c r="AK47" i="3"/>
  <c r="AK46" i="3"/>
  <c r="AK45" i="3"/>
  <c r="AK44" i="3"/>
  <c r="AK43" i="3"/>
  <c r="AI48" i="3"/>
  <c r="AI46" i="3"/>
  <c r="AI44" i="3"/>
  <c r="AK42" i="3"/>
  <c r="AK41" i="3"/>
  <c r="AI42" i="3"/>
  <c r="AK39" i="3"/>
  <c r="AK40" i="3"/>
  <c r="AK38" i="3"/>
  <c r="AI39" i="3"/>
  <c r="AI40" i="3"/>
  <c r="AK37" i="3" l="1"/>
  <c r="AK36" i="3"/>
  <c r="AK35" i="3"/>
  <c r="AI37" i="3"/>
  <c r="AI36" i="3"/>
  <c r="AK32" i="3"/>
  <c r="AK31" i="3"/>
  <c r="AK30" i="3"/>
  <c r="AI30" i="3"/>
  <c r="AI31" i="3"/>
  <c r="AK28" i="3"/>
  <c r="AK29" i="3"/>
  <c r="AI28" i="3"/>
  <c r="AK26" i="3"/>
  <c r="AK27" i="3"/>
  <c r="AI26" i="3"/>
  <c r="AK23" i="3"/>
  <c r="AK24" i="3"/>
  <c r="AK22" i="3"/>
  <c r="AI23" i="3"/>
  <c r="AI24" i="3"/>
  <c r="AK249" i="3"/>
  <c r="AI249" i="3"/>
  <c r="AK248" i="3"/>
  <c r="AI248" i="3"/>
  <c r="AK247" i="3"/>
  <c r="AI247" i="3"/>
  <c r="AK246" i="3"/>
  <c r="AI246" i="3"/>
  <c r="AK245" i="3"/>
  <c r="AI245" i="3"/>
  <c r="AK244" i="3"/>
  <c r="AI244" i="3"/>
  <c r="AK243" i="3"/>
  <c r="AI243" i="3"/>
  <c r="AK242" i="3"/>
  <c r="AI242" i="3"/>
  <c r="AK241" i="3"/>
  <c r="AI241" i="3"/>
  <c r="AK240" i="3"/>
  <c r="AI240" i="3"/>
  <c r="AK239" i="3"/>
  <c r="AI239" i="3"/>
  <c r="AK238" i="3"/>
  <c r="AI238" i="3"/>
  <c r="AI236" i="3"/>
  <c r="AI235" i="3"/>
  <c r="AI233" i="3"/>
  <c r="AK231" i="3"/>
  <c r="AI231" i="3"/>
  <c r="AK230" i="3"/>
  <c r="AI230" i="3"/>
  <c r="AK229" i="3"/>
  <c r="AI229" i="3"/>
  <c r="AK228" i="3"/>
  <c r="AI228" i="3"/>
  <c r="AI227" i="3"/>
  <c r="AI225" i="3"/>
  <c r="AI223" i="3"/>
  <c r="AI221" i="3"/>
  <c r="AI219" i="3"/>
  <c r="AK217" i="3"/>
  <c r="AI217" i="3"/>
  <c r="AK216" i="3"/>
  <c r="AI216" i="3"/>
  <c r="AK215" i="3"/>
  <c r="AI215" i="3"/>
  <c r="AK214" i="3"/>
  <c r="AI214" i="3"/>
  <c r="AK213" i="3"/>
  <c r="AI213" i="3"/>
  <c r="AK212" i="3"/>
  <c r="AI212" i="3"/>
  <c r="AI211" i="3"/>
  <c r="AI209" i="3"/>
  <c r="AK207" i="3"/>
  <c r="AI207" i="3"/>
  <c r="AK206" i="3"/>
  <c r="AI206" i="3"/>
  <c r="AI205" i="3"/>
  <c r="AI203" i="3"/>
  <c r="AI201" i="3"/>
  <c r="AK199" i="3"/>
  <c r="AI199" i="3"/>
  <c r="AK198" i="3"/>
  <c r="AI198" i="3"/>
  <c r="AI197" i="3"/>
  <c r="AI195" i="3"/>
  <c r="AK193" i="3"/>
  <c r="AI193" i="3"/>
  <c r="AK192" i="3"/>
  <c r="AI192" i="3"/>
  <c r="AK191" i="3"/>
  <c r="AI191" i="3"/>
  <c r="AI190" i="3"/>
  <c r="AI188" i="3"/>
  <c r="AK186" i="3"/>
  <c r="AI186" i="3"/>
  <c r="AI185" i="3"/>
  <c r="AI183" i="3"/>
  <c r="AK181" i="3"/>
  <c r="AI181" i="3"/>
  <c r="H181" i="3"/>
  <c r="AK180" i="3"/>
  <c r="AI180" i="3"/>
  <c r="AI179" i="3"/>
  <c r="H179" i="3"/>
  <c r="AK177" i="3"/>
  <c r="AI177" i="3"/>
  <c r="AK176" i="3"/>
  <c r="AI176" i="3"/>
  <c r="AK175" i="3"/>
  <c r="AI175" i="3"/>
  <c r="AK174" i="3"/>
  <c r="AI174" i="3"/>
  <c r="AK173" i="3"/>
  <c r="AI173" i="3"/>
  <c r="AK172" i="3"/>
  <c r="AI172" i="3"/>
  <c r="AK171" i="3"/>
  <c r="AI171" i="3"/>
  <c r="AK170" i="3"/>
  <c r="AI170" i="3"/>
  <c r="AK169" i="3"/>
  <c r="AI169" i="3"/>
  <c r="AK168" i="3"/>
  <c r="AI168" i="3"/>
  <c r="AK167" i="3"/>
  <c r="AI167" i="3"/>
  <c r="AK166" i="3"/>
  <c r="AI166" i="3"/>
  <c r="AK165" i="3"/>
  <c r="AI165" i="3"/>
  <c r="AI164" i="3"/>
  <c r="AK162" i="3"/>
  <c r="AI162" i="3"/>
  <c r="AI161" i="3"/>
  <c r="AK159" i="3"/>
  <c r="AI159" i="3"/>
  <c r="AK158" i="3"/>
  <c r="AI158" i="3"/>
  <c r="AI157" i="3"/>
  <c r="AI155" i="3"/>
  <c r="AK153" i="3"/>
  <c r="AI153" i="3"/>
  <c r="AK152" i="3"/>
  <c r="AI152" i="3"/>
  <c r="AI151" i="3"/>
  <c r="AK149" i="3"/>
  <c r="AI149" i="3"/>
  <c r="AK148" i="3"/>
  <c r="AI148" i="3"/>
  <c r="AK147" i="3"/>
  <c r="AI147" i="3"/>
  <c r="AK146" i="3"/>
  <c r="AI146" i="3"/>
  <c r="AI145" i="3"/>
  <c r="AK143" i="3"/>
  <c r="AI143" i="3"/>
  <c r="AK142" i="3"/>
  <c r="AI142" i="3"/>
  <c r="AK141" i="3"/>
  <c r="AI141" i="3"/>
  <c r="AK140" i="3"/>
  <c r="AI140" i="3"/>
  <c r="AK139" i="3"/>
  <c r="AI139" i="3"/>
  <c r="AK138" i="3"/>
  <c r="AI138" i="3"/>
  <c r="AI137" i="3"/>
  <c r="AK135" i="3"/>
  <c r="AI135" i="3"/>
  <c r="AK134" i="3"/>
  <c r="AI134" i="3"/>
  <c r="AK133" i="3"/>
  <c r="AI133" i="3"/>
  <c r="AK132" i="3"/>
  <c r="AI132" i="3"/>
  <c r="AK131" i="3"/>
  <c r="AI131" i="3"/>
  <c r="AI129" i="3"/>
  <c r="AK128" i="3"/>
  <c r="AI128" i="3"/>
  <c r="AI126" i="3"/>
  <c r="AK125" i="3"/>
  <c r="AI125" i="3"/>
  <c r="AK124" i="3"/>
  <c r="AI124" i="3"/>
  <c r="AK123" i="3"/>
  <c r="AI123" i="3"/>
  <c r="AK122" i="3"/>
  <c r="AI122" i="3"/>
  <c r="AK121" i="3"/>
  <c r="AI121" i="3"/>
  <c r="AK120" i="3"/>
  <c r="AI120" i="3"/>
  <c r="AK119" i="3"/>
  <c r="AI119" i="3"/>
  <c r="AK118" i="3"/>
  <c r="AI118" i="3"/>
  <c r="AK117" i="3"/>
  <c r="AI117" i="3"/>
  <c r="AI116" i="3"/>
  <c r="AK114" i="3"/>
  <c r="AI114" i="3"/>
  <c r="AI113" i="3"/>
  <c r="AK111" i="3"/>
  <c r="AI111" i="3"/>
  <c r="AK110" i="3"/>
  <c r="AI110" i="3"/>
  <c r="AK109" i="3"/>
  <c r="AI109" i="3"/>
  <c r="AI106" i="3"/>
  <c r="AK105" i="3"/>
  <c r="AI105" i="3"/>
  <c r="AK104" i="3"/>
  <c r="AI104" i="3"/>
  <c r="AK103" i="3"/>
  <c r="AI103" i="3"/>
  <c r="AK102" i="3"/>
  <c r="AI102" i="3"/>
  <c r="AK101" i="3"/>
  <c r="AI101" i="3"/>
  <c r="AK100" i="3"/>
  <c r="AI100" i="3"/>
  <c r="AK99" i="3"/>
  <c r="AI99" i="3"/>
  <c r="AK98" i="3"/>
  <c r="AI98" i="3"/>
  <c r="AI95" i="3"/>
  <c r="AI93" i="3"/>
  <c r="AK92" i="3"/>
  <c r="AI92" i="3"/>
  <c r="AK91" i="3"/>
  <c r="AI91" i="3"/>
  <c r="AI90" i="3"/>
  <c r="AK88" i="3"/>
  <c r="AI88" i="3"/>
  <c r="AI87" i="3"/>
  <c r="AI84" i="3"/>
  <c r="AK83" i="3"/>
  <c r="AI83" i="3"/>
  <c r="AK82" i="3"/>
  <c r="AI82" i="3"/>
  <c r="AI80" i="3"/>
  <c r="AI78" i="3"/>
  <c r="AK77" i="3"/>
  <c r="AI77" i="3"/>
  <c r="AI75" i="3"/>
  <c r="AI74" i="3"/>
  <c r="AI69" i="3"/>
  <c r="AI66" i="3"/>
  <c r="AI63" i="3"/>
  <c r="AI60" i="3"/>
  <c r="AI58" i="3"/>
  <c r="AI55" i="3"/>
  <c r="AI52" i="3"/>
  <c r="AK51" i="3"/>
  <c r="AI51" i="3"/>
  <c r="AI49" i="3"/>
  <c r="AI47" i="3"/>
  <c r="AI45" i="3"/>
  <c r="AI43" i="3"/>
  <c r="AI41" i="3"/>
  <c r="AI38" i="3"/>
  <c r="AI35" i="3"/>
  <c r="AK34" i="3"/>
  <c r="AI34" i="3"/>
  <c r="AK33" i="3"/>
  <c r="AI33" i="3"/>
  <c r="AI32" i="3"/>
  <c r="AI29" i="3"/>
  <c r="AI27" i="3"/>
  <c r="AK25" i="3"/>
  <c r="AI25" i="3"/>
  <c r="AI22" i="3"/>
  <c r="AK21" i="3"/>
  <c r="AI21" i="3"/>
  <c r="AK20" i="3"/>
  <c r="AI20" i="3"/>
  <c r="AK19" i="3"/>
  <c r="AI19" i="3"/>
  <c r="AK18" i="3"/>
  <c r="AI18" i="3"/>
  <c r="AK17" i="3"/>
  <c r="AI17" i="3"/>
  <c r="AK16" i="3"/>
  <c r="AI16" i="3"/>
  <c r="AK15" i="3"/>
  <c r="AI15" i="3"/>
  <c r="AK14" i="3"/>
  <c r="AI14" i="3"/>
  <c r="AK13" i="3"/>
  <c r="AI13" i="3"/>
  <c r="AK12" i="3"/>
  <c r="AI12" i="3"/>
  <c r="AK11" i="3"/>
  <c r="AI11" i="3"/>
  <c r="AK10" i="3"/>
  <c r="AI10" i="3"/>
  <c r="AK9" i="3"/>
  <c r="AI9" i="3"/>
  <c r="I9" i="3"/>
  <c r="H9" i="3"/>
  <c r="AK8" i="3"/>
  <c r="AI8" i="3"/>
  <c r="AK7" i="3"/>
  <c r="AI7" i="3"/>
  <c r="AK6" i="3"/>
  <c r="AI6" i="3"/>
  <c r="AK5" i="3"/>
  <c r="AI5" i="3"/>
  <c r="AK4" i="3"/>
  <c r="AI4" i="3"/>
  <c r="AK3" i="3"/>
  <c r="AI3" i="3"/>
  <c r="AK2" i="3"/>
  <c r="AI2" i="3"/>
  <c r="AK320" i="2" l="1"/>
  <c r="AI320" i="2"/>
  <c r="AK319" i="2"/>
  <c r="AI319" i="2"/>
  <c r="AK318" i="2"/>
  <c r="AI318" i="2"/>
  <c r="AK317" i="2"/>
  <c r="AI317" i="2"/>
  <c r="AK316" i="2"/>
  <c r="AI316" i="2"/>
  <c r="AK315" i="2"/>
  <c r="AI315" i="2"/>
  <c r="AK314" i="2"/>
  <c r="AI314" i="2"/>
  <c r="AK313" i="2"/>
  <c r="AI313" i="2"/>
  <c r="AK312" i="2"/>
  <c r="AI312" i="2"/>
  <c r="AK311" i="2"/>
  <c r="AI311" i="2"/>
  <c r="AK310" i="2"/>
  <c r="AI310" i="2"/>
  <c r="AK309" i="2"/>
  <c r="AI309" i="2"/>
  <c r="AK308" i="2"/>
  <c r="AI308" i="2"/>
  <c r="H308" i="2"/>
  <c r="AK307" i="2"/>
  <c r="AI307" i="2"/>
  <c r="AK306" i="2"/>
  <c r="AI306" i="2"/>
  <c r="AK305" i="2"/>
  <c r="AI305" i="2"/>
  <c r="AK304" i="2"/>
  <c r="AI304" i="2"/>
  <c r="AK303" i="2"/>
  <c r="AI303" i="2"/>
  <c r="AK302" i="2"/>
  <c r="AI302" i="2"/>
  <c r="AK301" i="2"/>
  <c r="AI301" i="2"/>
  <c r="AK300" i="2"/>
  <c r="AI300" i="2"/>
  <c r="AK299" i="2"/>
  <c r="AI299" i="2"/>
  <c r="AK298" i="2"/>
  <c r="AI298" i="2"/>
  <c r="AK297" i="2"/>
  <c r="AI297" i="2"/>
  <c r="AK296" i="2"/>
  <c r="AI296" i="2"/>
  <c r="AK295" i="2"/>
  <c r="AI295" i="2"/>
  <c r="AK294" i="2"/>
  <c r="AI294" i="2"/>
  <c r="AK293" i="2"/>
  <c r="AI293" i="2"/>
  <c r="AK292" i="2"/>
  <c r="AI292" i="2"/>
  <c r="AK291" i="2"/>
  <c r="AI291" i="2"/>
  <c r="AK290" i="2"/>
  <c r="AI290" i="2"/>
  <c r="AK289" i="2"/>
  <c r="AI289" i="2"/>
  <c r="AK288" i="2"/>
  <c r="AI288" i="2"/>
  <c r="I288" i="2"/>
  <c r="H288" i="2"/>
  <c r="AK287" i="2"/>
  <c r="AI287" i="2"/>
  <c r="AK286" i="2"/>
  <c r="AI286" i="2"/>
  <c r="AK285" i="2"/>
  <c r="AI285" i="2"/>
  <c r="AK284" i="2"/>
  <c r="AI284" i="2"/>
  <c r="AK283" i="2"/>
  <c r="AI283" i="2"/>
  <c r="AK282" i="2"/>
  <c r="AI282" i="2"/>
  <c r="AK281" i="2"/>
  <c r="AI281" i="2"/>
  <c r="I281" i="2"/>
  <c r="H281" i="2"/>
  <c r="AK280" i="2"/>
  <c r="AI280" i="2"/>
  <c r="AK279" i="2"/>
  <c r="AI279" i="2"/>
  <c r="AK278" i="2"/>
  <c r="AI278" i="2"/>
  <c r="AK277" i="2"/>
  <c r="AI277" i="2"/>
  <c r="I277" i="2"/>
  <c r="H277" i="2"/>
  <c r="AK276" i="2"/>
  <c r="AI276" i="2"/>
  <c r="I276" i="2"/>
  <c r="H276" i="2"/>
  <c r="AK275" i="2"/>
  <c r="AI275" i="2"/>
  <c r="AK274" i="2"/>
  <c r="AI274" i="2"/>
  <c r="AK273" i="2"/>
  <c r="AI273" i="2"/>
  <c r="AK272" i="2"/>
  <c r="AI272" i="2"/>
  <c r="AK271" i="2"/>
  <c r="AI271" i="2"/>
  <c r="AK270" i="2"/>
  <c r="AI270" i="2"/>
  <c r="AK269" i="2"/>
  <c r="AI269" i="2"/>
  <c r="AK268" i="2"/>
  <c r="AI268" i="2"/>
  <c r="AK267" i="2"/>
  <c r="AI267" i="2"/>
  <c r="AK266" i="2"/>
  <c r="AI266" i="2"/>
  <c r="AK265" i="2"/>
  <c r="AI265" i="2"/>
  <c r="AK264" i="2"/>
  <c r="AI264" i="2"/>
  <c r="AK263" i="2"/>
  <c r="AI263" i="2"/>
  <c r="AK262" i="2"/>
  <c r="AI262" i="2"/>
  <c r="AK261" i="2"/>
  <c r="AI261" i="2"/>
  <c r="AK260" i="2"/>
  <c r="AI260" i="2"/>
  <c r="AK259" i="2"/>
  <c r="AI259" i="2"/>
  <c r="AK258" i="2"/>
  <c r="AI258" i="2"/>
  <c r="AK257" i="2"/>
  <c r="AI257" i="2"/>
  <c r="AK256" i="2"/>
  <c r="AI256" i="2"/>
  <c r="AK255" i="2"/>
  <c r="AI255" i="2"/>
  <c r="AK254" i="2"/>
  <c r="AI254" i="2"/>
  <c r="AK253" i="2"/>
  <c r="AI253" i="2"/>
  <c r="AK252" i="2"/>
  <c r="AI252" i="2"/>
  <c r="AK251" i="2"/>
  <c r="AI251" i="2"/>
  <c r="AK250" i="2"/>
  <c r="AI250" i="2"/>
  <c r="AK249" i="2"/>
  <c r="AI249" i="2"/>
  <c r="AK248" i="2"/>
  <c r="AI248" i="2"/>
  <c r="AK247" i="2"/>
  <c r="AI247" i="2"/>
  <c r="AK246" i="2"/>
  <c r="AI246" i="2"/>
  <c r="AK245" i="2"/>
  <c r="AI245" i="2"/>
  <c r="AK244" i="2"/>
  <c r="AI244" i="2"/>
  <c r="AK243" i="2"/>
  <c r="AI243" i="2"/>
  <c r="AK242" i="2"/>
  <c r="AI242" i="2"/>
  <c r="AK241" i="2"/>
  <c r="AI241" i="2"/>
  <c r="AK240" i="2"/>
  <c r="AI240" i="2"/>
  <c r="AK239" i="2"/>
  <c r="AI239" i="2"/>
  <c r="AK238" i="2"/>
  <c r="AI238" i="2"/>
  <c r="AK237" i="2"/>
  <c r="AI237" i="2"/>
  <c r="AK236" i="2"/>
  <c r="AI236" i="2"/>
  <c r="AK235" i="2"/>
  <c r="AI235" i="2"/>
  <c r="AK234" i="2"/>
  <c r="AI234" i="2"/>
  <c r="AK233" i="2"/>
  <c r="AI233" i="2"/>
  <c r="AK232" i="2"/>
  <c r="AI232" i="2"/>
  <c r="AK231" i="2"/>
  <c r="AI231" i="2"/>
  <c r="AK230" i="2"/>
  <c r="AI230" i="2"/>
  <c r="AK229" i="2"/>
  <c r="AI229" i="2"/>
  <c r="AK228" i="2"/>
  <c r="AI228" i="2"/>
  <c r="AK227" i="2"/>
  <c r="AI227" i="2"/>
  <c r="AK226" i="2"/>
  <c r="AI226" i="2"/>
  <c r="AK225" i="2"/>
  <c r="AI225" i="2"/>
  <c r="AK224" i="2"/>
  <c r="AI224" i="2"/>
  <c r="AK223" i="2"/>
  <c r="AI223" i="2"/>
  <c r="AK222" i="2"/>
  <c r="AI222" i="2"/>
  <c r="AK221" i="2"/>
  <c r="AI221" i="2"/>
  <c r="AK220" i="2"/>
  <c r="AI220" i="2"/>
  <c r="AK219" i="2"/>
  <c r="AI219" i="2"/>
  <c r="AK218" i="2"/>
  <c r="AI218" i="2"/>
  <c r="AK217" i="2"/>
  <c r="AI217" i="2"/>
  <c r="AK216" i="2"/>
  <c r="AI216" i="2"/>
  <c r="AK215" i="2"/>
  <c r="AI215" i="2"/>
  <c r="AK214" i="2"/>
  <c r="AI214" i="2"/>
  <c r="AK213" i="2"/>
  <c r="AI213" i="2"/>
  <c r="AK212" i="2"/>
  <c r="AI212" i="2"/>
  <c r="AK211" i="2"/>
  <c r="AI211" i="2"/>
  <c r="AK210" i="2"/>
  <c r="AI210" i="2"/>
  <c r="AK209" i="2"/>
  <c r="AI209" i="2"/>
  <c r="AK208" i="2"/>
  <c r="AI208" i="2"/>
  <c r="AK207" i="2"/>
  <c r="AI207" i="2"/>
  <c r="AK206" i="2"/>
  <c r="AI206" i="2"/>
  <c r="AK205" i="2"/>
  <c r="AI205" i="2"/>
  <c r="AK204" i="2"/>
  <c r="AI204" i="2"/>
  <c r="AK203" i="2"/>
  <c r="AI203" i="2"/>
  <c r="AK202" i="2"/>
  <c r="AI202" i="2"/>
  <c r="AK201" i="2"/>
  <c r="AI201" i="2"/>
  <c r="AK200" i="2"/>
  <c r="AI200" i="2"/>
  <c r="AK199" i="2"/>
  <c r="AI199" i="2"/>
  <c r="AK198" i="2"/>
  <c r="AI198" i="2"/>
  <c r="AK197" i="2"/>
  <c r="AI197" i="2"/>
  <c r="AK196" i="2"/>
  <c r="AI196" i="2"/>
  <c r="AK195" i="2"/>
  <c r="AI195" i="2"/>
  <c r="AK194" i="2"/>
  <c r="AI194" i="2"/>
  <c r="AK193" i="2"/>
  <c r="AI193" i="2"/>
  <c r="AK192" i="2"/>
  <c r="AI192" i="2"/>
  <c r="AK191" i="2"/>
  <c r="AI191" i="2"/>
  <c r="AK190" i="2"/>
  <c r="AI190" i="2"/>
  <c r="AK189" i="2"/>
  <c r="AI189" i="2"/>
  <c r="AK188" i="2"/>
  <c r="AI188" i="2"/>
  <c r="AK187" i="2"/>
  <c r="AI187" i="2"/>
  <c r="AK186" i="2"/>
  <c r="AI186" i="2"/>
  <c r="AK185" i="2"/>
  <c r="AI185" i="2"/>
  <c r="AK184" i="2"/>
  <c r="AI184" i="2"/>
  <c r="AK183" i="2"/>
  <c r="AI183" i="2"/>
  <c r="AK182" i="2"/>
  <c r="AI182" i="2"/>
  <c r="AK181" i="2"/>
  <c r="AI181" i="2"/>
  <c r="AK180" i="2"/>
  <c r="AI180" i="2"/>
  <c r="AK179" i="2"/>
  <c r="AI179" i="2"/>
  <c r="AK178" i="2"/>
  <c r="AI178" i="2"/>
  <c r="AK177" i="2"/>
  <c r="AI177" i="2"/>
  <c r="AK176" i="2"/>
  <c r="AI176" i="2"/>
  <c r="AK175" i="2"/>
  <c r="AI175" i="2"/>
  <c r="AK174" i="2"/>
  <c r="AI174" i="2"/>
  <c r="AK173" i="2"/>
  <c r="AI173" i="2"/>
  <c r="AK172" i="2"/>
  <c r="AI172" i="2"/>
  <c r="AK171" i="2"/>
  <c r="AI171" i="2"/>
  <c r="AK170" i="2"/>
  <c r="AI170" i="2"/>
  <c r="AK169" i="2"/>
  <c r="AI169" i="2"/>
  <c r="AK168" i="2"/>
  <c r="AI168" i="2"/>
  <c r="AK167" i="2"/>
  <c r="AI167" i="2"/>
  <c r="AK166" i="2"/>
  <c r="AI166" i="2"/>
  <c r="AK165" i="2"/>
  <c r="AI165" i="2"/>
  <c r="AK164" i="2"/>
  <c r="AI164" i="2"/>
  <c r="AK163" i="2"/>
  <c r="AI163" i="2"/>
  <c r="AK162" i="2"/>
  <c r="AI162" i="2"/>
  <c r="AK161" i="2"/>
  <c r="AI161" i="2"/>
  <c r="AK160" i="2"/>
  <c r="AI160" i="2"/>
  <c r="AK159" i="2"/>
  <c r="AI159" i="2"/>
  <c r="AK158" i="2"/>
  <c r="AI158" i="2"/>
  <c r="AK157" i="2"/>
  <c r="AI157" i="2"/>
  <c r="AK156" i="2"/>
  <c r="AI156" i="2"/>
  <c r="AK155" i="2"/>
  <c r="AI155" i="2"/>
  <c r="AK154" i="2"/>
  <c r="AI154" i="2"/>
  <c r="AK153" i="2"/>
  <c r="AI153" i="2"/>
  <c r="AK152" i="2"/>
  <c r="AI152" i="2"/>
  <c r="AK151" i="2"/>
  <c r="AI151" i="2"/>
  <c r="AK150" i="2"/>
  <c r="AI150" i="2"/>
  <c r="AK149" i="2"/>
  <c r="AI149" i="2"/>
  <c r="AK148" i="2"/>
  <c r="AI148" i="2"/>
  <c r="AK147" i="2"/>
  <c r="AI147" i="2"/>
  <c r="AK146" i="2"/>
  <c r="AI146" i="2"/>
  <c r="AK145" i="2"/>
  <c r="AI145" i="2"/>
  <c r="AK144" i="2"/>
  <c r="AI144" i="2"/>
  <c r="AK143" i="2"/>
  <c r="AI143" i="2"/>
  <c r="AK142" i="2"/>
  <c r="AI142" i="2"/>
  <c r="AK141" i="2"/>
  <c r="AI141" i="2"/>
  <c r="AK140" i="2"/>
  <c r="AI140" i="2"/>
  <c r="AK139" i="2"/>
  <c r="AI139" i="2"/>
  <c r="AK138" i="2"/>
  <c r="AI138" i="2"/>
  <c r="AK137" i="2"/>
  <c r="AI137" i="2"/>
  <c r="AK136" i="2"/>
  <c r="AI136" i="2"/>
  <c r="AK135" i="2"/>
  <c r="AI135" i="2"/>
  <c r="AK134" i="2"/>
  <c r="AI134" i="2"/>
  <c r="AK133" i="2"/>
  <c r="AI133" i="2"/>
  <c r="AK132" i="2"/>
  <c r="AI132" i="2"/>
  <c r="AK131" i="2"/>
  <c r="AI131" i="2"/>
  <c r="AK130" i="2"/>
  <c r="AI130" i="2"/>
  <c r="AK129" i="2"/>
  <c r="AI129" i="2"/>
  <c r="AK128" i="2"/>
  <c r="AI128" i="2"/>
  <c r="AK127" i="2"/>
  <c r="AI127" i="2"/>
  <c r="AK126" i="2"/>
  <c r="AI126" i="2"/>
  <c r="AK125" i="2"/>
  <c r="AI125" i="2"/>
  <c r="AK124" i="2"/>
  <c r="AI124" i="2"/>
  <c r="AK123" i="2"/>
  <c r="AI123" i="2"/>
  <c r="AK122" i="2"/>
  <c r="AI122" i="2"/>
  <c r="AK121" i="2"/>
  <c r="AI121" i="2"/>
  <c r="AK120" i="2"/>
  <c r="AI120" i="2"/>
  <c r="AK119" i="2"/>
  <c r="AI119" i="2"/>
  <c r="AK118" i="2"/>
  <c r="AI118" i="2"/>
  <c r="AK117" i="2"/>
  <c r="AI117" i="2"/>
  <c r="AK116" i="2"/>
  <c r="AI116" i="2"/>
  <c r="AK115" i="2"/>
  <c r="AI115" i="2"/>
  <c r="AK114" i="2"/>
  <c r="AI114" i="2"/>
  <c r="AK113" i="2"/>
  <c r="AI113" i="2"/>
  <c r="AK112" i="2"/>
  <c r="AI112" i="2"/>
  <c r="AK111" i="2"/>
  <c r="AI111" i="2"/>
  <c r="AK110" i="2"/>
  <c r="AI110" i="2"/>
  <c r="AK109" i="2"/>
  <c r="AI109" i="2"/>
  <c r="AK108" i="2"/>
  <c r="AI108" i="2"/>
  <c r="AK107" i="2"/>
  <c r="AI107" i="2"/>
  <c r="AK106" i="2"/>
  <c r="AI106" i="2"/>
  <c r="AK105" i="2"/>
  <c r="AI105" i="2"/>
  <c r="AK104" i="2"/>
  <c r="AI104" i="2"/>
  <c r="AK103" i="2"/>
  <c r="AI103" i="2"/>
  <c r="AK102" i="2"/>
  <c r="AI102" i="2"/>
  <c r="AK101" i="2"/>
  <c r="AI101" i="2"/>
  <c r="AK100" i="2"/>
  <c r="AI100" i="2"/>
  <c r="AK99" i="2"/>
  <c r="AI99" i="2"/>
  <c r="AK98" i="2"/>
  <c r="AI98" i="2"/>
  <c r="AK97" i="2"/>
  <c r="AI97" i="2"/>
  <c r="AK96" i="2"/>
  <c r="AI96" i="2"/>
  <c r="AK95" i="2"/>
  <c r="AI95" i="2"/>
  <c r="AK94" i="2"/>
  <c r="AI94" i="2"/>
  <c r="AK93" i="2"/>
  <c r="AI93" i="2"/>
  <c r="AK92" i="2"/>
  <c r="AI92" i="2"/>
  <c r="AK91" i="2"/>
  <c r="AI91" i="2"/>
  <c r="AK90" i="2"/>
  <c r="AI90" i="2"/>
  <c r="AK89" i="2"/>
  <c r="AI89" i="2"/>
  <c r="AK88" i="2"/>
  <c r="AI88" i="2"/>
  <c r="AK87" i="2"/>
  <c r="AI87" i="2"/>
  <c r="AK86" i="2"/>
  <c r="AI86" i="2"/>
  <c r="AK85" i="2"/>
  <c r="AI85" i="2"/>
  <c r="AK84" i="2"/>
  <c r="AI84" i="2"/>
  <c r="AK83" i="2"/>
  <c r="AI83" i="2"/>
  <c r="AK82" i="2"/>
  <c r="AI82" i="2"/>
  <c r="AK81" i="2"/>
  <c r="AI81" i="2"/>
  <c r="AK80" i="2"/>
  <c r="AI80" i="2"/>
  <c r="AK79" i="2"/>
  <c r="AI79" i="2"/>
  <c r="AK78" i="2"/>
  <c r="AI78" i="2"/>
  <c r="AK77" i="2"/>
  <c r="AI77" i="2"/>
  <c r="AK76" i="2"/>
  <c r="AI76" i="2"/>
  <c r="AK75" i="2"/>
  <c r="AI75" i="2"/>
  <c r="AK74" i="2"/>
  <c r="AI74" i="2"/>
  <c r="AK73" i="2"/>
  <c r="AI73" i="2"/>
  <c r="AK72" i="2"/>
  <c r="AI72" i="2"/>
  <c r="AK71" i="2"/>
  <c r="AI71" i="2"/>
  <c r="AK70" i="2"/>
  <c r="AI70" i="2"/>
  <c r="AK69" i="2"/>
  <c r="AI69" i="2"/>
  <c r="AK68" i="2"/>
  <c r="AI68" i="2"/>
  <c r="AK67" i="2"/>
  <c r="AI67" i="2"/>
  <c r="AK66" i="2"/>
  <c r="AI66" i="2"/>
  <c r="AK65" i="2"/>
  <c r="AI65" i="2"/>
  <c r="AK64" i="2"/>
  <c r="AI64" i="2"/>
  <c r="AK63" i="2"/>
  <c r="AI63" i="2"/>
  <c r="AK62" i="2"/>
  <c r="AI62" i="2"/>
  <c r="AK61" i="2"/>
  <c r="AI61" i="2"/>
  <c r="AK60" i="2"/>
  <c r="AI60" i="2"/>
  <c r="AK59" i="2"/>
  <c r="AI59" i="2"/>
  <c r="AK58" i="2"/>
  <c r="AI58" i="2"/>
  <c r="AK57" i="2"/>
  <c r="AI57" i="2"/>
  <c r="AK56" i="2"/>
  <c r="AI56" i="2"/>
  <c r="AK55" i="2"/>
  <c r="AI55" i="2"/>
  <c r="AK54" i="2"/>
  <c r="AI54" i="2"/>
  <c r="AK53" i="2"/>
  <c r="AI53" i="2"/>
  <c r="AK52" i="2"/>
  <c r="AI52" i="2"/>
  <c r="AK51" i="2"/>
  <c r="AI51" i="2"/>
  <c r="AI50" i="2"/>
  <c r="AI49" i="2"/>
  <c r="AK48" i="2"/>
  <c r="AI48" i="2"/>
  <c r="AK47" i="2"/>
  <c r="AI47" i="2"/>
  <c r="AI46" i="2"/>
  <c r="AI45" i="2"/>
  <c r="AK44" i="2"/>
  <c r="AI44" i="2"/>
  <c r="AI43" i="2"/>
  <c r="AK42" i="2"/>
  <c r="AI42" i="2"/>
  <c r="AK41" i="2"/>
  <c r="AI41" i="2"/>
  <c r="AK40" i="2"/>
  <c r="AI40" i="2"/>
  <c r="AK39" i="2"/>
  <c r="AI39" i="2"/>
  <c r="AK38" i="2"/>
  <c r="AI38" i="2"/>
  <c r="AK37" i="2"/>
  <c r="AI37" i="2"/>
  <c r="AK36" i="2"/>
  <c r="AI36" i="2"/>
  <c r="AK35" i="2"/>
  <c r="AI35" i="2"/>
  <c r="AK34" i="2"/>
  <c r="AI34" i="2"/>
  <c r="AK33" i="2"/>
  <c r="AI33" i="2"/>
  <c r="AK32" i="2"/>
  <c r="AI32" i="2"/>
  <c r="AK31" i="2"/>
  <c r="AI31" i="2"/>
  <c r="AK30" i="2"/>
  <c r="AI30" i="2"/>
  <c r="AK29" i="2"/>
  <c r="AI29" i="2"/>
  <c r="AK28" i="2"/>
  <c r="AI28" i="2"/>
  <c r="AK27" i="2"/>
  <c r="AI27" i="2"/>
  <c r="AK26" i="2"/>
  <c r="AI26" i="2"/>
  <c r="AK25" i="2"/>
  <c r="AI25" i="2"/>
  <c r="AK24" i="2"/>
  <c r="AI24" i="2"/>
  <c r="AK23" i="2"/>
  <c r="AI23" i="2"/>
  <c r="AK22" i="2"/>
  <c r="AI22" i="2"/>
  <c r="AK20" i="2"/>
  <c r="AI20" i="2"/>
  <c r="AK19" i="2"/>
  <c r="AI19" i="2"/>
  <c r="AK18" i="2"/>
  <c r="AI18" i="2"/>
  <c r="AK17" i="2"/>
  <c r="AI17" i="2"/>
  <c r="AK16" i="2"/>
  <c r="AI16" i="2"/>
  <c r="AK15" i="2"/>
  <c r="AI15" i="2"/>
  <c r="AK14" i="2"/>
  <c r="AI14" i="2"/>
  <c r="AK13" i="2"/>
  <c r="AI13" i="2"/>
  <c r="AK12" i="2"/>
  <c r="AI12" i="2"/>
  <c r="AK11" i="2"/>
  <c r="AI11" i="2"/>
  <c r="AK10" i="2"/>
  <c r="AI10" i="2"/>
  <c r="AK9" i="2"/>
  <c r="AI9" i="2"/>
  <c r="AK8" i="2"/>
  <c r="AI8" i="2"/>
  <c r="AK7" i="2"/>
  <c r="AI7" i="2"/>
  <c r="AK6" i="2"/>
  <c r="AI6" i="2"/>
  <c r="AK5" i="2"/>
  <c r="AI5" i="2"/>
  <c r="AK4" i="2"/>
  <c r="AI4" i="2"/>
  <c r="AK3" i="2"/>
  <c r="AI3" i="2"/>
  <c r="AK2" i="2"/>
  <c r="AI2" i="2"/>
  <c r="AK30" i="1"/>
  <c r="AK29" i="1"/>
  <c r="AI30" i="1"/>
  <c r="AK51" i="1"/>
  <c r="AK50" i="1"/>
  <c r="AI51" i="1"/>
  <c r="AK305" i="1"/>
  <c r="AK306" i="1"/>
  <c r="AI305" i="1"/>
  <c r="AK297" i="1"/>
  <c r="AK300" i="1"/>
  <c r="AI297" i="1"/>
  <c r="I297" i="1"/>
  <c r="H297" i="1"/>
  <c r="AK289" i="1"/>
  <c r="AK294" i="1"/>
  <c r="AI289" i="1"/>
  <c r="AK288" i="1"/>
  <c r="AK292" i="1"/>
  <c r="AI288" i="1"/>
  <c r="AK293" i="1"/>
  <c r="AK287" i="1"/>
  <c r="AI293" i="1"/>
  <c r="H293" i="1"/>
  <c r="AK285" i="1"/>
  <c r="AK286" i="1"/>
  <c r="AI285" i="1"/>
  <c r="AK283" i="1"/>
  <c r="AK284" i="1"/>
  <c r="AI283" i="1"/>
  <c r="AK282" i="1"/>
  <c r="AK277" i="1"/>
  <c r="AI282" i="1"/>
  <c r="AK280" i="1"/>
  <c r="AK278" i="1"/>
  <c r="AK276" i="1"/>
  <c r="AI280" i="1"/>
  <c r="AI278" i="1"/>
  <c r="AK269" i="1"/>
  <c r="AK273" i="1"/>
  <c r="AK270" i="1"/>
  <c r="AI269" i="1"/>
  <c r="AI273" i="1"/>
  <c r="AK272" i="1"/>
  <c r="AK268" i="1"/>
  <c r="AI272" i="1"/>
  <c r="AK267" i="1"/>
  <c r="AK274" i="1"/>
  <c r="AI267" i="1"/>
  <c r="AK271" i="1"/>
  <c r="AK266" i="1"/>
  <c r="AI271" i="1"/>
  <c r="AK258" i="1"/>
  <c r="AK264" i="1"/>
  <c r="AK259" i="1"/>
  <c r="AI258" i="1"/>
  <c r="AI264" i="1"/>
  <c r="AK262" i="1"/>
  <c r="AK257" i="1"/>
  <c r="AI262" i="1"/>
  <c r="AK261" i="1"/>
  <c r="AK256" i="1"/>
  <c r="AI261" i="1"/>
  <c r="AK263" i="1"/>
  <c r="AK255" i="1"/>
  <c r="AI263" i="1"/>
  <c r="AK254" i="1"/>
  <c r="AK265" i="1"/>
  <c r="AI254" i="1"/>
  <c r="AK260" i="1"/>
  <c r="AK253" i="1"/>
  <c r="AI260" i="1"/>
  <c r="AK244" i="1"/>
  <c r="AK251" i="1"/>
  <c r="AK246" i="1"/>
  <c r="AI244" i="1"/>
  <c r="AI251" i="1"/>
  <c r="AK250" i="1"/>
  <c r="AK247" i="1"/>
  <c r="AI250" i="1"/>
  <c r="AK243" i="1"/>
  <c r="AK248" i="1"/>
  <c r="AI243" i="1"/>
  <c r="AK236" i="1" l="1"/>
  <c r="AK238" i="1"/>
  <c r="AI236" i="1"/>
  <c r="AK235" i="1"/>
  <c r="AK242" i="1"/>
  <c r="AI235" i="1"/>
  <c r="AK234" i="1"/>
  <c r="AK239" i="1"/>
  <c r="AI234" i="1"/>
  <c r="AK233" i="1"/>
  <c r="AK237" i="1"/>
  <c r="AI233" i="1"/>
  <c r="AK229" i="1"/>
  <c r="AK232" i="1"/>
  <c r="AI229" i="1"/>
  <c r="AK228" i="1"/>
  <c r="AK230" i="1"/>
  <c r="AI228" i="1"/>
  <c r="AK185" i="1"/>
  <c r="AK186" i="1"/>
  <c r="AI185" i="1"/>
  <c r="AK178" i="1"/>
  <c r="AK181" i="1"/>
  <c r="AI178" i="1"/>
  <c r="AK167" i="1" l="1"/>
  <c r="AK164" i="1"/>
  <c r="AK169" i="1"/>
  <c r="AK166" i="1"/>
  <c r="AK163" i="1"/>
  <c r="AK168" i="1"/>
  <c r="AI167" i="1"/>
  <c r="AI166" i="1"/>
  <c r="AI164" i="1"/>
  <c r="AI163" i="1"/>
  <c r="AK171" i="1"/>
  <c r="AK165" i="1"/>
  <c r="AI171" i="1"/>
  <c r="AK158" i="1"/>
  <c r="AK154" i="1"/>
  <c r="AI158" i="1"/>
  <c r="AK139" i="1"/>
  <c r="AK143" i="1"/>
  <c r="AI139" i="1"/>
  <c r="AK135" i="1"/>
  <c r="AK142" i="1"/>
  <c r="AK138" i="1"/>
  <c r="AI135" i="1"/>
  <c r="AI142" i="1"/>
  <c r="AK140" i="1"/>
  <c r="AK137" i="1"/>
  <c r="AI140" i="1"/>
  <c r="AK129" i="1" l="1"/>
  <c r="AK134" i="1"/>
  <c r="AK125" i="1"/>
  <c r="AI129" i="1"/>
  <c r="AI134" i="1"/>
  <c r="AK123" i="1"/>
  <c r="AK133" i="1"/>
  <c r="AK128" i="1"/>
  <c r="AK132" i="1"/>
  <c r="AK122" i="1"/>
  <c r="AK121" i="1"/>
  <c r="AI123" i="1"/>
  <c r="AI133" i="1"/>
  <c r="AI132" i="1"/>
  <c r="AK131" i="1"/>
  <c r="AK127" i="1"/>
  <c r="AI121" i="1"/>
  <c r="AI131" i="1"/>
  <c r="AK120" i="1"/>
  <c r="AK124" i="1"/>
  <c r="AI120" i="1"/>
  <c r="AK113" i="1"/>
  <c r="AK116" i="1"/>
  <c r="AI113" i="1"/>
  <c r="AK119" i="1"/>
  <c r="AK115" i="1"/>
  <c r="AK112" i="1"/>
  <c r="AI119" i="1"/>
  <c r="AI115" i="1"/>
  <c r="AK118" i="1"/>
  <c r="AK114" i="1"/>
  <c r="AI118" i="1"/>
  <c r="AK117" i="1"/>
  <c r="AK111" i="1"/>
  <c r="AI117" i="1"/>
  <c r="AK109" i="1"/>
  <c r="AK100" i="1"/>
  <c r="AK108" i="1"/>
  <c r="AK99" i="1"/>
  <c r="AI109" i="1"/>
  <c r="AI108" i="1"/>
  <c r="AK107" i="1"/>
  <c r="AK102" i="1"/>
  <c r="AI107" i="1"/>
  <c r="AI100" i="1"/>
  <c r="AI102" i="1"/>
  <c r="AK104" i="1"/>
  <c r="AK98" i="1"/>
  <c r="AI104" i="1"/>
  <c r="AK101" i="1"/>
  <c r="AK103" i="1"/>
  <c r="AI101" i="1"/>
  <c r="AK92" i="1"/>
  <c r="AK86" i="1"/>
  <c r="AK97" i="1"/>
  <c r="AK87" i="1"/>
  <c r="AI92" i="1"/>
  <c r="AI97" i="1"/>
  <c r="AK83" i="1"/>
  <c r="AK96" i="1"/>
  <c r="AK90" i="1"/>
  <c r="AK84" i="1"/>
  <c r="AI83" i="1"/>
  <c r="AI96" i="1"/>
  <c r="AI90" i="1"/>
  <c r="AK95" i="1"/>
  <c r="AK88" i="1"/>
  <c r="AI95" i="1"/>
  <c r="AK94" i="1"/>
  <c r="AK89" i="1"/>
  <c r="AI94" i="1"/>
  <c r="AI88" i="1"/>
  <c r="AK93" i="1"/>
  <c r="AK85" i="1"/>
  <c r="AI93" i="1"/>
  <c r="AK82" i="1"/>
  <c r="AK73" i="1"/>
  <c r="AI82" i="1"/>
  <c r="AK81" i="1"/>
  <c r="AK74" i="1"/>
  <c r="AI81" i="1"/>
  <c r="AK80" i="1"/>
  <c r="AK76" i="1"/>
  <c r="AI80" i="1"/>
  <c r="AK79" i="1"/>
  <c r="AK75" i="1"/>
  <c r="AI79" i="1"/>
  <c r="AK78" i="1"/>
  <c r="AK77" i="1"/>
  <c r="AI78" i="1"/>
  <c r="AK72" i="1"/>
  <c r="AK62" i="1"/>
  <c r="AI72" i="1"/>
  <c r="AK66" i="1"/>
  <c r="AK71" i="1"/>
  <c r="AK68" i="1"/>
  <c r="AI66" i="1"/>
  <c r="AI71" i="1"/>
  <c r="AK69" i="1"/>
  <c r="AK65" i="1"/>
  <c r="AI65" i="1"/>
  <c r="AK67" i="1"/>
  <c r="AK70" i="1"/>
  <c r="AI67" i="1"/>
  <c r="AK58" i="1"/>
  <c r="AK61" i="1"/>
  <c r="AK59" i="1"/>
  <c r="AI58" i="1"/>
  <c r="AI61" i="1"/>
  <c r="AK47" i="1"/>
  <c r="AK43" i="1"/>
  <c r="AI47" i="1"/>
  <c r="AK46" i="1"/>
  <c r="AK42" i="1"/>
  <c r="AK39" i="1"/>
  <c r="AI46" i="1"/>
  <c r="AI42" i="1"/>
  <c r="AK38" i="1"/>
  <c r="AK41" i="1"/>
  <c r="AI38" i="1"/>
  <c r="AK52" i="1"/>
  <c r="AK54" i="1"/>
  <c r="AK53" i="1"/>
  <c r="AI52" i="1"/>
  <c r="AI54" i="1"/>
  <c r="AK56" i="1"/>
  <c r="AI56" i="1"/>
  <c r="AK323" i="1"/>
  <c r="AI323" i="1"/>
  <c r="AK322" i="1"/>
  <c r="AI322" i="1"/>
  <c r="AK319" i="1"/>
  <c r="AI319" i="1"/>
  <c r="AK321" i="1"/>
  <c r="AI321" i="1"/>
  <c r="AK320" i="1"/>
  <c r="AI320" i="1"/>
  <c r="AK318" i="1"/>
  <c r="AI318" i="1"/>
  <c r="AK316" i="1"/>
  <c r="AI316" i="1"/>
  <c r="AK317" i="1"/>
  <c r="AI317" i="1"/>
  <c r="AK314" i="1"/>
  <c r="AI314" i="1"/>
  <c r="AK313" i="1"/>
  <c r="AI313" i="1"/>
  <c r="AK315" i="1"/>
  <c r="AI315" i="1"/>
  <c r="AK310" i="1"/>
  <c r="AI310" i="1"/>
  <c r="AK312" i="1"/>
  <c r="AI312" i="1"/>
  <c r="AK309" i="1"/>
  <c r="AI309" i="1"/>
  <c r="AK311" i="1"/>
  <c r="AI311" i="1"/>
  <c r="AK307" i="1"/>
  <c r="AI307" i="1"/>
  <c r="AK308" i="1"/>
  <c r="AI308" i="1"/>
  <c r="AI306" i="1"/>
  <c r="AK304" i="1"/>
  <c r="AI304" i="1"/>
  <c r="AK303" i="1"/>
  <c r="AI303" i="1"/>
  <c r="AK302" i="1"/>
  <c r="AI302" i="1"/>
  <c r="AI300" i="1"/>
  <c r="AK299" i="1"/>
  <c r="AI299" i="1"/>
  <c r="AK301" i="1"/>
  <c r="AI301" i="1"/>
  <c r="AK298" i="1"/>
  <c r="AI298" i="1"/>
  <c r="AK296" i="1"/>
  <c r="AI296" i="1"/>
  <c r="AK291" i="1"/>
  <c r="AI291" i="1"/>
  <c r="AK290" i="1"/>
  <c r="AI290" i="1"/>
  <c r="AK295" i="1"/>
  <c r="AI295" i="1"/>
  <c r="AI294" i="1"/>
  <c r="AI292" i="1"/>
  <c r="AI287" i="1"/>
  <c r="AI286" i="1"/>
  <c r="AI284" i="1"/>
  <c r="AI277" i="1"/>
  <c r="AK281" i="1"/>
  <c r="AI281" i="1"/>
  <c r="AK279" i="1"/>
  <c r="AI279" i="1"/>
  <c r="AI276" i="1"/>
  <c r="AK275" i="1"/>
  <c r="AI275" i="1"/>
  <c r="AI270" i="1"/>
  <c r="AI268" i="1"/>
  <c r="AI274" i="1"/>
  <c r="AI266" i="1"/>
  <c r="AI259" i="1"/>
  <c r="AI257" i="1"/>
  <c r="AI256" i="1"/>
  <c r="AI255" i="1"/>
  <c r="AI265" i="1"/>
  <c r="AI253" i="1"/>
  <c r="AK245" i="1"/>
  <c r="AI245" i="1"/>
  <c r="AI246" i="1"/>
  <c r="AI247" i="1"/>
  <c r="AK249" i="1"/>
  <c r="AI249" i="1"/>
  <c r="AK252" i="1"/>
  <c r="AI252" i="1"/>
  <c r="AI248" i="1"/>
  <c r="AI238" i="1"/>
  <c r="AI242" i="1"/>
  <c r="AI239" i="1"/>
  <c r="AK240" i="1"/>
  <c r="AI240" i="1"/>
  <c r="AK241" i="1"/>
  <c r="AI241" i="1"/>
  <c r="AI237" i="1"/>
  <c r="AK231" i="1"/>
  <c r="AI231" i="1"/>
  <c r="AI232" i="1"/>
  <c r="AI230" i="1"/>
  <c r="AK224" i="1"/>
  <c r="AI224" i="1"/>
  <c r="AK227" i="1"/>
  <c r="AI227" i="1"/>
  <c r="AK226" i="1"/>
  <c r="AI226" i="1"/>
  <c r="AK223" i="1"/>
  <c r="AI223" i="1"/>
  <c r="AK225" i="1"/>
  <c r="AI225" i="1"/>
  <c r="AK220" i="1"/>
  <c r="AI220" i="1"/>
  <c r="AK219" i="1"/>
  <c r="AI219" i="1"/>
  <c r="AK222" i="1"/>
  <c r="AI222" i="1"/>
  <c r="AK218" i="1"/>
  <c r="AI218" i="1"/>
  <c r="AK221" i="1"/>
  <c r="AI221" i="1"/>
  <c r="AK213" i="1"/>
  <c r="AI213" i="1"/>
  <c r="AK217" i="1"/>
  <c r="AI217" i="1"/>
  <c r="AK216" i="1"/>
  <c r="AI216" i="1"/>
  <c r="AK212" i="1"/>
  <c r="AI212" i="1"/>
  <c r="AK214" i="1"/>
  <c r="AI214" i="1"/>
  <c r="AK215" i="1"/>
  <c r="AI215" i="1"/>
  <c r="AK207" i="1"/>
  <c r="AI207" i="1"/>
  <c r="AK211" i="1"/>
  <c r="AI211" i="1"/>
  <c r="AK209" i="1"/>
  <c r="AI209" i="1"/>
  <c r="AK210" i="1"/>
  <c r="AI210" i="1"/>
  <c r="AK208" i="1"/>
  <c r="AI208" i="1"/>
  <c r="AK206" i="1"/>
  <c r="AI206" i="1"/>
  <c r="AK203" i="1"/>
  <c r="AI203" i="1"/>
  <c r="AK201" i="1"/>
  <c r="AI201" i="1"/>
  <c r="AK205" i="1"/>
  <c r="AI205" i="1"/>
  <c r="AK204" i="1"/>
  <c r="AI204" i="1"/>
  <c r="AK200" i="1"/>
  <c r="AI200" i="1"/>
  <c r="AK202" i="1"/>
  <c r="AI202" i="1"/>
  <c r="AK197" i="1"/>
  <c r="AI197" i="1"/>
  <c r="AK199" i="1"/>
  <c r="AI199" i="1"/>
  <c r="AK198" i="1"/>
  <c r="AI198" i="1"/>
  <c r="AK196" i="1"/>
  <c r="AI196" i="1"/>
  <c r="AK193" i="1"/>
  <c r="AI193" i="1"/>
  <c r="AK195" i="1"/>
  <c r="AI195" i="1"/>
  <c r="AK190" i="1"/>
  <c r="AI190" i="1"/>
  <c r="AK194" i="1"/>
  <c r="AI194" i="1"/>
  <c r="AK191" i="1"/>
  <c r="AI191" i="1"/>
  <c r="AK192" i="1"/>
  <c r="AI192" i="1"/>
  <c r="AK188" i="1"/>
  <c r="AI188" i="1"/>
  <c r="AK189" i="1"/>
  <c r="AI189" i="1"/>
  <c r="AK184" i="1"/>
  <c r="AI184" i="1"/>
  <c r="AK183" i="1"/>
  <c r="AI183" i="1"/>
  <c r="AK187" i="1"/>
  <c r="AI187" i="1"/>
  <c r="AI186" i="1"/>
  <c r="AK182" i="1"/>
  <c r="AI182" i="1"/>
  <c r="AK176" i="1"/>
  <c r="AI176" i="1"/>
  <c r="AK179" i="1"/>
  <c r="AI179" i="1"/>
  <c r="AK180" i="1"/>
  <c r="AI180" i="1"/>
  <c r="AI181" i="1"/>
  <c r="AK177" i="1"/>
  <c r="AI177" i="1"/>
  <c r="AK175" i="1"/>
  <c r="AI175" i="1"/>
  <c r="AK172" i="1"/>
  <c r="AI172" i="1"/>
  <c r="AK174" i="1"/>
  <c r="AI174" i="1"/>
  <c r="AK173" i="1"/>
  <c r="AI173" i="1"/>
  <c r="AI169" i="1"/>
  <c r="AI168" i="1"/>
  <c r="AK170" i="1"/>
  <c r="AI170" i="1"/>
  <c r="AI165" i="1"/>
  <c r="AK162" i="1"/>
  <c r="AI162" i="1"/>
  <c r="AK161" i="1"/>
  <c r="AI161" i="1"/>
  <c r="AK159" i="1"/>
  <c r="AI159" i="1"/>
  <c r="AK160" i="1"/>
  <c r="AI160" i="1"/>
  <c r="AK153" i="1"/>
  <c r="AI153" i="1"/>
  <c r="AK157" i="1"/>
  <c r="AI157" i="1"/>
  <c r="AI154" i="1"/>
  <c r="AK155" i="1"/>
  <c r="AI155" i="1"/>
  <c r="AK156" i="1"/>
  <c r="AI156" i="1"/>
  <c r="AK152" i="1"/>
  <c r="AI152" i="1"/>
  <c r="AK151" i="1"/>
  <c r="AI151" i="1"/>
  <c r="AK150" i="1"/>
  <c r="AI150" i="1"/>
  <c r="AK148" i="1"/>
  <c r="AI148" i="1"/>
  <c r="AK149" i="1"/>
  <c r="AI149" i="1"/>
  <c r="AK147" i="1"/>
  <c r="AI147" i="1"/>
  <c r="AK146" i="1"/>
  <c r="AI146" i="1"/>
  <c r="AK145" i="1"/>
  <c r="AI145" i="1"/>
  <c r="AK144" i="1"/>
  <c r="AI144" i="1"/>
  <c r="AI143" i="1"/>
  <c r="AK136" i="1"/>
  <c r="AI136" i="1"/>
  <c r="AI138" i="1"/>
  <c r="AK141" i="1"/>
  <c r="AI141" i="1"/>
  <c r="AI137" i="1"/>
  <c r="AK130" i="1"/>
  <c r="AI130" i="1"/>
  <c r="AI125" i="1"/>
  <c r="AI128" i="1"/>
  <c r="AI122" i="1"/>
  <c r="AI127" i="1"/>
  <c r="AI124" i="1"/>
  <c r="AK126" i="1"/>
  <c r="AI126" i="1"/>
  <c r="AI116" i="1"/>
  <c r="AK110" i="1"/>
  <c r="AI110" i="1"/>
  <c r="AI112" i="1"/>
  <c r="AI114" i="1"/>
  <c r="AI111" i="1"/>
  <c r="AI99" i="1"/>
  <c r="AK106" i="1"/>
  <c r="AI106" i="1"/>
  <c r="AK105" i="1"/>
  <c r="AI105" i="1"/>
  <c r="AI98" i="1"/>
  <c r="AI103" i="1"/>
  <c r="AI86" i="1"/>
  <c r="AI87" i="1"/>
  <c r="AI84" i="1"/>
  <c r="AI89" i="1"/>
  <c r="AK91" i="1"/>
  <c r="AI91" i="1"/>
  <c r="AI85" i="1"/>
  <c r="AI73" i="1"/>
  <c r="AI74" i="1"/>
  <c r="AI76" i="1"/>
  <c r="AI75" i="1"/>
  <c r="AI77" i="1"/>
  <c r="AK64" i="1"/>
  <c r="AI64" i="1"/>
  <c r="AI62" i="1"/>
  <c r="AK63" i="1"/>
  <c r="AI63" i="1"/>
  <c r="AI68" i="1"/>
  <c r="AI69" i="1"/>
  <c r="AI70" i="1"/>
  <c r="AI59" i="1"/>
  <c r="AK60" i="1"/>
  <c r="AI60" i="1"/>
  <c r="AK57" i="1"/>
  <c r="AI57" i="1"/>
  <c r="AI43" i="1"/>
  <c r="AK45" i="1"/>
  <c r="AI45" i="1"/>
  <c r="AK40" i="1"/>
  <c r="AI40" i="1"/>
  <c r="AK44" i="1"/>
  <c r="AI44" i="1"/>
  <c r="AI39" i="1"/>
  <c r="AI41" i="1"/>
  <c r="AK49" i="1"/>
  <c r="AI49" i="1"/>
  <c r="AI53" i="1"/>
  <c r="AK55" i="1"/>
  <c r="AI55" i="1"/>
  <c r="AI50" i="1"/>
  <c r="AK48" i="1"/>
  <c r="AI48" i="1"/>
  <c r="AK36" i="1"/>
  <c r="AI36" i="1"/>
  <c r="AK33" i="1"/>
  <c r="AI33" i="1"/>
  <c r="AK37" i="1"/>
  <c r="AI37" i="1"/>
  <c r="AK35" i="1"/>
  <c r="AI35" i="1"/>
  <c r="AI34" i="1"/>
  <c r="AK25" i="1"/>
  <c r="AI25" i="1"/>
  <c r="AK23" i="1"/>
  <c r="AI23" i="1"/>
  <c r="AK32" i="1"/>
  <c r="AI32" i="1"/>
  <c r="AI29" i="1"/>
  <c r="AK28" i="1"/>
  <c r="AI28" i="1"/>
  <c r="AK31" i="1"/>
  <c r="AI31" i="1"/>
  <c r="AK27" i="1"/>
  <c r="AI27" i="1"/>
  <c r="AK24" i="1"/>
  <c r="AI24" i="1"/>
  <c r="AK26" i="1"/>
  <c r="AI26" i="1"/>
  <c r="AK21" i="1"/>
  <c r="AI21" i="1"/>
  <c r="AK20" i="1"/>
  <c r="AI20" i="1"/>
  <c r="AK22" i="1"/>
  <c r="AI22" i="1"/>
  <c r="AK19" i="1"/>
  <c r="AI19" i="1"/>
  <c r="AK16" i="1"/>
  <c r="AI16" i="1"/>
  <c r="AK18" i="1"/>
  <c r="AI18" i="1"/>
  <c r="AK17" i="1"/>
  <c r="AI17" i="1"/>
  <c r="AK15" i="1"/>
  <c r="AI15" i="1"/>
  <c r="AK12" i="1"/>
  <c r="AI12" i="1"/>
  <c r="AK14" i="1"/>
  <c r="AI14" i="1"/>
  <c r="AK13" i="1"/>
  <c r="AI13" i="1"/>
  <c r="AK11" i="1"/>
  <c r="AI11" i="1"/>
  <c r="AK329" i="1"/>
  <c r="AI329" i="1"/>
  <c r="AK328" i="1"/>
  <c r="AI328" i="1"/>
  <c r="AK10" i="1"/>
  <c r="AI10" i="1"/>
  <c r="AK9" i="1"/>
  <c r="AI9" i="1"/>
  <c r="AK8" i="1"/>
  <c r="AI8" i="1"/>
  <c r="AK7" i="1"/>
  <c r="AI7" i="1"/>
  <c r="AK6" i="1"/>
  <c r="AI6" i="1"/>
  <c r="AK327" i="1"/>
  <c r="AI327" i="1"/>
  <c r="AK326" i="1"/>
  <c r="AI326" i="1"/>
  <c r="AK325" i="1"/>
  <c r="AI325" i="1"/>
  <c r="AK324" i="1"/>
  <c r="AI324" i="1"/>
  <c r="AK5" i="1"/>
  <c r="AI5" i="1"/>
  <c r="AK4" i="1"/>
  <c r="AI4" i="1"/>
  <c r="AK3" i="1"/>
  <c r="AI3" i="1"/>
  <c r="AK2" i="1"/>
  <c r="AI2" i="1"/>
  <c r="H319" i="1"/>
  <c r="H321" i="1"/>
  <c r="H310" i="1"/>
  <c r="I300" i="1"/>
  <c r="H300" i="1"/>
  <c r="H287" i="1"/>
</calcChain>
</file>

<file path=xl/comments1.xml><?xml version="1.0" encoding="utf-8"?>
<comments xmlns="http://schemas.openxmlformats.org/spreadsheetml/2006/main">
  <authors>
    <author>Yoko Dupont</author>
  </authors>
  <commentList>
    <comment ref="H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A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transektretning
(S)E-(N)Ø</t>
        </r>
      </text>
    </comment>
    <comment ref="B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bakke, mellem mosebølle og vej</t>
        </r>
      </text>
    </comment>
    <comment ref="B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bakke</t>
        </r>
      </text>
    </comment>
    <comment ref="B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bakke</t>
        </r>
      </text>
    </comment>
    <comment ref="B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bakke, nær bevoksning</t>
        </r>
      </text>
    </comment>
    <comment ref="B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bakke</t>
        </r>
      </text>
    </comment>
    <comment ref="B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skråning</t>
        </r>
      </text>
    </comment>
    <comment ref="B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 terræn, top af bakke, nær lille bevoksning</t>
        </r>
      </text>
    </comment>
    <comment ref="B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øverste del af bakken, få udsprungne Salix</t>
        </r>
      </text>
    </comment>
    <comment ref="B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</t>
        </r>
      </text>
    </comment>
    <comment ref="B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på høj ved orange bagging</t>
        </r>
      </text>
    </comment>
    <comment ref="B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IB1,9</t>
        </r>
      </text>
    </comment>
    <comment ref="B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lidt nede ad skråning i plet med nogle få Salix han blomster</t>
        </r>
      </text>
    </comment>
    <comment ref="B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gryde, oppe foran</t>
        </r>
      </text>
    </comment>
    <comment ref="B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høj i gryde</t>
        </r>
      </text>
    </comment>
    <comment ref="B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lige ved pil, hvid bagging</t>
        </r>
      </text>
    </comment>
    <comment ref="B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mod top af høj på T1</t>
        </r>
      </text>
    </comment>
    <comment ref="B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øvre del af skråning, på stykke længere ud af sti ift P</t>
        </r>
      </text>
    </comment>
    <comment ref="B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lille bevoksning, i lille hul</t>
        </r>
      </text>
    </comment>
    <comment ref="B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mod top af skråning, lige udenfor lille bevoksning</t>
        </r>
      </text>
    </comment>
    <comment ref="AK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samt 30% blomster uden pollen</t>
        </r>
      </text>
    </comment>
    <comment ref="B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NØ skråning mellem stor og lille bevoksning</t>
        </r>
      </text>
    </comment>
    <comment ref="AK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samt 30% blomster uden pollen</t>
        </r>
      </text>
    </comment>
    <comment ref="B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med få blomster ved lille bevoksning, mod top af skråning</t>
        </r>
      </text>
    </comment>
    <comment ref="B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ved lille bevoksning (v pink bagging)</t>
        </r>
      </text>
    </comment>
    <comment ref="B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tæt ved IB1 21, men hun Salix</t>
        </r>
      </text>
    </comment>
    <comment ref="N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with flowers</t>
        </r>
      </text>
    </comment>
    <comment ref="B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bagved høj i gryde i lille bevoksning</t>
        </r>
      </text>
    </comment>
    <comment ref="AK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90%blomstring, 10% afblomstret</t>
        </r>
      </text>
    </comment>
    <comment ref="B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skråning ved lille bevoksning</t>
        </r>
      </text>
    </comment>
    <comment ref="AK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blomstring, 40 % pollen</t>
        </r>
      </text>
    </comment>
    <comment ref="B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han Salix bevoksning inde i Calluna krat, længere væk fra P end 21</t>
        </r>
      </text>
    </comment>
    <comment ref="AK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80% (40% med pollen), 20% knopper</t>
        </r>
      </text>
    </comment>
    <comment ref="B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hun, på sydside. Han obs.</t>
        </r>
      </text>
    </comment>
    <comment ref="AK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50%, 30% med pollen</t>
        </r>
      </text>
    </comment>
    <comment ref="B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 på sydside af bakke ved lille bevoksning. Hun obs.</t>
        </r>
      </text>
    </comment>
    <comment ref="AJ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bevoksning med både han og hun på sydside af bakke ved lille bevoksning. Hun obs.</t>
        </r>
      </text>
    </comment>
    <comment ref="AJ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 i lille bevoksning, "underskov" af blåbær</t>
        </r>
      </text>
    </comment>
    <comment ref="AF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vissent træ</t>
        </r>
      </text>
    </comment>
    <comment ref="B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omme bagtil i lille bevoksning</t>
        </r>
      </text>
    </comment>
    <comment ref="AK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</t>
        </r>
      </text>
    </comment>
    <comment ref="AK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næsten afblomstret</t>
        </r>
      </text>
    </comment>
    <comment ref="AK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blomstringsestimat: 50% (ud fra 80% den 10/5 og 10% den 20/5)</t>
        </r>
      </text>
    </comment>
    <comment ref="H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data som plot IB1 33</t>
        </r>
      </text>
    </comment>
    <comment ref="AK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begyndende blomstring, måske 5%?</t>
        </r>
      </text>
    </comment>
    <comment ref="AK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begyndende blomstring, 1-2 blomster per stand, 7-8 blomster i alt per stand</t>
        </r>
      </text>
    </comment>
    <comment ref="B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nedenfor lille bevoksning</t>
        </r>
      </text>
    </comment>
    <comment ref="AK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han: 40% pollen, 40% knopper, 20% afblomstret</t>
        </r>
      </text>
    </comment>
    <comment ref="B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område med lav bevoksning på NØ skråning (nedre del)</t>
        </r>
      </text>
    </comment>
    <comment ref="AK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12 blomster ud af ca. 60</t>
        </r>
      </text>
    </comment>
    <comment ref="B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nedenfor lille bevoksning</t>
        </r>
      </text>
    </comment>
    <comment ref="AK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han: 40% pollen, 40% knopper, 20% afblomstret</t>
        </r>
      </text>
    </comment>
    <comment ref="B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inde i stor bevoksning</t>
        </r>
      </text>
    </comment>
    <comment ref="B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ende af mosebøllebusk</t>
        </r>
      </text>
    </comment>
    <comment ref="AK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10%knop, 10%slut</t>
        </r>
      </text>
    </comment>
    <comment ref="B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mosebøllebusk SV</t>
        </r>
      </text>
    </comment>
    <comment ref="B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ved stor bevoksning</t>
        </r>
      </text>
    </comment>
    <comment ref="AK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repens han: 60%pollen, 20%afblomstret, 20%knop
V. myrtillus: 10%
V. vitis-idaea: 7%</t>
        </r>
      </text>
    </comment>
    <comment ref="B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inde i stor bevoksning</t>
        </r>
      </text>
    </comment>
    <comment ref="B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Eng. visse ved stor flad ene</t>
        </r>
      </text>
    </comment>
    <comment ref="AK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stort set alle blomster trippede, dvs. ikke mere pollen</t>
        </r>
      </text>
    </comment>
    <comment ref="B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skråt foran mosebølle i retning mod P og sti</t>
        </r>
      </text>
    </comment>
    <comment ref="B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på linie med mosebølle, ved nederste hjørne af lille bevoksning tættest på mb</t>
        </r>
      </text>
    </comment>
    <comment ref="AK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3%, slut
V. vitis-idaea: 1%, start
Trientalis: 12 blomster, 20%</t>
        </r>
      </text>
    </comment>
    <comment ref="B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sydlige hjørne af mb busk</t>
        </r>
      </text>
    </comment>
    <comment ref="B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gryde, lige ved siden af orange bagging</t>
        </r>
      </text>
    </comment>
    <comment ref="AJ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 Salix hun 2%, Salix han 30% (begge i slutning), tyttebær 30% (start)</t>
        </r>
      </text>
    </comment>
    <comment ref="B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IB1 plot 39</t>
        </r>
      </text>
    </comment>
    <comment ref="B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mosebøllebusk</t>
        </r>
      </text>
    </comment>
    <comment ref="B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skråning</t>
        </r>
      </text>
    </comment>
    <comment ref="AK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 ud af 45 planter
Tyttebær: 25%
Salix han: 5%</t>
        </r>
      </text>
    </comment>
    <comment ref="B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 bevoksning syd for flad ene</t>
        </r>
      </text>
    </comment>
    <comment ref="AK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LS: 10%
Tyttebær: 60%</t>
        </r>
      </text>
    </comment>
    <comment ref="B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samling, tæt ved IB1 plot 51, som IB1 plot 28</t>
        </r>
      </text>
    </comment>
    <comment ref="AK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ikke trippede</t>
        </r>
      </text>
    </comment>
    <comment ref="B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kant af græsbevoksning, tættest på flad ene</t>
        </r>
      </text>
    </comment>
    <comment ref="AK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 ud af 10 blomster og knopper</t>
        </r>
      </text>
    </comment>
    <comment ref="B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P</t>
        </r>
      </text>
    </comment>
    <comment ref="AK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hun: 60%, slut
mb: 55%, slut</t>
        </r>
      </text>
    </comment>
    <comment ref="B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græs/tyttebærbevoksning bagved flad ene</t>
        </r>
      </text>
    </comment>
    <comment ref="Y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 blomsterhoveder = 100%
Tyttebær: 40%</t>
        </r>
      </text>
    </comment>
    <comment ref="B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P</t>
        </r>
      </text>
    </comment>
    <comment ref="AK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Salix hun: 60%, slut
mb: 55%, slut</t>
        </r>
      </text>
    </comment>
    <comment ref="B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græs/tyttebærbevoksning bagved flad ene</t>
        </r>
      </text>
    </comment>
    <comment ref="Y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 blomsterhoveder = 100%
Tyttebær: 40%</t>
        </r>
      </text>
    </comment>
    <comment ref="B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lille "høj" ved visse-samling med blåbær og pil</t>
        </r>
      </text>
    </comment>
    <comment ref="AK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blåbær: 5%, dog nogle blomster lidt gamle
Tyttebær: 80%
Salix: 10%, slut</t>
        </r>
      </text>
    </comment>
    <comment ref="B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græs/tyttebær bevoksning syd for flad ene</t>
        </r>
      </text>
    </comment>
    <comment ref="AK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LS: 10%
Tyttebær: 60%</t>
        </r>
      </text>
    </comment>
    <comment ref="B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 ved mosebølle</t>
        </r>
      </text>
    </comment>
    <comment ref="AK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 = 20%
Tyttebær: 3 blomster = 5%</t>
        </r>
      </text>
    </comment>
    <comment ref="B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skråning, nær smal høj ene</t>
        </r>
      </text>
    </comment>
    <comment ref="AK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 slut
Tyttebær: ca. 10 blomster = 2%</t>
        </r>
      </text>
    </comment>
    <comment ref="B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bevoksning i revling/græs mosaik</t>
        </r>
      </text>
    </comment>
    <comment ref="AK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 blomstring
Tyttebær: 70%</t>
        </r>
      </text>
    </comment>
    <comment ref="B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med skorzoner</t>
        </r>
      </text>
    </comment>
    <comment ref="Y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2/3 blomster
Tyttebær: 60% blomstring</t>
        </r>
      </text>
    </comment>
    <comment ref="B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NØskråning ca. midt på</t>
        </r>
      </text>
    </comment>
    <comment ref="AK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38 blomster, 60%
Tyttebær: 50% start</t>
        </r>
      </text>
    </comment>
    <comment ref="B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NØskråning ca. midt på</t>
        </r>
      </text>
    </comment>
    <comment ref="AK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38 blomster, 60%
Tyttebær: 50% start</t>
        </r>
      </text>
    </comment>
    <comment ref="B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bevoksning i revling/græs mosaik</t>
        </r>
      </text>
    </comment>
    <comment ref="AK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 blomstring
Tyttebær: 70%</t>
        </r>
      </text>
    </comment>
    <comment ref="B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med skorzoner</t>
        </r>
      </text>
    </comment>
    <comment ref="Y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2/3 blomster
Tyttebær: 60% blomstring</t>
        </r>
      </text>
    </comment>
    <comment ref="B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skråning, nær smal høj ene</t>
        </r>
      </text>
    </comment>
    <comment ref="AK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 slut
Tyttebær: ca. 10 blomster = 2%</t>
        </r>
      </text>
    </comment>
    <comment ref="B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 ved mosebølle</t>
        </r>
      </text>
    </comment>
    <comment ref="AK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 = 20%
Tyttebær: 3 blomster = 5%</t>
        </r>
      </text>
    </comment>
    <comment ref="B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</t>
        </r>
      </text>
    </comment>
    <comment ref="Y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plot med Salix hun</t>
        </r>
      </text>
    </comment>
    <comment ref="AK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
Mb:50%</t>
        </r>
      </text>
    </comment>
    <comment ref="B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midt i græs/revling-tyttebær bevoksning nær smal høj ene</t>
        </r>
      </text>
    </comment>
    <comment ref="AK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
Tyttebær, 85%, start</t>
        </r>
      </text>
    </comment>
    <comment ref="B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57</t>
        </r>
      </text>
    </comment>
    <comment ref="Y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3/3 blomster
Tyttebær: 70% blomstring</t>
        </r>
      </text>
    </comment>
    <comment ref="B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AK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
Tyttebær: 90%, slutning</t>
        </r>
      </text>
    </comment>
    <comment ref="B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 SV ende</t>
        </r>
      </text>
    </comment>
    <comment ref="AK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mod slutning</t>
        </r>
      </text>
    </comment>
    <comment ref="B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plot med Salix hun</t>
        </r>
      </text>
    </comment>
    <comment ref="AK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50%
Mb:50%</t>
        </r>
      </text>
    </comment>
    <comment ref="B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</t>
        </r>
      </text>
    </comment>
    <comment ref="Y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AK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
Tyttebær: 90%, slutning</t>
        </r>
      </text>
    </comment>
    <comment ref="B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57</t>
        </r>
      </text>
    </comment>
    <comment ref="Y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Scorzonea: 3/3 blomster
Tyttebær: 70% blomstring</t>
        </r>
      </text>
    </comment>
    <comment ref="B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græsområde med islet af LS, tyttebær og engelsk visse</t>
        </r>
      </text>
    </comment>
    <comment ref="AK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10%, alle trippede
Trientalis: 1/25 blomster
Tyttebær: 80%</t>
        </r>
      </text>
    </comment>
    <comment ref="B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midt i græs/revling-tyttebær bevoksning nær smal høj ene</t>
        </r>
      </text>
    </comment>
    <comment ref="AK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 20%
Tyttebær, 85%, start</t>
        </r>
      </text>
    </comment>
    <comment ref="B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Tormentil i græsbevoksning bagved mb</t>
        </r>
      </text>
    </comment>
    <comment ref="AK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Tyttebær: 5 blomster, 10%</t>
        </r>
      </text>
    </comment>
    <comment ref="B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midt i bevoksning</t>
        </r>
      </text>
    </comment>
    <comment ref="AK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35%, slutning
Trientalis: 3/5 blomster</t>
        </r>
      </text>
    </comment>
    <comment ref="B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midt i bevoksning</t>
        </r>
      </text>
    </comment>
    <comment ref="AK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35%, slutning
Trientalis: 3/5 blomster</t>
        </r>
      </text>
    </comment>
    <comment ref="B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Tormentil i græsbevoksning bagved mb</t>
        </r>
      </text>
    </comment>
    <comment ref="AK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Tyttebær: 5 blomster, 10%</t>
        </r>
      </text>
    </comment>
    <comment ref="B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inde i store bevoksning</t>
        </r>
      </text>
    </comment>
    <comment ref="Y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80%, start</t>
        </r>
      </text>
    </comment>
    <comment ref="B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 midt på NE skråning, varieret vegetation af revling, tytte., blåbær og skovstjerne med pletter af hedelyng</t>
        </r>
      </text>
    </comment>
    <comment ref="AK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29 blomster, 20%
Tyttebær: 85%, start</t>
        </r>
      </text>
    </comment>
    <comment ref="B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Salix han på SV skråning mellem nåletræ og smal høj ene</t>
        </r>
      </text>
    </comment>
    <comment ref="AK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han:5 %, slutning
Tyttebær:90%</t>
        </r>
      </text>
    </comment>
    <comment ref="B1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lyngsnerre i bevoksning med græs og tyttebær mosaik</t>
        </r>
      </text>
    </comment>
    <comment ref="B1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nederste del af skråning</t>
        </r>
      </text>
    </comment>
    <comment ref="AK1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 = 10%
Tyttebær: 4 blomster = 10%</t>
        </r>
      </text>
    </comment>
    <comment ref="B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sti med lille gren af Salix han</t>
        </r>
      </text>
    </comment>
    <comment ref="AK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25%, slutning
Salix han: 15%
</t>
        </r>
      </text>
    </comment>
    <comment ref="B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plot med blandet revling, blåbær og skovstjerne</t>
        </r>
      </text>
    </comment>
    <comment ref="AK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61 blomster, 50%
Tyttebær: 60% start</t>
        </r>
      </text>
    </comment>
    <comment ref="B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tættest på sti med lille gren af Salix han</t>
        </r>
      </text>
    </comment>
    <comment ref="AK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25%, slutning
Salix han: 15%
</t>
        </r>
      </text>
    </comment>
    <comment ref="B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nederste del af skråning</t>
        </r>
      </text>
    </comment>
    <comment ref="AK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 = 10%
Tyttebær: 4 blomster = 10%</t>
        </r>
      </text>
    </comment>
    <comment ref="B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halvvejs oppe af skråning, plot med blandet revling, blåbær og skovstjerne</t>
        </r>
      </text>
    </comment>
    <comment ref="AK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61 blomster, 50%
Tyttebær: 60% start</t>
        </r>
      </text>
    </comment>
    <comment ref="B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ikke så langt fra IB1 73 på skråning, men med flere tyttebær</t>
        </r>
      </text>
    </comment>
    <comment ref="AK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hun: 5%
Trientalis: 16 blomster, 50%
Tyttebær: 80% start</t>
        </r>
      </text>
    </comment>
    <comment ref="B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ved flad ene</t>
        </r>
      </text>
    </comment>
    <comment ref="Y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8 blomster, 50%
LS: 15%</t>
        </r>
      </text>
    </comment>
    <comment ref="B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med myrer ved smal høj ene</t>
        </r>
      </text>
    </comment>
    <comment ref="AK1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30%
Tyttebær: 20%, slutning</t>
        </r>
      </text>
    </comment>
    <comment ref="B1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ved flad ene</t>
        </r>
      </text>
    </comment>
    <comment ref="Y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8 blomster, 50%
LS: 15%</t>
        </r>
      </text>
    </comment>
    <comment ref="B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bevoksning med relativt mange blomster på top af NØ skråning</t>
        </r>
      </text>
    </comment>
    <comment ref="B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mb, næsten afblomstret</t>
        </r>
      </text>
    </comment>
    <comment ref="B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revling/græs mosaik på SV skråning</t>
        </r>
      </text>
    </comment>
    <comment ref="Y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Skorzoner: 1/1 blomster
tyttebær: 10%, slutning
LS: 10%</t>
        </r>
      </text>
    </comment>
    <comment ref="B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med myrer ved smal høj ene</t>
        </r>
      </text>
    </comment>
    <comment ref="AK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30%
Tyttebær: 20%, slutning</t>
        </r>
      </text>
    </comment>
    <comment ref="B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skråning med bevoksning af tyttebær, blåbær og skovstjerne i revlingvegetation</t>
        </r>
      </text>
    </comment>
    <comment ref="AK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21/86 blomster, 20%
Tyttebær: 70%
Galium: 10%</t>
        </r>
      </text>
    </comment>
    <comment ref="B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60</t>
        </r>
      </text>
    </comment>
    <comment ref="Y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20%
Tyttebær: 70%, slutning
Trientalis: 1 blomst, 10%</t>
        </r>
      </text>
    </comment>
    <comment ref="B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S for flad ene</t>
        </r>
      </text>
    </comment>
    <comment ref="Y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B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</t>
        </r>
      </text>
    </comment>
    <comment ref="AK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29 blomster, 35%, 35% afblomstret, 30% knopper
Tyttebær: 20%, slutning</t>
        </r>
      </text>
    </comment>
    <comment ref="B1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med nogle få tyttebær</t>
        </r>
      </text>
    </comment>
    <comment ref="AK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mb: begge slutning</t>
        </r>
      </text>
    </comment>
    <comment ref="B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</t>
        </r>
      </text>
    </comment>
    <comment ref="AK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29 blomster, 35%, 35% afblomstret, 30% knopper
Tyttebær: 20%, slutning</t>
        </r>
      </text>
    </comment>
    <comment ref="B1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tyttebær/revling bevoksning med pletter af hedelyng</t>
        </r>
      </text>
    </comment>
    <comment ref="AK1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40%, slutning</t>
        </r>
      </text>
    </comment>
    <comment ref="B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revling/blåbær bevoksning med pletter af hedelyng og med skovstjerne</t>
        </r>
      </text>
    </comment>
    <comment ref="AK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47 blomster, 45%
Tyttebær: 20%
Galium: 50%</t>
        </r>
      </text>
    </comment>
    <comment ref="B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med nogle få tyttebær</t>
        </r>
      </text>
    </comment>
    <comment ref="AK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mb: begge slutning</t>
        </r>
      </text>
    </comment>
    <comment ref="B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 i lille bevoksning</t>
        </r>
      </text>
    </comment>
    <comment ref="B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</t>
        </r>
      </text>
    </comment>
    <comment ref="AK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100 blomster = ca. 10%? (hvis man regner med 30 blomsteranlæg/0,01m2)</t>
        </r>
      </text>
    </comment>
    <comment ref="AK1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100 blomster = ca. 10%? (hvis man regner med 30 blomsteranlæg/0,01m2)</t>
        </r>
      </text>
    </comment>
    <comment ref="B1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</t>
        </r>
      </text>
    </comment>
    <comment ref="B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bakke på T1</t>
        </r>
      </text>
    </comment>
    <comment ref="B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mellem P og stor bevoksning ca midt på, på en knold vokser en plante af gyldenris</t>
        </r>
      </text>
    </comment>
    <comment ref="AK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65% blomster, 11 visne, 8 knopper</t>
        </r>
      </text>
    </comment>
    <comment ref="B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top af skråning mellem IB1 93 og firkantet gryde</t>
        </r>
      </text>
    </comment>
    <comment ref="AK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10 blomster, 15%</t>
        </r>
      </text>
    </comment>
    <comment ref="B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IB1 93</t>
        </r>
      </text>
    </comment>
    <comment ref="B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bevoksning ved P</t>
        </r>
      </text>
    </comment>
    <comment ref="AK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 blomstring, 1% slut</t>
        </r>
      </text>
    </comment>
    <comment ref="B1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skråning på T1, samme plot som IB1 93</t>
        </r>
      </text>
    </comment>
    <comment ref="B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bunden af firkantet gryde</t>
        </r>
      </text>
    </comment>
    <comment ref="AK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10%</t>
        </r>
      </text>
    </comment>
    <comment ref="B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skråning, plante med store blomster inde i Salix busk</t>
        </r>
      </text>
    </comment>
    <comment ref="Y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10%
Tyttebær: 90%, slutning</t>
        </r>
      </text>
    </comment>
    <comment ref="B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store bevoksning</t>
        </r>
      </text>
    </comment>
    <comment ref="AK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16/33 blomster, 1 skud</t>
        </r>
      </text>
    </comment>
    <comment ref="B1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top af skråning på T1</t>
        </r>
      </text>
    </comment>
    <comment ref="B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bunden af firkantet gryde</t>
        </r>
      </text>
    </comment>
    <comment ref="AK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10%</t>
        </r>
      </text>
    </comment>
    <comment ref="B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nær P, nederste del, samme som plot IB1 91</t>
        </r>
      </text>
    </comment>
    <comment ref="B1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P</t>
        </r>
      </text>
    </comment>
    <comment ref="AK1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ca. 125 blomster, 90%</t>
        </r>
      </text>
    </comment>
    <comment ref="B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top af NE skråning, samme plot som IB1 94</t>
        </r>
      </text>
    </comment>
    <comment ref="AK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23 blomster, 20%, 5% visne</t>
        </r>
      </text>
    </comment>
    <comment ref="B1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</t>
        </r>
      </text>
    </comment>
    <comment ref="B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nederste del af NE skråning på T1 i bevoksning af revling og hedelyng</t>
        </r>
      </text>
    </comment>
    <comment ref="AK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50%
Trientalis: 1 blomst, pop &lt;1%</t>
        </r>
      </text>
    </comment>
    <comment ref="B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græs"ø" med orkideer</t>
        </r>
      </text>
    </comment>
    <comment ref="AK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10%
Galium: 50%
Erica: pop 40%, plot% mangler</t>
        </r>
      </text>
    </comment>
    <comment ref="B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samme område som plot IB1 108</t>
        </r>
      </text>
    </comment>
    <comment ref="AK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55 blomster, 10%
Erica: 70%, 5% slut
Galium: 14 blomster</t>
        </r>
      </text>
    </comment>
    <comment ref="B1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start af lille bevoksning</t>
        </r>
      </text>
    </comment>
    <comment ref="B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nederste del af NE skråning på T1 i bevoksning af revling og hedelyng</t>
        </r>
      </text>
    </comment>
    <comment ref="AK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50%
Trientalis: 1 blomst, pop &lt;1%</t>
        </r>
      </text>
    </comment>
    <comment ref="B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klokkelyngbusk lige over bævreasp bevoksning ved P</t>
        </r>
      </text>
    </comment>
    <comment ref="B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græs/revlingbevoksning ved fod af skråning i retning af P</t>
        </r>
      </text>
    </comment>
    <comment ref="AK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22 blomster, ca. 15%</t>
        </r>
      </text>
    </comment>
    <comment ref="B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7 skud på top af NE bakke</t>
        </r>
      </text>
    </comment>
    <comment ref="AK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5% slut</t>
        </r>
      </text>
    </comment>
    <comment ref="B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 og 103</t>
        </r>
      </text>
    </comment>
    <comment ref="AK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45%, 5% slut</t>
        </r>
      </text>
    </comment>
    <comment ref="B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T1, samme plot som IB1 93 og 101</t>
        </r>
      </text>
    </comment>
    <comment ref="AK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50%, 5% slut</t>
        </r>
      </text>
    </comment>
    <comment ref="B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syd for flad ene, ved fyrretræ</t>
        </r>
      </text>
    </comment>
    <comment ref="B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to skud på sydside af bjerg mellem græs ved flad ene og lille bevoksning</t>
        </r>
      </text>
    </comment>
    <comment ref="AK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27 blomster, 45%
Galium:10%</t>
        </r>
      </text>
    </comment>
    <comment ref="B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græs/hedelyng bevoksning syd for flad ene</t>
        </r>
      </text>
    </comment>
    <comment ref="Y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B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græs-ø på sydside af skråning</t>
        </r>
      </text>
    </comment>
    <comment ref="AK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80 blomster, 10%</t>
        </r>
      </text>
    </comment>
    <comment ref="B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to skud på sydside af bjerg mellem græs ved flad ene og lille bevoksning</t>
        </r>
      </text>
    </comment>
    <comment ref="AK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27 blomster, 45%
Galium:10%</t>
        </r>
      </text>
    </comment>
    <comment ref="B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6 skud på top af skråning, som plot IB1 111</t>
        </r>
      </text>
    </comment>
    <comment ref="AK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80%, 5% slut</t>
        </r>
      </text>
    </comment>
    <comment ref="B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plot som IB1 91, 103, 113</t>
        </r>
      </text>
    </comment>
    <comment ref="AK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60% slut</t>
        </r>
      </text>
    </comment>
    <comment ref="B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klokkelyngbusk over bævreaspbevoksning, samme som IB1 112</t>
        </r>
      </text>
    </comment>
    <comment ref="AK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50% slut</t>
        </r>
      </text>
    </comment>
    <comment ref="B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hedelyngbevoksning på sydside af skråning</t>
        </r>
      </text>
    </comment>
    <comment ref="Y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8/31 blomster, 17 visne</t>
        </r>
      </text>
    </comment>
    <comment ref="B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hedelyngbevoksning på sydside af skråning</t>
        </r>
      </text>
    </comment>
    <comment ref="Y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8/31 blomster, 17 visne</t>
        </r>
      </text>
    </comment>
    <comment ref="B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gyldenris foran lille bevoksning i retning væk fra P, ved blåbær mørkebrun bagging, samme plot som IB1 107</t>
        </r>
      </text>
    </comment>
    <comment ref="AK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85%, 15% slut</t>
        </r>
      </text>
    </comment>
    <comment ref="B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Hedelyng, lige startet blomstring, ved siden af klokkelyngbusk ved bævreaspbevoksning</t>
        </r>
      </text>
    </comment>
    <comment ref="AK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&lt;1%, her sat til 0,5%</t>
        </r>
      </text>
    </comment>
    <comment ref="B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klokkelyngbusk ved P</t>
        </r>
      </text>
    </comment>
    <comment ref="AK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70% slut</t>
        </r>
      </text>
    </comment>
    <comment ref="B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klokkelyngplot på top af skråning på T1, samme plot som 93, 101 og 118</t>
        </r>
      </text>
    </comment>
    <comment ref="B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op nedre del af NE skråning</t>
        </r>
      </text>
    </comment>
    <comment ref="AK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25%, slutning</t>
        </r>
      </text>
    </comment>
    <comment ref="B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 fod af NE skråning, lidt længere i retning af P end mb</t>
        </r>
      </text>
    </comment>
    <comment ref="AK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46 blomster, 17 knopper, 34 frugter</t>
        </r>
      </text>
    </comment>
    <comment ref="B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græs-ø på sydside af skråning</t>
        </r>
      </text>
    </comment>
    <comment ref="AK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10%</t>
        </r>
      </text>
    </comment>
    <comment ref="B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med 7 skud af gyldenris, samme plot som IB1 111 og 119</t>
        </r>
      </text>
    </comment>
    <comment ref="AK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65%, 30% slut</t>
        </r>
      </text>
    </comment>
    <comment ref="B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skud af gyldenris inde i gryde</t>
        </r>
      </text>
    </comment>
    <comment ref="AK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50%, 30% visne</t>
        </r>
      </text>
    </comment>
    <comment ref="B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nedre del af stor klokkelyngbusk ved P, samme som IB1 91, 103, 113 og 122</t>
        </r>
      </text>
    </comment>
    <comment ref="AK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10%, 70% slut</t>
        </r>
      </text>
    </comment>
    <comment ref="B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nederst på NE skråning, samme plot som IB1 127</t>
        </r>
      </text>
    </comment>
    <comment ref="AK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10%, slutning</t>
        </r>
      </text>
    </comment>
    <comment ref="B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nedre del af NE skråning</t>
        </r>
      </text>
    </comment>
    <comment ref="AK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19 blomster, ca 12%</t>
        </r>
      </text>
    </comment>
    <comment ref="B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(2 skud) lige før kant af firkantet gryde</t>
        </r>
      </text>
    </comment>
    <comment ref="AK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42 ud af 65 blomster, 75%</t>
        </r>
      </text>
    </comment>
    <comment ref="B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Hedelyng, netop udsprunget lidt, lige ovenfor bævreasp bevoksning</t>
        </r>
      </text>
    </comment>
    <comment ref="B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lige startet blomstring, på øvre del af NE skråning, T1</t>
        </r>
      </text>
    </comment>
    <comment ref="B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nedre del, samme plot som IB1 91, 103, 113, 122, 132</t>
        </r>
      </text>
    </comment>
    <comment ref="AK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70% slut</t>
        </r>
      </text>
    </comment>
    <comment ref="B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Salixbevoksning bag mb, næsten samme som IB1 98</t>
        </r>
      </text>
    </comment>
    <comment ref="AK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50 blomster, 13%</t>
        </r>
      </text>
    </comment>
    <comment ref="B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på NE skråning</t>
        </r>
      </text>
    </comment>
    <comment ref="AK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31/51 blomster, 61%, start</t>
        </r>
      </text>
    </comment>
    <comment ref="B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blåbær bagging lyserød og mørkebrun foran lille bevoksning på T1, samme plot som IB1 107 og 121</t>
        </r>
      </text>
    </comment>
    <comment ref="AK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50%, slutning</t>
        </r>
      </text>
    </comment>
    <comment ref="B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på top af NE skråning på T1</t>
        </r>
      </text>
    </comment>
    <comment ref="AK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90% slut</t>
        </r>
      </text>
    </comment>
    <comment ref="B207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Hedelyng midt på NE skråning</t>
        </r>
      </text>
    </comment>
    <comment ref="B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store klokkelyng ved P, som plot IB1 124</t>
        </r>
      </text>
    </comment>
    <comment ref="AK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80% slut</t>
        </r>
      </text>
    </comment>
    <comment ref="B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på knold inde i gryden</t>
        </r>
      </text>
    </comment>
    <comment ref="Y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B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på SV skråning</t>
        </r>
      </text>
    </comment>
    <comment ref="V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incl 2%vissen hønsetarm</t>
        </r>
      </text>
    </comment>
    <comment ref="Y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B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med 7 skud, på top af NE skråning, samme som IB1 111, 119, 128</t>
        </r>
      </text>
    </comment>
    <comment ref="AK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40%, 60% slut</t>
        </r>
      </text>
    </comment>
    <comment ref="B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foran gryde</t>
        </r>
      </text>
    </comment>
    <comment ref="B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Klokkelyng, stor busk ved P, nedre del, samme plot som IB1 91, 103, 113, 122, 132, 136</t>
        </r>
      </text>
    </comment>
    <comment ref="AK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90% slut</t>
        </r>
      </text>
    </comment>
    <comment ref="B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gryde</t>
        </r>
      </text>
    </comment>
    <comment ref="Y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2 blomster, 5 visne, 2 knopper</t>
        </r>
      </text>
    </comment>
    <comment ref="B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i firkantet gryde</t>
        </r>
      </text>
    </comment>
    <comment ref="Y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215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Hypochoeris: 4/16, 4 visne</t>
        </r>
      </text>
    </comment>
    <comment ref="B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græsbevoksning lige ovenfor mosebølle</t>
        </r>
      </text>
    </comment>
    <comment ref="AK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50 blomster, 10%</t>
        </r>
      </text>
    </comment>
    <comment ref="B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eneste plante på NE skråning i blomst, samme plot som IB1 138</t>
        </r>
      </text>
    </comment>
    <comment ref="AK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55/59 blomster, 93%</t>
        </r>
      </text>
    </comment>
    <comment ref="B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revling/tyttebær bevoksning ca. midt på NE skråning, nedenfor lille bevoksning</t>
        </r>
      </text>
    </comment>
    <comment ref="Y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start</t>
        </r>
      </text>
    </comment>
    <comment ref="B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lige over bævreaspbevoksning</t>
        </r>
      </text>
    </comment>
    <comment ref="AK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10% slut</t>
        </r>
      </text>
    </comment>
    <comment ref="B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 busk ved P, nedre del, næsten samme plot som IB1 91, 103, 113, 122, 132, 136, 153</t>
        </r>
      </text>
    </comment>
    <comment ref="AK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3% blomstring, 90% slut</t>
        </r>
      </text>
    </comment>
    <comment ref="B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busk af Tormentil på nederste del af NE skråning</t>
        </r>
      </text>
    </comment>
    <comment ref="AK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</t>
        </r>
      </text>
    </comment>
    <comment ref="B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Isoleret Gyldenris mellem P og stor bevoksning på NE skråning, som plot IB1 138, 152</t>
        </r>
      </text>
    </comment>
    <comment ref="AK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20% slut</t>
        </r>
      </text>
    </comment>
    <comment ref="B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ved kant af firkantet gryde på T1</t>
        </r>
      </text>
    </comment>
    <comment ref="AK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20%, start</t>
        </r>
      </text>
    </comment>
    <comment ref="B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 nedre del, næsten samme plot som IB1 91, 103, 113, 122, 132, 136, 153 og 158</t>
        </r>
      </text>
    </comment>
    <comment ref="AK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visne</t>
        </r>
      </text>
    </comment>
    <comment ref="B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på stejl NV skråning i gryde, næsten samme plot som IB1 145</t>
        </r>
      </text>
    </comment>
    <comment ref="Y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2 blomster, 7 visne
Calluna: knopper</t>
        </r>
      </text>
    </comment>
    <comment ref="B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nederste del af NE skråning, skråt nedenfor lille (stor?)bevoksning</t>
        </r>
      </text>
    </comment>
    <comment ref="AK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31 blomster, 15%</t>
        </r>
      </text>
    </comment>
    <comment ref="B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isoleret på NE skråning nær P, samme plot som IB1 138, 152, 156</t>
        </r>
      </text>
    </comment>
    <comment ref="AK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40%, slutning</t>
        </r>
      </text>
    </comment>
    <comment ref="B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Lyngsnerre på top af NE skråning på T1</t>
        </r>
      </text>
    </comment>
    <comment ref="AK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50%</t>
        </r>
      </text>
    </comment>
    <comment ref="B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på nedre del af NE skråning lige over mb</t>
        </r>
      </text>
    </comment>
    <comment ref="AK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39 blomster, 12%
Calluna: 15% blomstring</t>
        </r>
      </text>
    </comment>
    <comment ref="B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Lyngsnerre på top af NE skråning på T1</t>
        </r>
      </text>
    </comment>
    <comment ref="AK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50%</t>
        </r>
      </text>
    </comment>
    <comment ref="B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gryden, samme plot som IB1 159, og næsten samme som IB1 145</t>
        </r>
      </text>
    </comment>
    <comment ref="Y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blomster, 6 visne
Calluna: knopper</t>
        </r>
      </text>
    </comment>
    <comment ref="B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på nedre del af NE skråning lige over mb</t>
        </r>
      </text>
    </comment>
    <comment ref="AK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39 blomster, 12%
Calluna: 15% blomstring</t>
        </r>
      </text>
    </comment>
    <comment ref="B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Hedelyng ved stor klokkelyngbusk ved P</t>
        </r>
      </text>
    </comment>
    <comment ref="AK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slut
Calluna: 10%, start</t>
        </r>
      </text>
    </comment>
    <comment ref="B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og Hedelyng på lille høj i gryden</t>
        </r>
      </text>
    </comment>
    <comment ref="Y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blomst, 13 visne, 3 knopper
Calluna: 1%, start</t>
        </r>
      </text>
    </comment>
    <comment ref="B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Få tyttebærblomster og mange hedelyng på høj i gryde</t>
        </r>
      </text>
    </comment>
    <comment ref="AK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14 blomster, 16 knopper, blomstring 1%
Calluna: 10%, 5% slut</t>
        </r>
      </text>
    </comment>
    <comment ref="B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og hedelyng ved fyr på T1, næsten som IB1 164</t>
        </r>
      </text>
    </comment>
    <comment ref="AK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55%, start</t>
        </r>
      </text>
    </comment>
    <comment ref="B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Hedelyng ved stor klokkelyngbusk ved P</t>
        </r>
      </text>
    </comment>
    <comment ref="AK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90% slut
Calluna: 10%, start</t>
        </r>
      </text>
    </comment>
    <comment ref="B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og hedelyng ved fyr på T1, næsten som IB1 164</t>
        </r>
      </text>
    </comment>
    <comment ref="AK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60%
Calluna: 55%, start</t>
        </r>
      </text>
    </comment>
    <comment ref="B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og Hedelyng på lille høj i gryden</t>
        </r>
      </text>
    </comment>
    <comment ref="Y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blomst, 13 visne, 3 knopper
Calluna: 1%, start</t>
        </r>
      </text>
    </comment>
    <comment ref="B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på nedre del af NE skråning</t>
        </r>
      </text>
    </comment>
    <comment ref="AK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38 blomster, 15%</t>
        </r>
      </text>
    </comment>
    <comment ref="B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isoleret på NE skråning, samme plot som IB1 138, 152, 156 og 162</t>
        </r>
      </text>
    </comment>
    <comment ref="AK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30%, slutning</t>
        </r>
      </text>
    </comment>
    <comment ref="B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Få tyttebærblomster og mange hedelyng på høj i gryde</t>
        </r>
      </text>
    </comment>
    <comment ref="AK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14 blomster, 16 knopper, blomstring 1%
Calluna: 10%, 5% slut</t>
        </r>
      </text>
    </comment>
    <comment ref="B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blomst af Smalbladet Høgeurt på høj i gryde samt hedelyng i starten af blomstring</t>
        </r>
      </text>
    </comment>
    <comment ref="Y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 + 1 vissen
Calluna: 2%, start</t>
        </r>
      </text>
    </comment>
    <comment ref="B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firkantet gryde</t>
        </r>
      </text>
    </comment>
    <comment ref="AK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</t>
        </r>
      </text>
    </comment>
    <comment ref="B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Tormentil i græs-ø på SV-skråning</t>
        </r>
      </text>
    </comment>
    <comment ref="AK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95% slut
Potentilla: 12 blomster, 5%</t>
        </r>
      </text>
    </comment>
    <comment ref="B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blomst af Smalbladet Høgeurt på høj i gryde samt hedelyng i starten af blomstring</t>
        </r>
      </text>
    </comment>
    <comment ref="Y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 blomst + 1 vissen
Calluna: 2%, start</t>
        </r>
      </text>
    </comment>
    <comment ref="B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græs-ø på SV skråning</t>
        </r>
      </text>
    </comment>
    <comment ref="AK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Potentllia: 72 blomster, ca. 10%
Calluna: knopper</t>
        </r>
      </text>
    </comment>
    <comment ref="B2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og Tormentil i græs-ø på SV-skråning</t>
        </r>
      </text>
    </comment>
    <comment ref="AK2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5%, 95% slut
Potentilla: 12 blomster, 5%</t>
        </r>
      </text>
    </comment>
    <comment ref="B2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skråning</t>
        </r>
      </text>
    </comment>
    <comment ref="AK2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9/54 blomster, 27 visne
Potentilla: 5 blomster, 5%
Calluna: 30%, start</t>
        </r>
      </text>
    </comment>
    <comment ref="B2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plante af Gyldenris, lige på grænsen af lille bevoksning i Salix/HL/græs/revling bevoksning</t>
        </r>
      </text>
    </comment>
    <comment ref="B2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(stor busk) ved P</t>
        </r>
      </text>
    </comment>
    <comment ref="AK2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omgang tyttebær, lige over bævreasp bevoksning</t>
        </r>
      </text>
    </comment>
    <comment ref="AK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5%, 2. blomstring
Calluna: 60%, 30% slut</t>
        </r>
      </text>
    </comment>
    <comment ref="B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Tormentil på nedre del af NE skråning over mb</t>
        </r>
      </text>
    </comment>
    <comment ref="AK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5% slut
Potentilla: 14 blomster, 10%</t>
        </r>
      </text>
    </comment>
    <comment ref="B2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ved fyr på T1</t>
        </r>
      </text>
    </comment>
    <comment ref="AK2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30% slut
Galium: 40%</t>
        </r>
      </text>
    </comment>
    <comment ref="B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 af skråning</t>
        </r>
      </text>
    </comment>
    <comment ref="Y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2/5 blomster, 3 knopper</t>
        </r>
      </text>
    </comment>
    <comment ref="B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(stor busk) ved P</t>
        </r>
      </text>
    </comment>
    <comment ref="AK2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ved fyr på T1</t>
        </r>
      </text>
    </comment>
    <comment ref="AK2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30% slut
Galium: 40%</t>
        </r>
      </text>
    </comment>
    <comment ref="B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 af skråning</t>
        </r>
      </text>
    </comment>
    <comment ref="Y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2/5 blomster, 3 knopper</t>
        </r>
      </text>
    </comment>
    <comment ref="B2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Tormentil på nedre del af NE skråning over mb</t>
        </r>
      </text>
    </comment>
    <comment ref="AK2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45%, 5% slut
Potentilla: 14 blomster, 10%</t>
        </r>
      </text>
    </comment>
    <comment ref="B2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 på SV side, samme plot som IB1 177</t>
        </r>
      </text>
    </comment>
    <comment ref="AK2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10%, start</t>
        </r>
      </text>
    </comment>
    <comment ref="B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omgang tyttebær, lige over bævreasp bevoksning</t>
        </r>
      </text>
    </comment>
    <comment ref="AK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5%, 2. blomstring
Calluna: 60%, 30% slut</t>
        </r>
      </text>
    </comment>
    <comment ref="B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(stor busk) ved P, samme plot som IB1 179</t>
        </r>
      </text>
    </comment>
    <comment ref="AK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samt HL ved Engelsk Visse ved lille bevoksning</t>
        </r>
      </text>
    </comment>
    <comment ref="AK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9/32 blomster, start, 28%
Calluna: 60%, start</t>
        </r>
      </text>
    </comment>
    <comment ref="B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side, samme plot som IB1 183</t>
        </r>
      </text>
    </comment>
    <comment ref="Y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3/5 blomster, 2 knopper</t>
        </r>
      </text>
    </comment>
    <comment ref="B2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(stor busk) ved P, samme plot som IB1 179</t>
        </r>
      </text>
    </comment>
    <comment ref="AK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
Erica: 5%, 95% slut</t>
        </r>
      </text>
    </comment>
    <comment ref="B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Smalbladet Høgeurt på SV side, samme plot som IB1 183</t>
        </r>
      </text>
    </comment>
    <comment ref="Y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H. umbellatum: 3/5 blomster, 2 knopper</t>
        </r>
      </text>
    </comment>
    <comment ref="B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Tormentil og Hedelyng i græs-ø, samme plot som, samme plot som IB1 177 og 184</t>
        </r>
      </text>
    </comment>
    <comment ref="AK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7/55 blomster, 44 visne
Potentilla: 5 blomster, 10%
Calluna: 15%, start</t>
        </r>
      </text>
    </comment>
    <comment ref="B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Eneste blomstrende Gyldenris samt HL ved Engelsk Visse ved lille bevoksning</t>
        </r>
      </text>
    </comment>
    <comment ref="AK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9/32 blomster, start, 28%
Calluna: 60%, start</t>
        </r>
      </text>
    </comment>
    <comment ref="B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lige over bævreasp bevoksning (andet plot end tidligere)</t>
        </r>
      </text>
    </comment>
    <comment ref="B2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 Hedelyng bevoksning på SV side</t>
        </r>
      </text>
    </comment>
    <comment ref="AK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Tyttebær: 5 blomster, 1%</t>
        </r>
      </text>
    </comment>
    <comment ref="B2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lidt oppe af NE skråning</t>
        </r>
      </text>
    </comment>
    <comment ref="AK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40 blomster, 15%</t>
        </r>
      </text>
    </comment>
    <comment ref="B2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 busk ved P</t>
        </r>
      </text>
    </comment>
    <comment ref="AK2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15% slut
Erica: 3%, 96% slut
Vvit: 6 blomster, 2%</t>
        </r>
      </text>
    </comment>
    <comment ref="B2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domineret område midt på NE skråning, T1</t>
        </r>
      </text>
    </comment>
    <comment ref="B2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 Hedelyng bevoksning på SV side</t>
        </r>
      </text>
    </comment>
    <comment ref="AK2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Tyttebær: 5 blomster, 1%</t>
        </r>
      </text>
    </comment>
    <comment ref="B2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ved fod af NE skråning</t>
        </r>
      </text>
    </comment>
    <comment ref="AK2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42 blomster, 15%
Calluna: 35%, start</t>
        </r>
      </text>
    </comment>
    <comment ref="B2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ved fod af NE skråning</t>
        </r>
      </text>
    </comment>
    <comment ref="AK2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42 blomster, 15%
Calluna: 35%, start</t>
        </r>
      </text>
    </comment>
    <comment ref="B2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(eneste blomstrende plante) og hedelyng ved lille bevoksning</t>
        </r>
      </text>
    </comment>
    <comment ref="AK2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90%, start
Calluna: 50%, 30% slut</t>
        </r>
      </text>
    </comment>
    <comment ref="B2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(eneste blomstrende plante) og hedelyng ved lille bevoksning</t>
        </r>
      </text>
    </comment>
    <comment ref="AK2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90%, start
Calluna: 50%, 30% slut</t>
        </r>
      </text>
    </comment>
    <comment ref="B2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 og hedelyng nederst på NE skråning</t>
        </r>
      </text>
    </comment>
    <comment ref="AK2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blomster, 30 slut
Potentilla: 33 blomster, 10%</t>
        </r>
      </text>
    </comment>
    <comment ref="B2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Engelsk Visse busk på SV skråning mellem hedelyng og græsmosaik</t>
        </r>
      </text>
    </comment>
    <comment ref="AK2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53 blomster, 14 visne, 88 frugter, 30% af blomster, 8% dækning
Calluna: 50%, 50% slut</t>
        </r>
      </text>
    </comment>
    <comment ref="B2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i hedelyngbevoksning ved gryden, næsten samme plot som IB1 195</t>
        </r>
      </text>
    </comment>
    <comment ref="AK2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slutning
Calluna: 40% blomster, 60% slut</t>
        </r>
      </text>
    </comment>
    <comment ref="B2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bevoksning lige ved stor bevoksning, halvvejs oppe ad NE skråning</t>
        </r>
      </text>
    </comment>
    <comment ref="AK2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20% slut</t>
        </r>
      </text>
    </comment>
    <comment ref="B2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stor klokkelyng busk ved P</t>
        </r>
      </text>
    </comment>
    <comment ref="AK2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blomster, 99% slut</t>
        </r>
      </text>
    </comment>
    <comment ref="B2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Engelsk Visse busk på SV skråning mellem hedelyng og græsmosaik</t>
        </r>
      </text>
    </comment>
    <comment ref="AK2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53 blomster, 14 visne, 88 frugter, 30% af blomster, 8% dækning
Calluna: 50%, 50% slut</t>
        </r>
      </text>
    </comment>
    <comment ref="B2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bevoksning og hedelyng nederst på NE skråning</t>
        </r>
      </text>
    </comment>
    <comment ref="AK2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blomster, 30 slut
Potentilla: 33 blomster, 10%</t>
        </r>
      </text>
    </comment>
    <comment ref="B2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i hedelyngbevoksning ved gryden, næsten samme plot som IB1 195</t>
        </r>
      </text>
    </comment>
    <comment ref="AK2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75%, slutning
Calluna: 40% blomster, 60% slut</t>
        </r>
      </text>
    </comment>
    <comment ref="B2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midt på NE skråning</t>
        </r>
      </text>
    </comment>
    <comment ref="B2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P-side af stor bevoksning</t>
        </r>
      </text>
    </comment>
    <comment ref="AK2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pop på P-side ca. 20%</t>
        </r>
      </text>
    </comment>
    <comment ref="B2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ved lille bevoksning, samme plot som IB1 198, og næsten som IB1 195</t>
        </r>
      </text>
    </comment>
    <comment ref="AK2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slutning
Calluna: 15% blomster, slutning</t>
        </r>
      </text>
    </comment>
    <comment ref="B2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Øvre del af stor klokkelyngbusk ved P, næsten samme plot som IB1 190</t>
        </r>
      </text>
    </comment>
    <comment ref="AK2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blomstring, 99% slut</t>
        </r>
      </text>
    </comment>
    <comment ref="B2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inde i græsbevoksning på T1, skråt bagved mosebølle</t>
        </r>
      </text>
    </comment>
    <comment ref="AK2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41 blomster, 10%</t>
        </r>
      </text>
    </comment>
    <comment ref="B3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blomstrende Gyldenris ved lille bevoksning, samme plot som IB1 198, og næsten som IB1 195</t>
        </r>
      </text>
    </comment>
    <comment ref="AK3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slutning
Calluna: 15% blomster, slutning</t>
        </r>
      </text>
    </comment>
    <comment ref="B3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lige over bævreasp bevoksning</t>
        </r>
      </text>
    </comment>
    <comment ref="B3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hedelyng ved stor bevoksning</t>
        </r>
      </text>
    </comment>
    <comment ref="AK3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15%, 85% slut</t>
        </r>
      </text>
    </comment>
    <comment ref="B3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busk bag mosebølle, næsten samme plot som IB1 98, 141, 195</t>
        </r>
      </text>
    </comment>
    <comment ref="AK3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40 blomster, 8%</t>
        </r>
      </text>
    </comment>
    <comment ref="B3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ud mod sti</t>
        </r>
      </text>
    </comment>
    <comment ref="B3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bagved mosebølle</t>
        </r>
      </text>
    </comment>
    <comment ref="AK3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blomster, 4%</t>
        </r>
      </text>
    </comment>
    <comment ref="B3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Hedelyng bagved mosebølle</t>
        </r>
      </text>
    </comment>
    <comment ref="AK3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blomster, 4%</t>
        </r>
      </text>
    </comment>
    <comment ref="B3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samme plot som IB1 209</t>
        </r>
      </text>
    </comment>
    <comment ref="B3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store blomster i Salix busk bag mosebølle, næsten samme plot som IB1 98, 141, 195, og samme plot som 208</t>
        </r>
      </text>
    </comment>
    <comment ref="AK3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20 blomster, 4%</t>
        </r>
      </text>
    </comment>
    <comment ref="B3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top af skråning på T1</t>
        </r>
      </text>
    </comment>
    <comment ref="AK3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10% blomstring, 90% slut</t>
        </r>
      </text>
    </comment>
    <comment ref="B3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skråt foran mosebølle, samme plot som IB1 209 og 212</t>
        </r>
      </text>
    </comment>
    <comment ref="AK3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12% blomstring, 88% visne</t>
        </r>
      </text>
    </comment>
    <comment ref="B3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klokkelyngbusk ved P, øvre del, næsten samme plot som IB1 190, og samme plot som IB1 203</t>
        </r>
      </text>
    </comment>
    <comment ref="AK3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blomstring, 99% slut</t>
        </r>
      </text>
    </comment>
    <comment ref="B3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græs/hedelyng bevoksning lige bag mosebølle</t>
        </r>
      </text>
    </comment>
    <comment ref="AK3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 blomster, 3%</t>
        </r>
      </text>
    </comment>
    <comment ref="B3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Allersidste hedelyng blomster midt på NE skråning</t>
        </r>
      </text>
    </comment>
    <comment ref="B3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øvre del, næsten samme plot som IB1 190, og samme plot som IB1 203 og 214</t>
        </r>
      </text>
    </comment>
    <comment ref="AK3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 (40/2000 inflorescences) blomstring, 98% slut</t>
        </r>
      </text>
    </comment>
    <comment ref="B3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 og 211</t>
        </r>
      </text>
    </comment>
    <comment ref="AK3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2%</t>
        </r>
      </text>
    </comment>
    <comment ref="B3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Allersidste hedelyng på top af NE skråning</t>
        </r>
      </text>
    </comment>
    <comment ref="B3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klokkelyngbusk ved P, øvre del, næsten samme plot som IB1 190, og samme plot som IB1 203, 214 og 220</t>
        </r>
      </text>
    </comment>
    <comment ref="AK3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1% blomstring (30/400 inflorescences), 98% slut</t>
        </r>
      </text>
    </comment>
    <comment ref="B3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208, 211 og 218</t>
        </r>
      </text>
    </comment>
    <comment ref="AK3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 blomster, 1%</t>
        </r>
      </text>
    </comment>
    <comment ref="B3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aller aller sidste få hedelyng blomster på NE skråning nedenfor lille bevoksning</t>
        </r>
      </text>
    </comment>
    <comment ref="B3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P, øvre del, næsten samme plot som IB1 190, og samme plot som IB1 203, 214, 220 og 221</t>
        </r>
      </text>
    </comment>
    <comment ref="AK3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0,5% blomstring 99,5% slut</t>
        </r>
      </text>
    </comment>
    <comment ref="B3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"med store blomster" i Salix bevoksning bag mosebølle, næsten samme plot som IB1 98, 141, 195, og samme plot som 208, 211, 218 og 223</t>
        </r>
      </text>
    </comment>
    <comment ref="AK3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1,5%</t>
        </r>
      </text>
    </comment>
    <comment ref="B3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 aller aller sidste hedelyngblomster på top af NE skråning</t>
        </r>
      </text>
    </comment>
    <comment ref="B3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P, øvre del, næsten samme plot som IB1 190, og samme plot som IB1 203, 214, 220, 221 og 224</t>
        </r>
      </text>
    </comment>
    <comment ref="AK3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0,5% blomstring 99,5% slut</t>
        </r>
      </text>
    </comment>
    <comment ref="B3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område, T2</t>
        </r>
      </text>
    </comment>
    <comment ref="B3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bevoksning på top af bakken</t>
        </r>
      </text>
    </comment>
    <comment ref="B3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den anden side af "hul" i bevoksning</t>
        </r>
      </text>
    </comment>
    <comment ref="B3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flad top i retning mod P</t>
        </r>
      </text>
    </comment>
    <comment ref="B3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nær top af bakke, nær klokkelyng</t>
        </r>
      </text>
    </comment>
    <comment ref="B3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NØ skrænt lige over store bevoksning, lav vegetation af blåbær, tyttebær, revling</t>
        </r>
      </text>
    </comment>
  </commentList>
</comments>
</file>

<file path=xl/comments2.xml><?xml version="1.0" encoding="utf-8"?>
<comments xmlns="http://schemas.openxmlformats.org/spreadsheetml/2006/main">
  <authors>
    <author>Yoko Dupont</author>
  </authors>
  <commentList>
    <comment ref="H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A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transekt fra før lille blåbærhøj til flad ene</t>
        </r>
      </text>
    </comment>
    <comment ref="B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B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lavning med spredte græspletter</t>
        </r>
      </text>
    </comment>
    <comment ref="B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område med tæt dække af revling og tyttebær</t>
        </r>
      </text>
    </comment>
    <comment ref="B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2. høj før ene</t>
        </r>
      </text>
    </comment>
    <comment ref="B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nær skilt</t>
        </r>
      </text>
    </comment>
    <comment ref="B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hun bevoksning af Salix repens, nr. 2 fra P</t>
        </r>
      </text>
    </comment>
    <comment ref="B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han bevoksning af Salix repens</t>
        </r>
      </text>
    </comment>
    <comment ref="B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Salix han bevoksning</t>
        </r>
      </text>
    </comment>
    <comment ref="B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vejen</t>
        </r>
      </text>
    </comment>
    <comment ref="Y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håret høgeurt?</t>
        </r>
      </text>
    </comment>
    <comment ref="B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hun pilebevoksning</t>
        </r>
      </text>
    </comment>
    <comment ref="B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i forreste del af gryden</t>
        </r>
      </text>
    </comment>
    <comment ref="B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han bevoksning tv for skilt</t>
        </r>
      </text>
    </comment>
    <comment ref="U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</t>
        </r>
      </text>
    </comment>
    <comment ref="B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Salix han bevoksning</t>
        </r>
      </text>
    </comment>
    <comment ref="B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SO1 #14</t>
        </r>
      </text>
    </comment>
    <comment ref="Y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håret høgeurt?</t>
        </r>
      </text>
    </comment>
    <comment ref="B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i gryde, kun 1,5 m fra plot 13</t>
        </r>
      </text>
    </comment>
    <comment ref="Y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Galium?</t>
        </r>
      </text>
    </comment>
    <comment ref="B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15a</t>
        </r>
      </text>
    </comment>
    <comment ref="Y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Galium?</t>
        </r>
      </text>
    </comment>
    <comment ref="B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#12</t>
        </r>
      </text>
    </comment>
    <comment ref="B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#11</t>
        </r>
      </text>
    </comment>
    <comment ref="U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vissen</t>
        </r>
      </text>
    </comment>
    <comment ref="B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Salix hun bevoksning</t>
        </r>
      </text>
    </comment>
    <comment ref="B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ved P</t>
        </r>
      </text>
    </comment>
    <comment ref="B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af lille Salix han tv foran skilt</t>
        </r>
      </text>
    </comment>
    <comment ref="B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Eng. Visse th for forreste gravhøj</t>
        </r>
      </text>
    </comment>
    <comment ref="Y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</t>
        </r>
      </text>
    </comment>
    <comment ref="B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på kant af gryden</t>
        </r>
      </text>
    </comment>
    <comment ref="B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ved vej, lige foran skilt</t>
        </r>
      </text>
    </comment>
    <comment ref="AK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+30% uden pollen</t>
        </r>
      </text>
    </comment>
    <comment ref="B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top af stor blåbærhøj</t>
        </r>
      </text>
    </comment>
    <comment ref="B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NØ vendt skråning af lille blåbærhøj</t>
        </r>
      </text>
    </comment>
    <comment ref="B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ca. midt på</t>
        </r>
      </text>
    </comment>
    <comment ref="B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hun Salix bevoksning aller tættest på P</t>
        </r>
      </text>
    </comment>
    <comment ref="B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Salix han bevoksning foran skilt</t>
        </r>
      </text>
    </comment>
    <comment ref="AK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total blomstring 80%, pollen i 35%</t>
        </r>
      </text>
    </comment>
    <comment ref="B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gravhøj</t>
        </r>
      </text>
    </comment>
    <comment ref="B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</t>
        </r>
      </text>
    </comment>
    <comment ref="B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busk af Eng Visse på skråning ud mod sti på stor blåbærhøj</t>
        </r>
      </text>
    </comment>
    <comment ref="B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Visse ved vendeplads</t>
        </r>
      </text>
    </comment>
    <comment ref="B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i bagende af gryden på venstre skrænt</t>
        </r>
      </text>
    </comment>
    <comment ref="AK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70%blomstring, 30% vissen</t>
        </r>
      </text>
    </comment>
    <comment ref="B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i midten af gryden</t>
        </r>
      </text>
    </comment>
    <comment ref="AK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80 % blomstring, 50% med pollen</t>
        </r>
      </text>
    </comment>
    <comment ref="B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ved røn</t>
        </r>
      </text>
    </comment>
    <comment ref="AK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95%, 5% afblomstret</t>
        </r>
      </text>
    </comment>
    <comment ref="B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gravhøj, blåbær</t>
        </r>
      </text>
    </comment>
    <comment ref="AK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95%,5% knopper</t>
        </r>
      </text>
    </comment>
    <comment ref="B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blåbærhøj, tættest mod stien</t>
        </r>
      </text>
    </comment>
    <comment ref="AK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8%afblomstret, 2% knop</t>
        </r>
      </text>
    </comment>
    <comment ref="AK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blomstring, svagt på vej mod afblomstring</t>
        </r>
      </text>
    </comment>
    <comment ref="B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35</t>
        </r>
      </text>
    </comment>
    <comment ref="AK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at være færdigblomstret, men svært at se</t>
        </r>
      </text>
    </comment>
    <comment ref="B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som plot SO1 34</t>
        </r>
      </text>
    </comment>
    <comment ref="AK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plante som 11/5, blomstring nedskrevet med 10%</t>
        </r>
      </text>
    </comment>
    <comment ref="AK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"ved at være afblomstret"</t>
        </r>
      </text>
    </comment>
    <comment ref="AK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næsten afblomstret</t>
        </r>
      </text>
    </comment>
    <comment ref="AK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ca. 30 blomster per sq. m</t>
        </r>
      </text>
    </comment>
    <comment ref="AK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blomstring, beg. visning</t>
        </r>
      </text>
    </comment>
    <comment ref="B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ved vendeplads</t>
        </r>
      </text>
    </comment>
    <comment ref="Y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 kurve</t>
        </r>
      </text>
    </comment>
    <comment ref="B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vendepladsen</t>
        </r>
      </text>
    </comment>
    <comment ref="Y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Viola</t>
        </r>
      </text>
    </comment>
    <comment ref="AK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fuld blomstring</t>
        </r>
      </text>
    </comment>
    <comment ref="B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 Visse plot, samme som SO1 plot 33</t>
        </r>
      </text>
    </comment>
    <comment ref="AK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på retur</t>
        </r>
      </text>
    </comment>
    <comment ref="B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bevoksning bag i gryden</t>
        </r>
      </text>
    </comment>
    <comment ref="Y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14 blomsterhoveder ud af 74</t>
        </r>
      </text>
    </comment>
    <comment ref="B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kuperet terræn mellem 2. bevoksning og skilt</t>
        </r>
      </text>
    </comment>
    <comment ref="AK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 blomster ud af ca. 500</t>
        </r>
      </text>
    </comment>
    <comment ref="B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mellem stor blåbærhøj og næste høj (på vej ned mod skilt)</t>
        </r>
      </text>
    </comment>
    <comment ref="AK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14 ud af 550 blomster</t>
        </r>
      </text>
    </comment>
    <comment ref="B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hun bevoksning på S-vendt skråning i nærheden, men ikke lige ved siden af SO1 plot 51</t>
        </r>
      </text>
    </comment>
    <comment ref="AK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60%, i slutning af blomstring</t>
        </r>
      </text>
    </comment>
    <comment ref="B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han i midten, forrest i gryden</t>
        </r>
      </text>
    </comment>
    <comment ref="B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forreste gravhøj</t>
        </r>
      </text>
    </comment>
    <comment ref="AK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15% (slutning)
V. vitis-idaea: 10% (start)</t>
        </r>
      </text>
    </comment>
    <comment ref="B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forreste gravhøj</t>
        </r>
      </text>
    </comment>
    <comment ref="AK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15% (slutning)
V. vitis-idaea: 10% (start)</t>
        </r>
      </text>
    </comment>
    <comment ref="B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gravhøj</t>
        </r>
      </text>
    </comment>
    <comment ref="AK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V. uliginosum 65% blomstring, Potentilla i knop</t>
        </r>
      </text>
    </comment>
    <comment ref="B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Tyttebærdomineret skrænt lige bagved 2. bevoksning</t>
        </r>
      </text>
    </comment>
    <comment ref="B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Tormentil'er i græsområde mellem skilt og 2. bevoksning</t>
        </r>
      </text>
    </comment>
    <comment ref="AK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17 blomster ud af ca. 400</t>
        </r>
      </text>
    </comment>
    <comment ref="B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55</t>
        </r>
      </text>
    </comment>
    <comment ref="AK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10% (slutning)
V. vitis-idaea: 10% (start)</t>
        </r>
      </text>
    </comment>
    <comment ref="B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mosebølle ved 2. bevoksning</t>
        </r>
      </text>
    </comment>
    <comment ref="AK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10%afblomstret</t>
        </r>
      </text>
    </comment>
    <comment ref="B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55</t>
        </r>
      </text>
    </comment>
    <comment ref="AK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V. myrtillus: 10% (slutning)
V. vitis-idaea: 10% (start)</t>
        </r>
      </text>
    </comment>
    <comment ref="B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på lille blåbærhøj</t>
        </r>
      </text>
    </comment>
    <comment ref="B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gravhøj</t>
        </r>
      </text>
    </comment>
    <comment ref="B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 ved sti ved vendeplads</t>
        </r>
      </text>
    </comment>
    <comment ref="Y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 blomst = 5%
HH:30 blomster = 40%, 10% afblomstret</t>
        </r>
      </text>
    </comment>
    <comment ref="B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græsområde mellem skilt og 2. bevoksning</t>
        </r>
      </text>
    </comment>
    <comment ref="AK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39/700 blomster, 10 visne blomster
Tyttebær: 50%</t>
        </r>
      </text>
    </comment>
    <comment ref="B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SO1 plot 52</t>
        </r>
      </text>
    </comment>
    <comment ref="AK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60%, i slutning af blomstring</t>
        </r>
      </text>
    </comment>
    <comment ref="B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SO1 plot 50</t>
        </r>
      </text>
    </comment>
    <comment ref="B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græsområde mellem skilt og 2. bevoksning</t>
        </r>
      </text>
    </comment>
    <comment ref="AK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39/700 blomster, 10 visne blomster
Tyttebær: 50%</t>
        </r>
      </text>
    </comment>
    <comment ref="B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 ved sti ved vendeplads</t>
        </r>
      </text>
    </comment>
    <comment ref="Y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 blomst = 5%
HH:30 blomster = 40%, 10% afblomstret</t>
        </r>
      </text>
    </comment>
    <comment ref="B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</t>
        </r>
      </text>
    </comment>
    <comment ref="AK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40%
Mosebølle: 80%, 10% slut</t>
        </r>
      </text>
    </comment>
    <comment ref="B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gravhøj</t>
        </r>
      </text>
    </comment>
    <comment ref="AK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40%
Mosebølle: 80%, 10% slut</t>
        </r>
      </text>
    </comment>
    <comment ref="B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1. høj efter gravhøj, mosaik af tyttebær og revling</t>
        </r>
      </text>
    </comment>
    <comment ref="AK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55%, start
eng visse: 20%, heraf 5% ikke-trippede</t>
        </r>
      </text>
    </comment>
    <comment ref="B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tormentildomi område lige efter flad ene</t>
        </r>
      </text>
    </comment>
    <comment ref="AK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36 blomster, resten knopper. 1% afblomstret</t>
        </r>
      </text>
    </comment>
    <comment ref="B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mellem de to bevoksninger</t>
        </r>
      </text>
    </comment>
    <comment ref="B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1. høj efter gravhøj, mosaik af tyttebær og revling</t>
        </r>
      </text>
    </comment>
    <comment ref="AK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tyttebær: 55%, start
eng visse: 20%, heraf 5% ikke-trippede</t>
        </r>
      </text>
    </comment>
    <comment ref="B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Skorzoner plot, lige ud for 1. bevoksning, før ene</t>
        </r>
      </text>
    </comment>
    <comment ref="Y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Scorzonea humilis</t>
        </r>
      </text>
    </comment>
    <comment ref="AK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Potentilla: 4 blomster = 1%
Tyttebær: 20%
Skozoner:1 ud af 2 blomster</t>
        </r>
      </text>
    </comment>
    <comment ref="B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forrest midt i gryden</t>
        </r>
      </text>
    </comment>
    <comment ref="B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mange blomster i revling/græs mosaik tæt på skilt</t>
        </r>
      </text>
    </comment>
    <comment ref="AK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30 blomster = 8%
Tyttebær: 5%</t>
        </r>
      </text>
    </comment>
    <comment ref="B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nær 2. bevoksning, ud mod stien</t>
        </r>
      </text>
    </comment>
    <comment ref="B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med mange blomster i revling/græs mosaik tæt på skilt</t>
        </r>
      </text>
    </comment>
    <comment ref="AK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blomstring:
Tormentil: 30 blomster = 8%
Tyttebær: 5%</t>
        </r>
      </text>
    </comment>
    <comment ref="B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ved lille bevoksning</t>
        </r>
      </text>
    </comment>
    <comment ref="B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SV side af lille blåbærhøj</t>
        </r>
      </text>
    </comment>
    <comment ref="AK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62/ca.800 blomster = 8%
Tyttebær: 90%, slut</t>
        </r>
      </text>
    </comment>
    <comment ref="B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bagside af stor blåbærhøj mellem 2 rønnetræer</t>
        </r>
      </text>
    </comment>
    <comment ref="AK89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8 blomster, 10%
Tyttebær: 80%</t>
        </r>
      </text>
    </comment>
    <comment ref="B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75</t>
        </r>
      </text>
    </comment>
    <comment ref="B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76</t>
        </r>
      </text>
    </comment>
    <comment ref="B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bagside af stor blåbærhøj mellem 2 rønnetræer</t>
        </r>
      </text>
    </comment>
    <comment ref="AK92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8 blomster, 10%
Tyttebær: 80%</t>
        </r>
      </text>
    </comment>
    <comment ref="B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SV side af lille blåbærhøj</t>
        </r>
      </text>
    </comment>
    <comment ref="AK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62/ca.800 blomster = 8%
Tyttebær: 90%, slut</t>
        </r>
      </text>
    </comment>
    <comment ref="B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LS i græsbevoksning på kant af gryden</t>
        </r>
      </text>
    </comment>
    <comment ref="B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81</t>
        </r>
      </text>
    </comment>
    <comment ref="AK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ca. 200 blomster = 20%
Tyttebær: 90%, slut</t>
        </r>
      </text>
    </comment>
    <comment ref="B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sydside af gravhøj, bevoksning med tyttebær og Tormentil</t>
        </r>
      </text>
    </comment>
    <comment ref="AK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
Tyttebær: 70%, slutning</t>
        </r>
      </text>
    </comment>
    <comment ref="B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80</t>
        </r>
      </text>
    </comment>
    <comment ref="AK97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18 blomster, 30%, før peak
Tyttebær: 90%, slutning, peak blomstring</t>
        </r>
      </text>
    </comment>
    <comment ref="B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sti ved 2. bevoksning</t>
        </r>
      </text>
    </comment>
    <comment ref="AK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50%, slutning</t>
        </r>
      </text>
    </comment>
    <comment ref="B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sydside af gravhøj, bevoksning med tyttebær og Tormentil</t>
        </r>
      </text>
    </comment>
    <comment ref="AK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
Tyttebær: 70%, slutning</t>
        </r>
      </text>
    </comment>
    <comment ref="B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81</t>
        </r>
      </text>
    </comment>
    <comment ref="AK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ca. 200 blomster = 20%
Tyttebær: 90%, slut</t>
        </r>
      </text>
    </comment>
    <comment ref="B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80</t>
        </r>
      </text>
    </comment>
    <comment ref="AK101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Trientalis: 18 blomster, 30%, før peak
Tyttebær: 90%, slutning, peak blomstring</t>
        </r>
      </text>
    </comment>
    <comment ref="B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gyvel ved skilt</t>
        </r>
      </text>
    </comment>
    <comment ref="AF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Cytisus</t>
        </r>
      </text>
    </comment>
    <comment ref="AK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Gyvel: 40%, start</t>
        </r>
      </text>
    </comment>
    <comment ref="B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og Lyngsnerre ved vejen</t>
        </r>
      </text>
    </comment>
    <comment ref="Y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46 blomster, 70%
LS: 12%
</t>
        </r>
      </text>
    </comment>
    <comment ref="B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 på top af lille blåbærhøj</t>
        </r>
      </text>
    </comment>
    <comment ref="AK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Farvevisse: 30%
Tyttebær: 90%, start</t>
        </r>
      </text>
    </comment>
    <comment ref="B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og Lyngsnerre ved vejen</t>
        </r>
      </text>
    </comment>
    <comment ref="Y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HH: 46 blomster, 70%
LS: 12%
</t>
        </r>
      </text>
    </comment>
    <comment ref="B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lige på den anden side af sti end transekt</t>
        </r>
      </text>
    </comment>
    <comment ref="Y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gederams, uden blomster</t>
        </r>
      </text>
    </comment>
    <comment ref="AK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70%, slutning</t>
        </r>
      </text>
    </comment>
    <comment ref="B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domineret skråning ved 1. bevoksning</t>
        </r>
      </text>
    </comment>
    <comment ref="AK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80%, slutning</t>
        </r>
      </text>
    </comment>
    <comment ref="B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 på top af lille blåbærhøj</t>
        </r>
      </text>
    </comment>
    <comment ref="AK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Farvevisse: 30%
Tyttebær: 90%, start</t>
        </r>
      </text>
    </comment>
    <comment ref="B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nær vendeplads</t>
        </r>
      </text>
    </comment>
    <comment ref="AK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60%, slutning
Galium: 70%</t>
        </r>
      </text>
    </comment>
    <comment ref="B1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af farvevisse som SO1 81
</t>
        </r>
      </text>
    </comment>
    <comment ref="AK1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95% peak
Tyttebær: 70%, slut</t>
        </r>
      </text>
    </comment>
    <comment ref="B1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nær sti efter 2. bevoksning</t>
        </r>
      </text>
    </comment>
    <comment ref="AK1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mb: 10%, slutning</t>
        </r>
      </text>
    </comment>
    <comment ref="B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af farvevisse som SO1 81
</t>
        </r>
      </text>
    </comment>
    <comment ref="AK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pilosa: 95% peak
Tyttebær: 70%, slut</t>
        </r>
      </text>
    </comment>
    <comment ref="B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nær vendeplads</t>
        </r>
      </text>
    </comment>
    <comment ref="AK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60%, slutning
Galium: 70%</t>
        </r>
      </text>
    </comment>
    <comment ref="B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skilt i plot med lyngsnerre</t>
        </r>
      </text>
    </comment>
    <comment ref="AK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Arnica: 3/21 blomster, 14%</t>
        </r>
      </text>
    </comment>
    <comment ref="B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skilt i plot med lyngsnerre</t>
        </r>
      </text>
    </comment>
    <comment ref="AK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Arnica: 3/21 blomster, 14%</t>
        </r>
      </text>
    </comment>
    <comment ref="B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høgeurt plot ved gyvel, som plot SO1 51</t>
        </r>
      </text>
    </comment>
    <comment ref="Y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6 blomsterhoveder ud af 74</t>
        </r>
      </text>
    </comment>
    <comment ref="B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mellem skilt og 2. bevoksning</t>
        </r>
      </text>
    </comment>
    <comment ref="AK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120 blomster, 30%. 30% afblomstret</t>
        </r>
      </text>
    </comment>
    <comment ref="B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 i revlingbevoksning på S side af stor blåbærhøj</t>
        </r>
      </text>
    </comment>
    <comment ref="AK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 blomster, 20%
Tyttebær: 30%, slutning
Trientalis: 38 blomster, 35%</t>
        </r>
      </text>
    </comment>
    <comment ref="B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på rand af gryde</t>
        </r>
      </text>
    </comment>
    <comment ref="AK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AK1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visse på top af lille blåbærhøj</t>
        </r>
      </text>
    </comment>
    <comment ref="AK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20%, slutning
G.pilosa: 75%, slutning</t>
        </r>
      </text>
    </comment>
    <comment ref="B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SO1 97</t>
        </r>
      </text>
    </comment>
    <comment ref="Y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7 blomsterhoveder ud af 74, 9%</t>
        </r>
      </text>
    </comment>
    <comment ref="B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AK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10/66 blomster, 15%
Potentilla: 10%, 60%slut
Galium: 30%(pop)</t>
        </r>
      </text>
    </comment>
    <comment ref="B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bevoksning på top af høj, lige mellem de to bevoksninger</t>
        </r>
      </text>
    </comment>
    <comment ref="AK1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25% slutning</t>
        </r>
      </text>
    </comment>
    <comment ref="B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græs/revling mosaik</t>
        </r>
      </text>
    </comment>
    <comment ref="AK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60 blomster, 25%
Galium: 15%, start
Tyttebær: 10%, slutning</t>
        </r>
      </text>
    </comment>
    <comment ref="B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 med skovstjerne på SØ side af stor blåbærhøj</t>
        </r>
      </text>
    </comment>
    <comment ref="AK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Trientalis: 28 blomster, 30%
Tyttebær: 15%, slutning</t>
        </r>
      </text>
    </comment>
    <comment ref="B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Håret visse på top af lille blåbærhøj</t>
        </r>
      </text>
    </comment>
    <comment ref="AK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20%, slutning
G.pilosa: 75%, slutning</t>
        </r>
      </text>
    </comment>
    <comment ref="B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sti, på den anden side af sti i forhold til skilt</t>
        </r>
      </text>
    </comment>
    <comment ref="B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</t>
        </r>
      </text>
    </comment>
    <comment ref="AK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130 blomster, 20%
Erica: 14 klaser, 30%
Galium: 50%, slutning</t>
        </r>
      </text>
    </comment>
    <comment ref="B1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sti, på den anden side af sti i forhold til skilt</t>
        </r>
      </text>
    </comment>
    <comment ref="B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samling af guldblomme på lille blåbærhøj</t>
        </r>
      </text>
    </comment>
    <comment ref="AK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Arnica:18/25 blomster, 3 visne
Galium: 5%</t>
        </r>
      </text>
    </comment>
    <comment ref="B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nedenfor 1. høj efter stor blåbærhøj</t>
        </r>
      </text>
    </comment>
    <comment ref="AK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26 blomsterklaser med åbne blomster, 4%
Tyttebær: 5%</t>
        </r>
      </text>
    </comment>
    <comment ref="B1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mellem plot 3 og klokkelyng med bagging</t>
        </r>
      </text>
    </comment>
    <comment ref="B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samling af guldblomme på lille blåbærhøj</t>
        </r>
      </text>
    </comment>
    <comment ref="AK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Arnica:18/25 blomster, 3 visne
Galium: 5%</t>
        </r>
      </text>
    </comment>
    <comment ref="B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nedenfor 1. høj efter stor blåbærhøj</t>
        </r>
      </text>
    </comment>
    <comment ref="AK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26 blomsterklaser med åbne blomster, 4%
Tyttebær: 5%</t>
        </r>
      </text>
    </comment>
    <comment ref="B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mellem plot 3 og klokkelyng med bagging</t>
        </r>
      </text>
    </comment>
    <comment ref="B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med Jomfru Rist sten</t>
        </r>
      </text>
    </comment>
    <comment ref="AK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5v, i alt 27
Galium: 2%</t>
        </r>
      </text>
    </comment>
    <comment ref="B1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mellem nåletræer</t>
        </r>
      </text>
    </comment>
    <comment ref="B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med lyngsnerre i græsbevoksning lige nedenfor 1. bevoksning i retning mod sti</t>
        </r>
      </text>
    </comment>
    <comment ref="B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med Jomfru Rist sten</t>
        </r>
      </text>
    </comment>
    <comment ref="AK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5v, i alt 27
Galium: 2%</t>
        </r>
      </text>
    </comment>
    <comment ref="B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Y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uden blomst</t>
        </r>
      </text>
    </comment>
    <comment ref="B1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ved sti</t>
        </r>
      </text>
    </comment>
    <comment ref="AK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</t>
        </r>
      </text>
    </comment>
    <comment ref="B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største Guldblomme bevoksning</t>
        </r>
      </text>
    </comment>
    <comment ref="AK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24b,29v/67, 30%
Potentilla: 4 blomster, 5%
Galium: 2%</t>
        </r>
      </text>
    </comment>
    <comment ref="B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stor blåbærhøj</t>
        </r>
      </text>
    </comment>
    <comment ref="Y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uden blomst</t>
        </r>
      </text>
    </comment>
    <comment ref="B1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skilt</t>
        </r>
      </text>
    </comment>
    <comment ref="AK1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70 blomster, 10%</t>
        </r>
      </text>
    </comment>
    <comment ref="B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skråning lige bag ved skilt</t>
        </r>
      </text>
    </comment>
    <comment ref="AK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ca. 100 blomster, 10%</t>
        </r>
      </text>
    </comment>
    <comment ref="B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plot på S-side af stor blåbærhøj lige ved røn</t>
        </r>
      </text>
    </comment>
    <comment ref="AK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Potentilla: 2%, 1 blomst
Trientalis: 12 blomster, 7%</t>
        </r>
      </text>
    </comment>
    <comment ref="B1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mellem nåletræer</t>
        </r>
      </text>
    </comment>
    <comment ref="B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på den anden side af sti, tættest på Jomfru Rist</t>
        </r>
      </text>
    </comment>
    <comment ref="AK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14b, 6v, i alt 26
</t>
        </r>
      </text>
    </comment>
    <comment ref="B1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bevoksning ved skilt</t>
        </r>
      </text>
    </comment>
    <comment ref="AK1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Potentilla, 6 blomster, 20%</t>
        </r>
      </text>
    </comment>
    <comment ref="B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bevoksning ved skilt</t>
        </r>
      </text>
    </comment>
    <comment ref="AK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
Potentilla, 6 blomster, 20%</t>
        </r>
      </text>
    </comment>
    <comment ref="B1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skilt, samme plot som SO1 111</t>
        </r>
      </text>
    </comment>
    <comment ref="B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skråning ved skilt, samme plot som SO1 116</t>
        </r>
      </text>
    </comment>
    <comment ref="B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bevoksning af Guldblomme</t>
        </r>
      </text>
    </comment>
    <comment ref="AK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11/40 blomster, 27,5%, resten visne
Potentilla: 3 blomster, 5%?</t>
        </r>
      </text>
    </comment>
    <comment ref="B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1. høj efter stor blåbærhøj, samme plot som SO1 107</t>
        </r>
      </text>
    </comment>
    <comment ref="AK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75%, 5% slut
Tyttebær: 1%, &lt;10 blomster</t>
        </r>
      </text>
    </comment>
    <comment ref="B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græsbevoksning foran stor ene</t>
        </r>
      </text>
    </comment>
    <comment ref="AK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25%
Galium: 40%, slut</t>
        </r>
      </text>
    </comment>
    <comment ref="B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græsbevoksning foran stor ene</t>
        </r>
      </text>
    </comment>
    <comment ref="AK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25%
Galium: 40%, slut</t>
        </r>
      </text>
    </comment>
    <comment ref="B1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bevoksning af Guldblomme</t>
        </r>
      </text>
    </comment>
    <comment ref="AK1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11/40 blomster, 27,5%, resten visne
Potentilla: 3 blomster, 5%?</t>
        </r>
      </text>
    </comment>
    <comment ref="B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skilt, samme plot som SO1 111 og 119</t>
        </r>
      </text>
    </comment>
    <comment ref="B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1. høj efter stor blåbærhøj, samme plot som SO1 107</t>
        </r>
      </text>
    </comment>
    <comment ref="AK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75%, 5% slut
Tyttebær: 1%, &lt;10 blomster</t>
        </r>
      </text>
    </comment>
    <comment ref="B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lige ved sti, på den anden side af transekt, længst fra Jomfru Rist, som plot SO1 105</t>
        </r>
      </text>
    </comment>
    <comment ref="AK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18/50 blomster, resten visne
Tyttebær: 2%, slutning</t>
        </r>
      </text>
    </comment>
    <comment ref="B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ved nedre del af 1. høj efter stor blåbærhøj</t>
        </r>
      </text>
    </comment>
    <comment ref="AK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65% blomstring, 5% visne</t>
        </r>
      </text>
    </comment>
    <comment ref="B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græs/revling mosaik foran stor ene</t>
        </r>
      </text>
    </comment>
    <comment ref="AK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
Galium: 25%, slutning</t>
        </r>
      </text>
    </comment>
    <comment ref="B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 og Galium i græs/revling mosaik foran stor ene</t>
        </r>
      </text>
    </comment>
    <comment ref="AK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25%
Galium: 25%, slutning</t>
        </r>
      </text>
    </comment>
    <comment ref="B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 (ikke på skråning), som plot SO1 111, 119, 125</t>
        </r>
      </text>
    </comment>
    <comment ref="AK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18%, 2% slut</t>
        </r>
      </text>
    </comment>
    <comment ref="B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lige ved sti, på den anden side af transekt, længst fra Jomfru Rist, som plot SO1 105</t>
        </r>
      </text>
    </comment>
    <comment ref="AK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18/50 blomster, resten visne
Tyttebær: 2%, slutning</t>
        </r>
      </text>
    </comment>
    <comment ref="B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tæt på vendeplads</t>
        </r>
      </text>
    </comment>
    <comment ref="AK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13/20 blomster, 3 visne</t>
        </r>
      </text>
    </comment>
    <comment ref="B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samling klokkelyng i græsbevoksning forrest i gryden</t>
        </r>
      </text>
    </comment>
    <comment ref="AK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10% slut</t>
        </r>
      </text>
    </comment>
    <comment ref="B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græsbevoksning efter 2. bevoksning</t>
        </r>
      </text>
    </comment>
    <comment ref="AK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Potentilla: ca. 110 blomster, 15%</t>
        </r>
      </text>
    </comment>
    <comment ref="B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med 2. omgang blomster</t>
        </r>
      </text>
    </comment>
    <comment ref="AK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43 blomster, 29 knopper, 20 frugter</t>
        </r>
      </text>
    </comment>
    <comment ref="B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Tormentilpuder i græs/revling mosaik syd for stor blåbærhøj</t>
        </r>
      </text>
    </comment>
    <comment ref="AK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230 blomster, 20%
Tyttebær: 1 blomst, &lt;&lt;1%</t>
        </r>
      </text>
    </comment>
    <comment ref="B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lyngsnerre i græsbevoksning efter 2. bevoksning</t>
        </r>
      </text>
    </comment>
    <comment ref="AK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20%
Potentilla: ca. 110 blomster, 15%</t>
        </r>
      </text>
    </comment>
    <comment ref="B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sydvendt skråning i gryden, lige foran tidligst blomsterende Salix hun</t>
        </r>
      </text>
    </comment>
    <comment ref="AK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 skud, 27 blomster, 20%</t>
        </r>
      </text>
    </comment>
    <comment ref="B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lige efter 2. bevoksning</t>
        </r>
      </text>
    </comment>
    <comment ref="AK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100 blomster, 20%</t>
        </r>
      </text>
    </comment>
    <comment ref="B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vendeplads = eneste GB med blomster</t>
        </r>
      </text>
    </comment>
    <comment ref="AK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10/29 blomster, dog kun 5 med randkroner</t>
        </r>
      </text>
    </comment>
    <comment ref="B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stor klokkelyngbevoksning for fod af bakke efter stor blåbærhøj, som SO1 130(?)</t>
        </r>
      </text>
    </comment>
    <comment ref="AK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50% visne</t>
        </r>
      </text>
    </comment>
    <comment ref="B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lille blåbærhøj, samme som SO1 136</t>
        </r>
      </text>
    </comment>
    <comment ref="AK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71 blomster, 16 knopper, 11 visne, 19 frugter</t>
        </r>
      </text>
    </comment>
    <comment ref="B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mosaik lige efter 2. bevoksning</t>
        </r>
      </text>
    </comment>
    <comment ref="AK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200 blomster, 20%</t>
        </r>
      </text>
    </comment>
    <comment ref="B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siden af skilt (ikke skråning), som SO1 111, 119, 125 og 129</t>
        </r>
      </text>
    </comment>
    <comment ref="AK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35%, 20%slut, 6 skud</t>
        </r>
      </text>
    </comment>
    <comment ref="B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lige før lille blåbærhøj</t>
        </r>
      </text>
    </comment>
    <comment ref="Y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10/41 blomster, 24%
Calluna: 5 blomster, &lt;1%</t>
        </r>
      </text>
    </comment>
    <comment ref="B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ved siden af gravhøj</t>
        </r>
      </text>
    </comment>
    <comment ref="AK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10%
Galium: 15%</t>
        </r>
      </text>
    </comment>
    <comment ref="B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lige før lille blåbærhøj</t>
        </r>
      </text>
    </comment>
    <comment ref="Y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10/41 blomster, 24%
Calluna: 5 blomster, &lt;1%</t>
        </r>
      </text>
    </comment>
    <comment ref="B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Lyngsnerre i græsbevoksning ved siden af gravhøj</t>
        </r>
      </text>
    </comment>
    <comment ref="AK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10%
Galium: 15%</t>
        </r>
      </text>
    </comment>
    <comment ref="B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ved Jomfru Rist sten</t>
        </r>
      </text>
    </comment>
    <comment ref="B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på høj lige før lille bevoksning</t>
        </r>
      </text>
    </comment>
    <comment ref="AK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32 blomster, 30%</t>
        </r>
      </text>
    </comment>
    <comment ref="B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nær 1. blomstrende Salix hun i gryden</t>
        </r>
      </text>
    </comment>
    <comment ref="AK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10%slut</t>
        </r>
      </text>
    </comment>
    <comment ref="B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på nedre del af høj ved 2. bevoksning</t>
        </r>
      </text>
    </comment>
    <comment ref="AK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110 blomster, 15%</t>
        </r>
      </text>
    </comment>
    <comment ref="B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sydskråning ca midt i gryden</t>
        </r>
      </text>
    </comment>
    <comment ref="AK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51 blomster, 25 visne, 74 knopper, 34%</t>
        </r>
      </text>
    </comment>
    <comment ref="B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 skud af gyldenris inde i første blomstrende Salix hun busk i gryden</t>
        </r>
      </text>
    </comment>
    <comment ref="AK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3 skud, 75%, 20% slut</t>
        </r>
      </text>
    </comment>
    <comment ref="B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Guldblomme ved vendeplads, allersidste blomster, samme plot som SO1 142</t>
        </r>
      </text>
    </comment>
    <comment ref="AK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Arnica: 2/22 blomster, 19 visne</t>
        </r>
      </text>
    </comment>
    <comment ref="B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på øvre kant af gryde</t>
        </r>
      </text>
    </comment>
    <comment ref="AK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 blomstring, 5% slut</t>
        </r>
      </text>
    </comment>
    <comment ref="B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gravhøj</t>
        </r>
      </text>
    </comment>
    <comment ref="B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ved lille blåbærhøj</t>
        </r>
      </text>
    </comment>
    <comment ref="AK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80%, 5% slut</t>
        </r>
      </text>
    </comment>
    <comment ref="B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lige efter stor blåbærhøj</t>
        </r>
      </text>
    </comment>
    <comment ref="AK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25%, start</t>
        </r>
      </text>
    </comment>
    <comment ref="B2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lige ved siden af sti</t>
        </r>
      </text>
    </comment>
    <comment ref="AK2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16/56 blomster, 29%, 15% slut</t>
        </r>
      </text>
    </comment>
    <comment ref="B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græs/revling mosaik syd for stor blåbærhøj</t>
        </r>
      </text>
    </comment>
    <comment ref="AK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50%, 5% slut</t>
        </r>
      </text>
    </comment>
    <comment ref="B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foran flad ene</t>
        </r>
      </text>
    </comment>
    <comment ref="AK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54 blomster, 31 knopper, 3 visne, 111 frugter</t>
        </r>
      </text>
    </comment>
    <comment ref="B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foran skilt</t>
        </r>
      </text>
    </comment>
    <comment ref="Y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19/80 blomster, 2 visne</t>
        </r>
      </text>
    </comment>
    <comment ref="B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midt i Salix/rynket rose i gryden</t>
        </r>
      </text>
    </comment>
    <comment ref="AK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5 skud, 70%</t>
        </r>
      </text>
    </comment>
    <comment ref="B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i græsbevoksning foran skilt</t>
        </r>
      </text>
    </comment>
    <comment ref="Y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Gederams: 11/16 skud med blomstring ca. 30%, 20% slut</t>
        </r>
      </text>
    </comment>
    <comment ref="B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lige i nærheden af HL plot</t>
        </r>
      </text>
    </comment>
    <comment ref="AK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17%</t>
        </r>
      </text>
    </comment>
    <comment ref="B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</t>
        </r>
      </text>
    </comment>
    <comment ref="B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midt i th i gryden</t>
        </r>
      </text>
    </comment>
    <comment ref="AK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15%, 30% slut</t>
        </r>
      </text>
    </comment>
    <comment ref="B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ved Jomfru Rist</t>
        </r>
      </text>
    </comment>
    <comment ref="Y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umbellatum: 106 blomster/ca.450, 25%, 5% slut</t>
        </r>
      </text>
    </comment>
    <comment ref="B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Kongepen foran lille blåbærhøj</t>
        </r>
      </text>
    </comment>
    <comment ref="Y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</t>
        </r>
      </text>
    </comment>
    <comment ref="AK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 radicata: 4/25 blomster, 17 visne</t>
        </r>
      </text>
    </comment>
    <comment ref="B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 græsbevoksning tv for skilt</t>
        </r>
      </text>
    </comment>
    <comment ref="AK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85%, 5 skud
Tormentil: 1 blomst, men ingen besøg</t>
        </r>
      </text>
    </comment>
    <comment ref="B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</t>
        </r>
      </text>
    </comment>
    <comment ref="B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forrest i gryden</t>
        </r>
      </text>
    </comment>
    <comment ref="AK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67 blomster, 25% blomstring, 20% slut
Galium: &lt;1%</t>
        </r>
      </text>
    </comment>
    <comment ref="B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Klokkelyng i gryden tæt på førstblomstrende Salix</t>
        </r>
      </text>
    </comment>
    <comment ref="AK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25%, 70% vissen</t>
        </r>
      </text>
    </comment>
    <comment ref="B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 ved 2. bevoksning i retning mod skilt</t>
        </r>
      </text>
    </comment>
    <comment ref="AK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15 blomster, 35 visne, 3 knopper, 5 frugter</t>
        </r>
      </text>
    </comment>
    <comment ref="B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41/c.140 blomster, 30%, 6 visne blomster
Solidago: ca. 30 blomster, 75%</t>
        </r>
      </text>
    </comment>
    <comment ref="B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revling/hedelyng/græs mosaik ved fod af høj med 2. bevoksning</t>
        </r>
      </text>
    </comment>
    <comment ref="AK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125 blomster, 18%</t>
        </r>
      </text>
    </comment>
    <comment ref="B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3 skud, som netop er kommet i blomst i førstblomstrende Salix i gryden</t>
        </r>
      </text>
    </comment>
    <comment ref="B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41/c.140 blomster, 30%, 6 visne blomster
Solidago: ca. 30 blomster, 75%</t>
        </r>
      </text>
    </comment>
    <comment ref="B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bevoksning 1 og 2</t>
        </r>
      </text>
    </comment>
    <comment ref="AK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40%, start</t>
        </r>
      </text>
    </comment>
    <comment ref="B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på gravhøj, ved vej</t>
        </r>
      </text>
    </comment>
    <comment ref="Y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pilosella</t>
        </r>
      </text>
    </comment>
    <comment ref="AK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12%blomstring, 25% visne</t>
        </r>
      </text>
    </comment>
    <comment ref="B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nær tidligere gederams plot ved Jomfru Rist</t>
        </r>
      </text>
    </comment>
    <comment ref="Y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50%
Potentilla: 4 blomster, ca. 5%</t>
        </r>
      </text>
    </comment>
    <comment ref="B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nær tidligere gederams plot ved Jomfru Rist</t>
        </r>
      </text>
    </comment>
    <comment ref="Y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50%
Potentilla: 4 blomster, ca. 5%</t>
        </r>
      </text>
    </comment>
    <comment ref="B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i (førstblomstrende) Salixbevoksning i gryde, som SO1 169</t>
        </r>
      </text>
    </comment>
    <comment ref="B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Enkelte 2. blomstrings tyttebær på lille blåbærhøj på plateau</t>
        </r>
      </text>
    </comment>
    <comment ref="B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mellem skilt og 2. bevoksning i område med mange blomstrende planter</t>
        </r>
      </text>
    </comment>
    <comment ref="B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klokke, 2. store bevoksning ved sti</t>
        </r>
      </text>
    </comment>
    <comment ref="AK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99 blomster, ca. 20%, 20% slut</t>
        </r>
      </text>
    </comment>
    <comment ref="B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revlingbevoksning lige efter 2. bevoksning</t>
        </r>
      </text>
    </comment>
    <comment ref="Y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18%</t>
        </r>
      </text>
    </comment>
    <comment ref="B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Gyldenris i græsbevoksning ud imod stien fra skilt, tæt ved sti</t>
        </r>
      </text>
    </comment>
    <comment ref="AK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Solidago: 50% slut+start</t>
        </r>
      </text>
    </comment>
    <comment ref="B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i bunden af gryden. Smalbladet Høgeurt, Gyldenris og Liden Klokke, næsten som SO1 171</t>
        </r>
      </text>
    </comment>
    <comment ref="Y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42/112 blomster, 38%, 17 visne
Solidago:90%
Campanula: 4/11 blomster</t>
        </r>
      </text>
    </comment>
    <comment ref="B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Gyldenris i græsbevoksning ud imod stien fra skilt, tæt ved sti</t>
        </r>
      </text>
    </comment>
    <comment ref="AK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15 blomster, 10%
Solidago: 50% slut+start</t>
        </r>
      </text>
    </comment>
    <comment ref="B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mellem 2. bevoksning og skilt</t>
        </r>
      </text>
    </comment>
    <comment ref="AK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95% slut
Calluna: 35% blomstring</t>
        </r>
      </text>
    </comment>
    <comment ref="B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2. bevoksning</t>
        </r>
      </text>
    </comment>
    <comment ref="AK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4/80% blomstring af plot
Calluna: 2%</t>
        </r>
      </text>
    </comment>
    <comment ref="B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Klokkeblomster forrest i gryde, som SO1 170</t>
        </r>
      </text>
    </comment>
    <comment ref="AK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45 blomster, 13%, 50% slut</t>
        </r>
      </text>
    </comment>
    <comment ref="B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gederams på stor blåbærhøj</t>
        </r>
      </text>
    </comment>
    <comment ref="Y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20 blomster, 8%
Potentilla: ca. 140 blomster, 15%</t>
        </r>
      </text>
    </comment>
    <comment ref="B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klokkelyng mellem 2. bevoksning og skilt</t>
        </r>
      </text>
    </comment>
    <comment ref="AK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5% blomstring, 95% slut
Calluna: 35% blomstring</t>
        </r>
      </text>
    </comment>
    <comment ref="B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bunden af gryden ved siden af SO1 181</t>
        </r>
      </text>
    </comment>
    <comment ref="Y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35%, extrapolering fra 2/8
Erica: 8 blomster, 5%</t>
        </r>
      </text>
    </comment>
    <comment ref="B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bunden af gryden ved siden af SO1 181</t>
        </r>
      </text>
    </comment>
    <comment ref="Y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35%, extrapolering fra 2/8
Erica: 8 blomster, 5%</t>
        </r>
      </text>
    </comment>
    <comment ref="B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og gederams på stor blåbærhøj</t>
        </r>
      </text>
    </comment>
    <comment ref="Y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20 blomster, 8%
Potentilla: ca. 140 blomster, 15%</t>
        </r>
      </text>
    </comment>
    <comment ref="B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Gyldenris, 3 skud i førstblomstrende Salix i gryde, samme plot som SO1 169</t>
        </r>
      </text>
    </comment>
    <comment ref="B2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2. bevoksning</t>
        </r>
      </text>
    </comment>
    <comment ref="AK2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4/80% blomstring af plot
Calluna: 2%</t>
        </r>
      </text>
    </comment>
    <comment ref="B2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sydside af høj efter stor blåbærhøj</t>
        </r>
      </text>
    </comment>
    <comment ref="AK2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
Tyttebær: 4 blomster, &lt;1%</t>
        </r>
      </text>
    </comment>
    <comment ref="B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Liden klokke forrest i gryden, som SO1 170 og 187</t>
        </r>
      </text>
    </comment>
    <comment ref="AK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2/54 blomster, 4%, 47 visne</t>
        </r>
      </text>
    </comment>
    <comment ref="B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bagved skilt</t>
        </r>
      </text>
    </comment>
    <comment ref="Y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7/67 blomster, start
H.umbellatum: 13% (pop)</t>
        </r>
      </text>
    </comment>
    <comment ref="B2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bagest i gryden</t>
        </r>
      </text>
    </comment>
    <comment ref="AK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80%
Calluna: 20%, start</t>
        </r>
      </text>
    </comment>
    <comment ref="B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bagved skilt</t>
        </r>
      </text>
    </comment>
    <comment ref="Y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7/67 blomster, start
H.umbellatum: 13% (pop)</t>
        </r>
      </text>
    </comment>
    <comment ref="B2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høj efter stor blåbærhøj</t>
        </r>
      </text>
    </comment>
    <comment ref="B2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sydside af høj efter stor blåbærhøj</t>
        </r>
      </text>
    </comment>
    <comment ref="AK2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
Tyttebær: 4 blomster, &lt;1%</t>
        </r>
      </text>
    </comment>
    <comment ref="B2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foran skilt</t>
        </r>
      </text>
    </comment>
    <comment ref="Y2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B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bund af gryden</t>
        </r>
      </text>
    </comment>
    <comment ref="Y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ca.40/ca.300 blomster, 13%</t>
        </r>
      </text>
    </comment>
    <comment ref="B2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revling/græs mosaik foran flad ene</t>
        </r>
      </text>
    </comment>
    <comment ref="AK2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220 blomster, 12%</t>
        </r>
      </text>
    </comment>
    <comment ref="B2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lille blåbærhøj</t>
        </r>
      </text>
    </comment>
    <comment ref="B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mellem 1. og 2. høj før lille blåbærhøj</t>
        </r>
      </text>
    </comment>
    <comment ref="Y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30/107 blomster, 2v
Calluna: 20%, start</t>
        </r>
      </text>
    </comment>
    <comment ref="B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få Engelsk Visse blomster lige efter 2. bevoksning i retning mod skilt</t>
        </r>
      </text>
    </comment>
    <comment ref="AK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17 blomster alle trippede, 11 knopper, 15 visne, 4 fr
Calluna: 70%, 20% slut</t>
        </r>
      </text>
    </comment>
    <comment ref="B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få Engelsk Visse blomster lige efter 2. bevoksning i retning mod skilt</t>
        </r>
      </text>
    </comment>
    <comment ref="AK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17 blomster alle trippede, 11 knopper, 15 visne, 4 fr
Calluna: 70%, 20% slut</t>
        </r>
      </text>
    </comment>
    <comment ref="B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mellem 1. og 2. høj før lille blåbærhøj</t>
        </r>
      </text>
    </comment>
    <comment ref="Y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30/107 blomster, 2v
Calluna: 20%, start</t>
        </r>
      </text>
    </comment>
    <comment ref="B2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skilt på plateau</t>
        </r>
      </text>
    </comment>
    <comment ref="AK2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11/80 blomster, 1 vissen
</t>
        </r>
      </text>
    </comment>
    <comment ref="B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tyttebær i revlingbevoksning efter 2. bevoksning</t>
        </r>
      </text>
    </comment>
    <comment ref="AK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start
Tyttebær: 24 blomster, 10%</t>
        </r>
      </text>
    </comment>
    <comment ref="B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skrænt bag skilt, næsten som SO1 193</t>
        </r>
      </text>
    </comment>
    <comment ref="Y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28/95 blomster, 29%, 0 visne
H. umbellata: 2/26 blomster, 8 visne</t>
        </r>
      </text>
    </comment>
    <comment ref="B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ved skrænt bag skilt, næsten som SO1 193</t>
        </r>
      </text>
    </comment>
    <comment ref="Y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28/95 blomster, 29%, 0 visne
H. umbellata: 2/26 blomster, 8 visne</t>
        </r>
      </text>
    </comment>
    <comment ref="B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tyttebær i revlingbevoksning efter 2. bevoksning</t>
        </r>
      </text>
    </comment>
    <comment ref="AK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start
Tyttebær: 24 blomster, 10%</t>
        </r>
      </text>
    </comment>
    <comment ref="B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bagest i gryden</t>
        </r>
      </text>
    </comment>
    <comment ref="AK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65%, 30% slut</t>
        </r>
      </text>
    </comment>
    <comment ref="B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ud mod vej</t>
        </r>
      </text>
    </comment>
    <comment ref="Y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25% Epilobium angustifolium + 3% syre</t>
        </r>
      </text>
    </comment>
    <comment ref="AK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30% blomster, 40% slut</t>
        </r>
      </text>
    </comment>
    <comment ref="B2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Engelsk Visse, sidste blomster, ved mosebølle busk efter 2. bevoksning</t>
        </r>
      </text>
    </comment>
    <comment ref="AK2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G. anglica: 9 blomster, 7 visne, 4 knopper, 10 frugter, 30% af blomster, 10% af dækning
Tyttebær: 1 blomst, &lt;1%</t>
        </r>
      </text>
    </comment>
    <comment ref="B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ud for 2. bevoksning</t>
        </r>
      </text>
    </comment>
    <comment ref="Y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110 blomster, 13%</t>
        </r>
      </text>
    </comment>
    <comment ref="B2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og Djævelsbid ved sti tæt på gryde</t>
        </r>
      </text>
    </comment>
    <comment ref="AK2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5 skud, slutning
Succisa: 13/64 blomster, 8 visne</t>
        </r>
      </text>
    </comment>
    <comment ref="B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ved skilt, næsten som SO1 193 og 203</t>
        </r>
      </text>
    </comment>
    <comment ref="Y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32/132 blomster, 4 visne</t>
        </r>
      </text>
    </comment>
    <comment ref="B2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Gyldenris og Djævelsbid ved sti tæt på gryde</t>
        </r>
      </text>
    </comment>
    <comment ref="AK2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20%, 5 skud, slutning
Succisa: 13/64 blomster, 8 visne</t>
        </r>
      </text>
    </comment>
    <comment ref="B2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1. høj efter stor blåbærhøj</t>
        </r>
      </text>
    </comment>
    <comment ref="B2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før stor blåbærhøj</t>
        </r>
      </text>
    </comment>
    <comment ref="Y2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18/79 blomster, 27 visne
Calluna: 25%</t>
        </r>
      </text>
    </comment>
    <comment ref="B2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Smalbladet Høgeurt i græsbevoksning før stor blåbærhøj</t>
        </r>
      </text>
    </comment>
    <comment ref="Y2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umbellatum: 18/79 blomster, 27 visne
Calluna: 25%</t>
        </r>
      </text>
    </comment>
    <comment ref="B2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gryden</t>
        </r>
      </text>
    </comment>
    <comment ref="B2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mellem 2. bevoksning og skilt</t>
        </r>
      </text>
    </comment>
    <comment ref="AK2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80 blomster, 10%</t>
        </r>
      </text>
    </comment>
    <comment ref="B2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ved skilt, næsten som SO1 193, 203, 205</t>
        </r>
      </text>
    </comment>
    <comment ref="Y2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Hieracium umbellatum</t>
        </r>
      </text>
    </comment>
    <comment ref="AK2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38/ca.150 blomster, 25%, 49 visne</t>
        </r>
      </text>
    </comment>
    <comment ref="B2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bag 2. bevoksning</t>
        </r>
      </text>
    </comment>
    <comment ref="B2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i gryden</t>
        </r>
      </text>
    </comment>
    <comment ref="B2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skråning nedenfor skilt, næsten som SO1 193, 203, 205 og 214</t>
        </r>
      </text>
    </comment>
    <comment ref="Y2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17/64 blomster, 27%, 34 visne</t>
        </r>
      </text>
    </comment>
    <comment ref="B2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Liden Klokke i græsbevoksning forrest i gryden</t>
        </r>
      </text>
    </comment>
    <comment ref="AK2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4/39 blomster, 35 visne
Calluna: 15%, 75% slut</t>
        </r>
      </text>
    </comment>
    <comment ref="B2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</t>
        </r>
      </text>
    </comment>
    <comment ref="AK2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20% blomstring, 80% slut</t>
        </r>
      </text>
    </comment>
    <comment ref="B2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og Liden Klokke i græsbevoksning forrest i gryden</t>
        </r>
      </text>
    </comment>
    <comment ref="AK2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Campanula: 4/39 blomster, 35 visne
Calluna: 15%, 75% slut</t>
        </r>
      </text>
    </comment>
    <comment ref="B2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mellem 1. høj efter stor blåbærhøj og sti</t>
        </r>
      </text>
    </comment>
    <comment ref="Y2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 angustifolium</t>
        </r>
      </text>
    </comment>
    <comment ref="AK2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125 blomster, 6%</t>
        </r>
      </text>
    </comment>
    <comment ref="B2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lille blåbærhøj (tættest ved sti)</t>
        </r>
      </text>
    </comment>
    <comment ref="AK2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22/69 blomster, 32%, 41 visne</t>
        </r>
      </text>
    </comment>
    <comment ref="B2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Tyttebærbevoksning bagved 2. bevoksning tættest mod skilt</t>
        </r>
      </text>
    </comment>
    <comment ref="B2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blåbærhøj, samme plot som SO1 223</t>
        </r>
      </text>
    </comment>
    <comment ref="B2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revling/græsbevoksning på bagsie af stor blåbærhøj</t>
        </r>
      </text>
    </comment>
    <comment ref="AK2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49 blomster, 5%</t>
        </r>
      </text>
    </comment>
    <comment ref="B2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2. høj foran lille blåbærhøj</t>
        </r>
      </text>
    </comment>
    <comment ref="AK2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14/38 blomster, 37%, 19 visne</t>
        </r>
      </text>
    </comment>
    <comment ref="B2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Hedelyng på høj foran lille blåbærhøj, samme plot som SO1 223 og 226</t>
        </r>
      </text>
    </comment>
    <comment ref="B3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græsbevoksning nedenfor 1. høj efter stor blåbærhøj, næsten som SO1 220</t>
        </r>
      </text>
    </comment>
    <comment ref="AK3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250 blomster, 10%</t>
        </r>
      </text>
    </comment>
    <comment ref="B3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længst mod sti på lille blåbærhøj, næsten samme plot som SO1 219</t>
        </r>
      </text>
    </comment>
    <comment ref="AK3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 11/56 blomster, 45 visne</t>
        </r>
      </text>
    </comment>
    <comment ref="B3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Sidste tyttebær lige efter 2. bevoksning</t>
        </r>
      </text>
    </comment>
    <comment ref="B3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hedelyng/græs bevoksning lige ved siden af SO1 232</t>
        </r>
      </text>
    </comment>
    <comment ref="AK3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8%
Calluna: 1%</t>
        </r>
      </text>
    </comment>
    <comment ref="B3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hedelyng/græs bevoksning lige ved siden af SO1 232</t>
        </r>
      </text>
    </comment>
    <comment ref="AK3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ca. 30 blomster, 8%
Calluna: 1%</t>
        </r>
      </text>
    </comment>
    <comment ref="B3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Djævelsbid på høj foran lille blåbærhøj, samme plot som SO1 225</t>
        </r>
      </text>
    </comment>
    <comment ref="AK3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Succisa:5/35 blomster, 9%, 30 visne</t>
        </r>
      </text>
    </comment>
    <comment ref="B3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bag 2. bevoksning</t>
        </r>
      </text>
    </comment>
    <comment ref="B3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ved 2. bevoksning ud mod sti</t>
        </r>
      </text>
    </comment>
    <comment ref="AK3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blomster, 6%</t>
        </r>
      </text>
    </comment>
    <comment ref="B3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 aller aller sidste hedelyngblomster mellem de 2 bevoksninger</t>
        </r>
      </text>
    </comment>
    <comment ref="B3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i græs/revling bevoksning nedenfor 1. høj efter stor blåbærhøj ud mod sti</t>
        </r>
      </text>
    </comment>
    <comment ref="AK3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11 blomster, 2%</t>
        </r>
      </text>
    </comment>
    <comment ref="B3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Tormentil mellem 2. bevoksning og skilt</t>
        </r>
      </text>
    </comment>
    <comment ref="AK3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 blomster = de allersidste i pop</t>
        </r>
      </text>
    </comment>
    <comment ref="B3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af vestlige gravhøj</t>
        </r>
      </text>
    </comment>
    <comment ref="B3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stykke mellem de to høje</t>
        </r>
      </text>
    </comment>
    <comment ref="B3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fladt terræn nærmere NØ høj</t>
        </r>
      </text>
    </comment>
    <comment ref="B3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skråning af fjerne gravhøj</t>
        </r>
      </text>
    </comment>
    <comment ref="B3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 m dække af hedelyng og revling</t>
        </r>
      </text>
    </comment>
    <comment ref="B3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foran østlige gravhøj. Revlingbevoksning omgivet af mosebølle</t>
        </r>
      </text>
    </comment>
    <comment ref="B3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plant område nær midt mosebøllebevoksning</t>
        </r>
      </text>
    </comment>
    <comment ref="B3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lige nedenfor vestlige gravhøj</t>
        </r>
      </text>
    </comment>
    <comment ref="B3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den største vissebusk i Femhøje</t>
        </r>
      </text>
    </comment>
    <comment ref="B3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på forreste gravhøj</t>
        </r>
      </text>
    </comment>
    <comment ref="O3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med knopper</t>
        </r>
      </text>
    </comment>
  </commentList>
</comments>
</file>

<file path=xl/comments3.xml><?xml version="1.0" encoding="utf-8"?>
<comments xmlns="http://schemas.openxmlformats.org/spreadsheetml/2006/main">
  <authors>
    <author>Yoko Dupont</author>
    <author>Yoko Luise Dupont</author>
  </authors>
  <commentList>
    <comment ref="G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I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J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G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Q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aurita male</t>
        </r>
      </text>
    </comment>
    <comment ref="AG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1%, næsten alt pollen høstet</t>
        </r>
      </text>
    </comment>
    <comment ref="AG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med pollen, 50% blomstring</t>
        </r>
      </text>
    </comment>
    <comment ref="AG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med pollen</t>
        </r>
      </text>
    </comment>
    <comment ref="G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25%, start</t>
        </r>
      </text>
    </comment>
    <comment ref="AG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enkelte blomster trippede</t>
        </r>
      </text>
    </comment>
    <comment ref="AG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pollen, 20% knopper</t>
        </r>
      </text>
    </comment>
    <comment ref="AG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visne</t>
        </r>
      </text>
    </comment>
    <comment ref="AG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start</t>
        </r>
      </text>
    </comment>
    <comment ref="G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slut</t>
        </r>
      </text>
    </comment>
    <comment ref="AG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G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G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70% slut, Vmyr med 2-3 blomster</t>
        </r>
      </text>
    </comment>
    <comment ref="G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70% slut, Vmyr med 2-3 blomster</t>
        </r>
      </text>
    </comment>
    <comment ref="G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G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slut</t>
        </r>
      </text>
    </comment>
    <comment ref="G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AG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slut</t>
        </r>
      </text>
    </comment>
    <comment ref="AG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J37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2 to 3</t>
        </r>
      </text>
    </comment>
    <comment ref="AG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slut</t>
        </r>
      </text>
    </comment>
    <comment ref="AG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AG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P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hun
2% han</t>
        </r>
      </text>
    </comment>
    <comment ref="P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hun
2% han</t>
        </r>
      </text>
    </comment>
    <comment ref="G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AG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V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
</t>
        </r>
      </text>
    </comment>
    <comment ref="V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
</t>
        </r>
      </text>
    </comment>
    <comment ref="AG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blomstring 20%, knopper ser ud til at være visne, måske fordi det ikke har regnet længe</t>
        </r>
      </text>
    </comment>
    <comment ref="AG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blomstring 20%, knopper ser ud til at være visne, måske fordi det ikke har regnet længe</t>
        </r>
      </text>
    </comment>
    <comment ref="AG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H. pilosella: 14 blomster, 30%?</t>
        </r>
      </text>
    </comment>
    <comment ref="J58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G58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75% slut</t>
        </r>
      </text>
    </comment>
    <comment ref="AG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V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V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 humilis</t>
        </r>
      </text>
    </comment>
    <comment ref="AG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3 blomster
Galium: start</t>
        </r>
      </text>
    </comment>
    <comment ref="AE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AG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12 blomster
Salix repens hun: afblomstret</t>
        </r>
      </text>
    </comment>
    <comment ref="AG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 blomster
Vvit+Salix+Trientalis: 0 blomster</t>
        </r>
      </text>
    </comment>
    <comment ref="AG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 blomster
Vvit+Salix+Trientalis: 0 blomster</t>
        </r>
      </text>
    </comment>
    <comment ref="AG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V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V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V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Scorzonera: 1 blomst</t>
        </r>
      </text>
    </comment>
    <comment ref="AG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 blomster, 5%</t>
        </r>
      </text>
    </comment>
    <comment ref="AG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</t>
        </r>
      </text>
    </comment>
    <comment ref="AG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</t>
        </r>
      </text>
    </comment>
    <comment ref="J91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E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blomster, 30%
Vvit: slutning</t>
        </r>
      </text>
    </comment>
    <comment ref="J92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E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 blomster, 30%
Vvit: slutning</t>
        </r>
      </text>
    </comment>
    <comment ref="AE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blomst, 10%</t>
        </r>
      </text>
    </comment>
    <comment ref="AE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blomst, 10%</t>
        </r>
      </text>
    </comment>
    <comment ref="AG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</t>
        </r>
      </text>
    </comment>
    <comment ref="AG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</t>
        </r>
      </text>
    </comment>
    <comment ref="AG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G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G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AE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9 blomster</t>
        </r>
      </text>
    </comment>
    <comment ref="AE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9 blomster</t>
        </r>
      </text>
    </comment>
    <comment ref="AG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
Vvit: slutning</t>
        </r>
      </text>
    </comment>
    <comment ref="AG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
Vvit: slutning</t>
        </r>
      </text>
    </comment>
    <comment ref="AE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17 blomster
Trientalis: 1 blomst</t>
        </r>
      </text>
    </comment>
    <comment ref="AG1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17 blomster
Trientalis: 1 blomst</t>
        </r>
      </text>
    </comment>
    <comment ref="AG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27 blomster</t>
        </r>
      </text>
    </comment>
    <comment ref="AG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13 blomster</t>
        </r>
      </text>
    </comment>
    <comment ref="AG1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 af blomstring</t>
        </r>
      </text>
    </comment>
    <comment ref="V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</t>
        </r>
      </text>
    </comment>
    <comment ref="AG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6 blomster, 14 knopper, 4 visne
Galium: slutning</t>
        </r>
      </text>
    </comment>
    <comment ref="U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</t>
        </r>
      </text>
    </comment>
    <comment ref="AG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Hypochoeris: 6 blomster, 14 knopper, 4 visne
Galium: slutning</t>
        </r>
      </text>
    </comment>
    <comment ref="AG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13/80 blomster
Potentilla: 8 blomster</t>
        </r>
      </text>
    </comment>
    <comment ref="AG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13/80 blomster
Potentilla: 8 blomster</t>
        </r>
      </text>
    </comment>
    <comment ref="AG1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blomstringsperiode start</t>
        </r>
      </text>
    </comment>
    <comment ref="AG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16 flowers
Trientalis: 1 flower</t>
        </r>
      </text>
    </comment>
    <comment ref="AG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8 flowers</t>
        </r>
      </text>
    </comment>
    <comment ref="AG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8 flowers</t>
        </r>
      </text>
    </comment>
    <comment ref="AG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AG1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start på 2. blomstring</t>
        </r>
      </text>
    </comment>
    <comment ref="AG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peak
</t>
        </r>
      </text>
    </comment>
    <comment ref="AG1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18/67 blomster, 31 visne</t>
        </r>
      </text>
    </comment>
    <comment ref="AG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20% slut</t>
        </r>
      </text>
    </comment>
    <comment ref="AG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30% blomstring, 50% slut</t>
        </r>
      </text>
    </comment>
    <comment ref="AG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33 blomster</t>
        </r>
      </text>
    </comment>
    <comment ref="AG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Genista: 28 blomster, 2. blomstringsrunde</t>
        </r>
      </text>
    </comment>
    <comment ref="AE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40% slut</t>
        </r>
      </text>
    </comment>
    <comment ref="AG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J157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3</t>
        </r>
      </text>
    </comment>
    <comment ref="AG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c. 150 blomster</t>
        </r>
      </text>
    </comment>
    <comment ref="AG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blomstring, 20% slut</t>
        </r>
      </text>
    </comment>
    <comment ref="AE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AG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 skud, 80% slut</t>
        </r>
      </text>
    </comment>
    <comment ref="AG1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 skud: 90% (10% slut) + 50% (30% slut)</t>
        </r>
      </text>
    </comment>
    <comment ref="AE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 blomster, 1 vissen, 11 knopper</t>
        </r>
      </text>
    </comment>
    <comment ref="AG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51 blomster</t>
        </r>
      </text>
    </comment>
    <comment ref="AG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blomstring, 50% slut</t>
        </r>
      </text>
    </comment>
    <comment ref="AG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44 blomster</t>
        </r>
      </text>
    </comment>
    <comment ref="AG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44 blomster</t>
        </r>
      </text>
    </comment>
    <comment ref="AG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25% blomstring, 40% slut</t>
        </r>
      </text>
    </comment>
    <comment ref="AG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60% start</t>
        </r>
      </text>
    </comment>
    <comment ref="AE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Populus, vissen
</t>
        </r>
      </text>
    </comment>
    <comment ref="AG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2 skud, 50%, 50% slut
Calluna: knopper</t>
        </r>
      </text>
    </comment>
    <comment ref="AG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Callluna: start
Genista anglica: slutning</t>
        </r>
      </text>
    </comment>
    <comment ref="AG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Callluna: start
Genista anglica: slutning</t>
        </r>
      </text>
    </comment>
    <comment ref="M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&lt;1%</t>
        </r>
      </text>
    </comment>
    <comment ref="AG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50% slut</t>
        </r>
      </text>
    </comment>
    <comment ref="AG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10% slut</t>
        </r>
      </text>
    </comment>
    <comment ref="AG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5%, 22 blomster</t>
        </r>
      </text>
    </comment>
    <comment ref="AG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21 blomster
Calluna: start</t>
        </r>
      </text>
    </comment>
    <comment ref="AG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21 blomster
Calluna: start</t>
        </r>
      </text>
    </comment>
    <comment ref="AG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start</t>
        </r>
      </text>
    </comment>
    <comment ref="R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knopper</t>
        </r>
      </text>
    </comment>
    <comment ref="AG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10% slut</t>
        </r>
      </text>
    </comment>
    <comment ref="AG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32 blomster</t>
        </r>
      </text>
    </comment>
    <comment ref="AG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
Calluna: 25% start</t>
        </r>
      </text>
    </comment>
    <comment ref="AG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23 blomster
Calluna: 25% start</t>
        </r>
      </text>
    </comment>
    <comment ref="AG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24 blomster, 10%</t>
        </r>
      </text>
    </comment>
    <comment ref="AG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AE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1%, slutning
Calluna: 60%, 10% slut</t>
        </r>
      </text>
    </comment>
    <comment ref="AG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Genista anglica: 1%, slutning
Calluna: 60%, 10% slut</t>
        </r>
      </text>
    </comment>
    <comment ref="AG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77 blomster</t>
        </r>
      </text>
    </comment>
    <comment ref="AE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Vvit: 5 blomster = 5%</t>
        </r>
      </text>
    </comment>
    <comment ref="AG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50%, start
Vvit: 5 blomster = 5%</t>
        </r>
      </text>
    </comment>
    <comment ref="AE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J200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1</t>
        </r>
      </text>
    </comment>
    <comment ref="AG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 blomstring, 10% slut</t>
        </r>
      </text>
    </comment>
    <comment ref="AG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33 blomster
</t>
        </r>
      </text>
    </comment>
    <comment ref="AG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14 blomster
Calluna: 45% start</t>
        </r>
      </text>
    </comment>
    <comment ref="AG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14 blomster
Calluna: 45% start</t>
        </r>
      </text>
    </comment>
    <comment ref="AE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E2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2%, 96% slut
HL: 45% start</t>
        </r>
      </text>
    </comment>
    <comment ref="AG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1%, 98% slut
HL: 70%, 10% slut</t>
        </r>
      </text>
    </comment>
    <comment ref="AG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1%, 98% slut
HL: 70%, 10% slut</t>
        </r>
      </text>
    </comment>
    <comment ref="AG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8%, dækning med blomster 6% ialt</t>
        </r>
      </text>
    </comment>
    <comment ref="AG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85%, 5% slut
Tytte: ingen blomster</t>
        </r>
      </text>
    </comment>
    <comment ref="G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G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25 blomster, 8%</t>
        </r>
      </text>
    </comment>
    <comment ref="AG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37 blomster, 10%</t>
        </r>
      </text>
    </comment>
    <comment ref="G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GR: 65%, 5% slut
HL: 50%, 45% slut</t>
        </r>
      </text>
    </comment>
    <comment ref="G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GR: 65%, 5% slut
HL: 50%, 45% slut</t>
        </r>
      </text>
    </comment>
    <comment ref="AE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70%, 15% slut</t>
        </r>
      </text>
    </comment>
    <comment ref="AE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70%, 15% slut</t>
        </r>
      </text>
    </comment>
    <comment ref="AG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20% slut
G.anglica: 5%, total dækning med blomster 2%</t>
        </r>
      </text>
    </comment>
    <comment ref="AG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20% slut
G.anglica: 5%, total dækning med blomster 2%</t>
        </r>
      </text>
    </comment>
    <comment ref="G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E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63 blomster, 10%</t>
        </r>
      </text>
    </comment>
    <comment ref="AG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8%, dækning med blomster 6% ialt</t>
        </r>
      </text>
    </comment>
    <comment ref="AE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15% slut</t>
        </r>
      </text>
    </comment>
    <comment ref="AE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10%
HL: 65%, 35% slut
</t>
        </r>
      </text>
    </comment>
    <comment ref="AE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10%
HL: 65%, 35% slut
</t>
        </r>
      </text>
    </comment>
    <comment ref="AG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blomster, 10%
HL: 50% blomstring, 40% slut</t>
        </r>
      </text>
    </comment>
    <comment ref="AG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18 blomster, 10%
HL: 50% blomstring, 40% slut</t>
        </r>
      </text>
    </comment>
    <comment ref="AG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
HL: 25% blomstring</t>
        </r>
      </text>
    </comment>
    <comment ref="AG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
HL: 25% blomstring</t>
        </r>
      </text>
    </comment>
    <comment ref="G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G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AE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G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40%, 50% slut
KL: 3%, 17 blomsterstande
Tytte: 0 blomster</t>
        </r>
      </text>
    </comment>
    <comment ref="AG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40%, 50% slut
KL: 3%, 17 blomsterstande
Tytte: 0 blomster</t>
        </r>
      </text>
    </comment>
    <comment ref="AE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E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GR: 70%, 20% slut</t>
        </r>
      </text>
    </comment>
    <comment ref="AG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 blomstring, 5% slut
Vvit: ingen blomster</t>
        </r>
      </text>
    </comment>
    <comment ref="AG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31 blomster, 10%</t>
        </r>
      </text>
    </comment>
    <comment ref="J240" authorId="1" shapeId="0">
      <text>
        <r>
          <rPr>
            <b/>
            <sz val="9"/>
            <color indexed="81"/>
            <rFont val="Tahoma"/>
            <charset val="1"/>
          </rPr>
          <t>Yoko Luise Dupont:</t>
        </r>
        <r>
          <rPr>
            <sz val="9"/>
            <color indexed="81"/>
            <rFont val="Tahoma"/>
            <charset val="1"/>
          </rPr>
          <t xml:space="preserve">
to 4</t>
        </r>
      </text>
    </comment>
    <comment ref="AG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9% blomstring, 26 blomster</t>
        </r>
      </text>
    </comment>
    <comment ref="AE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70% start</t>
        </r>
      </text>
    </comment>
    <comment ref="AE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70% start</t>
        </r>
      </text>
    </comment>
    <comment ref="AE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5%, resten slut
GR: 60%, 30% slut</t>
        </r>
      </text>
    </comment>
    <comment ref="AE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5%, resten slut
GR: 60%, 30% slut</t>
        </r>
      </text>
    </comment>
    <comment ref="AE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 blomstring, 1,5% dækning
HL: 40%, 40% slut</t>
        </r>
      </text>
    </comment>
    <comment ref="AE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 blomstring, 1,5% dækning
HL: 40%, 40% slut</t>
        </r>
      </text>
    </comment>
    <comment ref="AG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Gang:2%
HL: 45%, 50% slut</t>
        </r>
      </text>
    </comment>
    <comment ref="AG2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Gang:2%
HL: 45%, 50% slut</t>
        </r>
      </text>
    </comment>
    <comment ref="AG2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10%, 26 blomster</t>
        </r>
      </text>
    </comment>
    <comment ref="AG2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blomstring 5%, 2% af dækning
HL: 45%, 45% slut</t>
        </r>
      </text>
    </comment>
    <comment ref="AG2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blomstring 5%, 2% af dækning
HL: 45%, 45% slut</t>
        </r>
      </text>
    </comment>
    <comment ref="AE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25%, ca. 2,5% dækning</t>
        </r>
      </text>
    </comment>
    <comment ref="AG2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5%, 95% slut</t>
        </r>
      </text>
    </comment>
    <comment ref="AG2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3%, 97% slut
HL: 5%, 95% slut</t>
        </r>
      </text>
    </comment>
    <comment ref="AG2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 blomster, 5% dækning
HL: 50%, 50% slut</t>
        </r>
      </text>
    </comment>
    <comment ref="AG2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 blomster, 5% dækning
HL: 50%, 50% slut</t>
        </r>
      </text>
    </comment>
    <comment ref="AG2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80% start</t>
        </r>
      </text>
    </comment>
    <comment ref="AG2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8% blomstring
HL: 35%, 65% slut</t>
        </r>
      </text>
    </comment>
    <comment ref="AG2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9 blomster, 8% blomstring
HL: 35%, 65% slut</t>
        </r>
      </text>
    </comment>
    <comment ref="AG2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36 blomster, 8%
</t>
        </r>
      </text>
    </comment>
    <comment ref="AG2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16 blomster
HL: 25%, 75% slut</t>
        </r>
      </text>
    </comment>
    <comment ref="AG2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16 blomster
HL: 25%, 75% slut</t>
        </r>
      </text>
    </comment>
    <comment ref="AE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50%, 40% slut</t>
        </r>
      </text>
    </comment>
    <comment ref="AE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Solidago: 60%, 40% slut
Calluna: 50%, 40% slut</t>
        </r>
      </text>
    </comment>
    <comment ref="AE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45%, 55% slut</t>
        </r>
      </text>
    </comment>
    <comment ref="AE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45%, 55% slut</t>
        </r>
      </text>
    </comment>
    <comment ref="AG2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HL:25% blomstring, 70% slut</t>
        </r>
      </text>
    </comment>
    <comment ref="G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skyer</t>
        </r>
      </text>
    </comment>
    <comment ref="AG2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6%, 26 blomster</t>
        </r>
      </text>
    </comment>
    <comment ref="AE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25%, 70% slut</t>
        </r>
      </text>
    </comment>
    <comment ref="AE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2%, resten slut
GR: 25%, 70% slut</t>
        </r>
      </text>
    </comment>
    <comment ref="G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G2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5%, 6 blomster
HL: 7%, 93% slut</t>
        </r>
      </text>
    </comment>
    <comment ref="G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G2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5%, 6 blomster
HL: 7%, 93% slut</t>
        </r>
      </text>
    </comment>
    <comment ref="G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skyer og sol</t>
        </r>
      </text>
    </comment>
    <comment ref="AE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35% slut
Tytte: ingen blomster</t>
        </r>
      </text>
    </comment>
    <comment ref="AG2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HL:15%, 85%slut</t>
        </r>
      </text>
    </comment>
    <comment ref="AE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G2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
Tytte: ingen blomster</t>
        </r>
      </text>
    </comment>
    <comment ref="AG2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Potentilla: 7%, 30 blomster</t>
        </r>
      </text>
    </comment>
  </commentList>
</comments>
</file>

<file path=xl/comments4.xml><?xml version="1.0" encoding="utf-8"?>
<comments xmlns="http://schemas.openxmlformats.org/spreadsheetml/2006/main">
  <authors>
    <author>Yoko Dupont</author>
  </authors>
  <commentList>
    <comment ref="H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 m above ground</t>
        </r>
      </text>
    </comment>
    <comment ref="J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clouds
1 = few clouds
2 = sunny and cloudy (more sunny than cloudy)
3 = cloudy and sunny (more cloudy than sunny)
4 = cloudy, little sun (solstrejf)
5 = cloudy
</t>
        </r>
      </text>
    </comment>
    <comment ref="K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0 = no wind
1 = almost none
2 = light wind
3 = windy
4 = strong wind</t>
        </r>
      </text>
    </comment>
    <comment ref="B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 plot i Calluna bevoksning på top af bakken</t>
        </r>
      </text>
    </comment>
    <comment ref="B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revling, halvvejs nede ad bakke</t>
        </r>
      </text>
    </comment>
    <comment ref="B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lidt længere nede ad skråning, ovenfor mb bevoksning</t>
        </r>
      </text>
    </comment>
    <comment ref="B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på den nederste del af bakken</t>
        </r>
      </text>
    </comment>
    <comment ref="B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revling/tyttebærbevoksning mod top af bakke</t>
        </r>
      </text>
    </comment>
    <comment ref="B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blåbærdal</t>
        </r>
      </text>
    </comment>
    <comment ref="AK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blomstring &lt;1%
</t>
        </r>
      </text>
    </comment>
    <comment ref="B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blåbærslugt, ca midt i</t>
        </r>
      </text>
    </comment>
    <comment ref="B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Salix repens kløft (modsatte side af S. repens)</t>
        </r>
      </text>
    </comment>
    <comment ref="H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gennemsnit af sol og skygge</t>
        </r>
      </text>
    </comment>
    <comment ref="B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blåbærslugt, lav blåbærbevoksning under træ</t>
        </r>
      </text>
    </comment>
    <comment ref="B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blåbærslugt</t>
        </r>
      </text>
    </comment>
    <comment ref="AK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 af blomstring</t>
        </r>
      </text>
    </comment>
    <comment ref="B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 i blåærslugt, under et egetræ, delvist i skygge</t>
        </r>
      </text>
    </comment>
    <comment ref="B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plot som HL11</t>
        </r>
      </text>
    </comment>
    <comment ref="B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vestsiden af blåbærslugt, i lysåbent omr., tuer af blåbær blandet med Calluna</t>
        </r>
      </text>
    </comment>
    <comment ref="AF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gammel stub</t>
        </r>
      </text>
    </comment>
    <comment ref="B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midt i blåbærslugt, i tæt blåbærbevoksning, lidt i skygge</t>
        </r>
      </text>
    </comment>
    <comment ref="B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samme som HL9</t>
        </r>
      </text>
    </comment>
    <comment ref="B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V.uliginosum på top af bakke</t>
        </r>
      </text>
    </comment>
    <comment ref="B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mod top af bakke
</t>
        </r>
      </text>
    </comment>
    <comment ref="AK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10% start</t>
        </r>
      </text>
    </comment>
    <comment ref="B19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Blåbær på vejen hen mod blåbærslugt</t>
        </r>
      </text>
    </comment>
    <comment ref="AJ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og en blomst af Vvit &lt;1% blomstring</t>
        </r>
      </text>
    </comment>
    <comment ref="B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i blåbærslugt under et af træerne</t>
        </r>
      </text>
    </comment>
    <comment ref="B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top af bakke</t>
        </r>
      </text>
    </comment>
    <comment ref="AK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5%slut</t>
        </r>
      </text>
    </comment>
    <comment ref="B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</t>
        </r>
      </text>
    </comment>
    <comment ref="AK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15% slut</t>
        </r>
      </text>
    </comment>
    <comment ref="B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Høj Salix repens han i Salix slugt</t>
        </r>
      </text>
    </comment>
    <comment ref="AK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25% blomst, 25% slut
Vvit: 0%</t>
        </r>
      </text>
    </comment>
    <comment ref="B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blåbærbevoksning i Salix kløft</t>
        </r>
      </text>
    </comment>
    <comment ref="Y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species unknown</t>
        </r>
      </text>
    </comment>
    <comment ref="AK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5% slut, 
Trientalis: 5 blomster/250 planter</t>
        </r>
      </text>
    </comment>
    <comment ref="B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blåbærbevoksning i Salix kløft</t>
        </r>
      </text>
    </comment>
    <comment ref="Y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species unknown</t>
        </r>
      </text>
    </comment>
    <comment ref="AK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5% slut, 
Trientalis: 5 blomster/250 planter</t>
        </r>
      </text>
    </comment>
    <comment ref="B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vejen mellem Salix og blåbærslugt</t>
        </r>
      </text>
    </comment>
    <comment ref="AK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2-3 blomster = 5%
Vulig: 5% slut
Vvit: med knopper</t>
        </r>
      </text>
    </comment>
    <comment ref="B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vejen mellem Salix og blåbærslugt</t>
        </r>
      </text>
    </comment>
    <comment ref="AK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2-3 blomster = 5%
Vulig: 5% slut
Vvit: med knopper</t>
        </r>
      </text>
    </comment>
    <comment ref="B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mest udsprungne Vvit på transekt i Vmyr/Vulig bevoksning</t>
        </r>
      </text>
    </comment>
    <comment ref="AK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20 blomster
Vulig: 10% slut
Vmyr: 60% slut</t>
        </r>
      </text>
    </comment>
    <comment ref="B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tæt blåbærbevoksning under 1. træ i blåbærslugt</t>
        </r>
      </text>
    </comment>
    <comment ref="AK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20% slut</t>
        </r>
      </text>
    </comment>
    <comment ref="B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på top af bakke</t>
        </r>
      </text>
    </comment>
    <comment ref="AK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10% slut</t>
        </r>
      </text>
    </comment>
    <comment ref="B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hun, blåbær og mb øverst i Salix slugt, som plot HL21</t>
        </r>
      </text>
    </comment>
    <comment ref="AK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70% slut</t>
        </r>
      </text>
    </comment>
    <comment ref="B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i Salix slugt</t>
        </r>
      </text>
    </comment>
    <comment ref="AF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50% eg, 50% bævreasp</t>
        </r>
      </text>
    </comment>
    <comment ref="AK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enkelte blomster
Trientalis: 1 blomst</t>
        </r>
      </text>
    </comment>
    <comment ref="B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lige nedenfor Salix repens han i Salix slugt</t>
        </r>
      </text>
    </comment>
    <comment ref="B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lige nedenfor Salix repens han i Salix slugt</t>
        </r>
      </text>
    </comment>
    <comment ref="B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blåbærbevoksning under træ i Salix kløft</t>
        </r>
      </text>
    </comment>
    <comment ref="B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blåbærbevoksning under træ i Salix kløft</t>
        </r>
      </text>
    </comment>
    <comment ref="B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blåbær, 1 m fra plot HL31, men på E-vendt skråning</t>
        </r>
      </text>
    </comment>
    <comment ref="B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blåbær, 1 m fra plot HL31, men på E-vendt skråning</t>
        </r>
      </text>
    </comment>
    <comment ref="B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bakke lige før blåbærkløft</t>
        </r>
      </text>
    </comment>
    <comment ref="AF47" authorId="0" shapeId="0">
      <text>
        <r>
          <rPr>
            <b/>
            <sz val="10"/>
            <color indexed="81"/>
            <rFont val="Tahoma"/>
          </rPr>
          <t xml:space="preserve">Yoko Dupont
</t>
        </r>
        <r>
          <rPr>
            <sz val="10"/>
            <color indexed="81"/>
            <rFont val="Tahoma"/>
            <family val="2"/>
          </rPr>
          <t>Populus</t>
        </r>
      </text>
    </comment>
    <comment ref="AK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40% slut
Vvit: start</t>
        </r>
      </text>
    </comment>
    <comment ref="B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bakke lige før blåbærkløft</t>
        </r>
      </text>
    </comment>
    <comment ref="AF48" authorId="0" shapeId="0">
      <text>
        <r>
          <rPr>
            <b/>
            <sz val="10"/>
            <color indexed="81"/>
            <rFont val="Tahoma"/>
          </rPr>
          <t xml:space="preserve">Yoko Dupont
</t>
        </r>
        <r>
          <rPr>
            <sz val="10"/>
            <color indexed="81"/>
            <rFont val="Tahoma"/>
            <family val="2"/>
          </rPr>
          <t>Populus</t>
        </r>
      </text>
    </comment>
    <comment ref="AK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Vmyr: 40% slut
Vvit: start</t>
        </r>
      </text>
    </comment>
    <comment ref="B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under træ i Salix slugt</t>
        </r>
      </text>
    </comment>
    <comment ref="B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Blåbær under træ i Salix slugt</t>
        </r>
      </text>
    </comment>
    <comment ref="B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han på nederste del af skråning</t>
        </r>
      </text>
    </comment>
    <comment ref="B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skråning mellem Salix slugt of blåbærslugt</t>
        </r>
      </text>
    </comment>
    <comment ref="AF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skråning mellem Salix slugt of blåbærslugt</t>
        </r>
      </text>
    </comment>
    <comment ref="AF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nede i Salix slugt</t>
        </r>
      </text>
    </comment>
    <comment ref="AK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Salix: mod slutning
mb: ingen blomster</t>
        </r>
      </text>
    </comment>
    <comment ref="B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tyttebærdomineret bakke</t>
        </r>
      </text>
    </comment>
    <comment ref="AF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Skovstjerne: 1 blomst, 1%
Vmyr: 6 blomser, 5%</t>
        </r>
      </text>
    </comment>
    <comment ref="B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lidt længere nede ad "tyttebærbakken"</t>
        </r>
      </text>
    </comment>
    <comment ref="AK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 blomster</t>
        </r>
      </text>
    </comment>
    <comment ref="B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Tyttebær/Skovstjerne under eg ved hegn</t>
        </r>
      </text>
    </comment>
    <comment ref="AE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nedfaldsblade</t>
        </r>
      </text>
    </comment>
    <comment ref="AK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 blomster</t>
        </r>
      </text>
    </comment>
    <comment ref="B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Tyttebær/Skovstjerne under eg ved hegn</t>
        </r>
      </text>
    </comment>
    <comment ref="AE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nedfaldsblade</t>
        </r>
      </text>
    </comment>
    <comment ref="AK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4 blomster</t>
        </r>
      </text>
    </comment>
    <comment ref="B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mb ved nedgang til Salix slugt</t>
        </r>
      </text>
    </comment>
    <comment ref="Y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Maianthemum</t>
        </r>
      </text>
    </comment>
    <comment ref="AK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6 blomster
Vulig: slutning
Vvit: start</t>
        </r>
      </text>
    </comment>
    <comment ref="B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nederst i Salix slugt</t>
        </r>
      </text>
    </comment>
    <comment ref="AF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Populus
5% Rubus</t>
        </r>
      </text>
    </comment>
    <comment ref="AK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
Galium: 5%, start
Vulig: 5% slut
Vvit: 70% peak</t>
        </r>
      </text>
    </comment>
    <comment ref="B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15/65 blomster</t>
        </r>
      </text>
    </comment>
    <comment ref="B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</t>
        </r>
      </text>
    </comment>
    <comment ref="Y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Populus
1% Betula</t>
        </r>
      </text>
    </comment>
    <comment ref="AK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56 blomster
Vvit: 3 blomster</t>
        </r>
      </text>
    </comment>
    <comment ref="B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</t>
        </r>
      </text>
    </comment>
    <comment ref="Y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1% Populus
1% Betula</t>
        </r>
      </text>
    </comment>
    <comment ref="AK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56 blomster
Vvit: 3 blomster</t>
        </r>
      </text>
    </comment>
    <comment ref="B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nær ved Salix tættest på banen</t>
        </r>
      </text>
    </comment>
    <comment ref="B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16 blomster</t>
        </r>
      </text>
    </comment>
    <comment ref="B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skovstjerne på tyttebærbakke</t>
        </r>
      </text>
    </comment>
    <comment ref="AF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16 blomster</t>
        </r>
      </text>
    </comment>
    <comment ref="B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på nedre del af bakke</t>
        </r>
      </text>
    </comment>
    <comment ref="B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Salix repens hun på nedre del af bakke</t>
        </r>
      </text>
    </comment>
    <comment ref="B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i blåbærkløft (stor bevoksning)</t>
        </r>
      </text>
    </comment>
    <comment ref="B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hegn</t>
        </r>
      </text>
    </comment>
    <comment ref="AF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 på skovstjernebakke</t>
        </r>
      </text>
    </comment>
    <comment ref="AK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79 blomster, 30%</t>
        </r>
      </text>
    </comment>
    <comment ref="B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blåbærslugt på skovstjernebakke</t>
        </r>
      </text>
    </comment>
    <comment ref="AK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79 blomster, 30%</t>
        </r>
      </text>
    </comment>
    <comment ref="B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på skovstjernebakke i blåbærkløft</t>
        </r>
      </text>
    </comment>
    <comment ref="Y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blomster, 5%
Melampyrum: 25% start</t>
        </r>
      </text>
    </comment>
    <comment ref="B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på skovstjernebakke i blåbærkløft</t>
        </r>
      </text>
    </comment>
    <comment ref="Y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5 blomster, 5%
Melampyrum: 25% start</t>
        </r>
      </text>
    </comment>
    <comment ref="B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plot i blåbærkløft, samme plot som HL48</t>
        </r>
      </text>
    </comment>
    <comment ref="B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tyttebærskråning</t>
        </r>
      </text>
    </comment>
    <comment ref="Y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tyttebærskråning</t>
        </r>
      </text>
    </comment>
    <comment ref="Y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i stor bevoksning i blåbærkløft, som HL48</t>
        </r>
      </text>
    </comment>
    <comment ref="AK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Galium: start/peak</t>
        </r>
      </text>
    </comment>
    <comment ref="B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HL klynge på skovstjerneskråning</t>
        </r>
      </text>
    </comment>
    <comment ref="B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eg ved hegn</t>
        </r>
      </text>
    </comment>
    <comment ref="AK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B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eg ved hegn</t>
        </r>
      </text>
    </comment>
    <comment ref="AK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2 blomster
Vvit: slutning</t>
        </r>
      </text>
    </comment>
    <comment ref="B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tyttebærbakke</t>
        </r>
      </text>
    </comment>
    <comment ref="Y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HL bevoksning, samme plot som HL55</t>
        </r>
      </text>
    </comment>
    <comment ref="AK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31/220 blomster</t>
        </r>
      </text>
    </comment>
    <comment ref="B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lige ved det sumpede midtområde i blåbærkløft</t>
        </r>
      </text>
    </comment>
    <comment ref="B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kohvedebevoksning under eg i blåbærkløft</t>
        </r>
      </text>
    </comment>
    <comment ref="Y1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pratense: 35%
Maianthemum bifolium: 5%</t>
        </r>
      </text>
    </comment>
    <comment ref="B1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Galium, stor bevoksning i blåbærkløft</t>
        </r>
      </text>
    </comment>
    <comment ref="B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plateau ved hegn</t>
        </r>
      </text>
    </comment>
    <comment ref="AF1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ved hegn, samme plot som HL 62</t>
        </r>
      </text>
    </comment>
    <comment ref="AF1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i blåbærbevoksning under stor ene</t>
        </r>
      </text>
    </comment>
    <comment ref="Y1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B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den anden side af stor ene</t>
        </r>
      </text>
    </comment>
    <comment ref="Y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F1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30% Betula
2% Populus</t>
        </r>
      </text>
    </comment>
    <comment ref="B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og kohvede på tyttebærbakke, samme plot som HL57</t>
        </r>
      </text>
    </comment>
    <comment ref="Y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 pratense</t>
        </r>
      </text>
    </comment>
    <comment ref="AK1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Trientalis: 1 blomst</t>
        </r>
      </text>
    </comment>
    <comment ref="B1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 enkelt plante af GR øverst på skovstjernebakke</t>
        </r>
      </text>
    </comment>
    <comment ref="B1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eg i blåbærkløft</t>
        </r>
      </text>
    </comment>
    <comment ref="B1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tættest på KL ved fugtigt midt område i blåbærkløft</t>
        </r>
      </text>
    </comment>
    <comment ref="B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tæt på banen, midt i tyttebærbevoksning</t>
        </r>
      </text>
    </comment>
    <comment ref="AK1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slutning
Erica: start</t>
        </r>
      </text>
    </comment>
    <comment ref="B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tæt på banen, midt i tyttebærbevoksning</t>
        </r>
      </text>
    </comment>
    <comment ref="AK1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slutning
Erica: start</t>
        </r>
      </text>
    </comment>
    <comment ref="B1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midt i blåbærkløft, forholdsvis stor bevoksning</t>
        </r>
      </text>
    </comment>
    <comment ref="B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revlingbevoksning på tyttebærbakke</t>
        </r>
      </text>
    </comment>
    <comment ref="Y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B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Skovstjerne i revlingbevoksning på tyttebærbakke</t>
        </r>
      </text>
    </comment>
    <comment ref="Y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
</t>
        </r>
      </text>
    </comment>
    <comment ref="B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mellem mb og Salix kløft, på plateau</t>
        </r>
      </text>
    </comment>
    <comment ref="AK1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B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halvvejs nede af skråning med stor ene</t>
        </r>
      </text>
    </comment>
    <comment ref="Y1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GR, samme plot som HL67</t>
        </r>
      </text>
    </comment>
    <comment ref="B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under træ på skovstjernebakke</t>
        </r>
      </text>
    </comment>
    <comment ref="Y1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midt i blåbærbevoksning bag eg på skovstjernebakke</t>
        </r>
      </text>
    </comment>
    <comment ref="AF1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 nær bane</t>
        </r>
      </text>
    </comment>
    <comment ref="B1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</t>
        </r>
      </text>
    </comment>
    <comment ref="B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mellem lave birketræer under ene</t>
        </r>
      </text>
    </comment>
    <comment ref="Y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 and Populus</t>
        </r>
      </text>
    </comment>
    <comment ref="B1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midt i HL bevoksning nær Salix på nedre del af skråning</t>
        </r>
      </text>
    </comment>
    <comment ref="B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tyttebær på nedre del af skråning</t>
        </r>
      </text>
    </comment>
    <comment ref="AF1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tyttebær på nedre del af skråning</t>
        </r>
      </text>
    </comment>
    <comment ref="AF1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Galium på nedre del af skråning, nær bane</t>
        </r>
      </text>
    </comment>
    <comment ref="AK1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slutning</t>
        </r>
      </text>
    </comment>
    <comment ref="B1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tyttebærbevoksning mellem eg og bane på nedre del af skråning</t>
        </r>
      </text>
    </comment>
    <comment ref="B1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tyttebærbevoksning mellem eg og bane på nedre del af skråning</t>
        </r>
      </text>
    </comment>
    <comment ref="B131" authorId="0" shapeId="0">
      <text>
        <r>
          <rPr>
            <b/>
            <sz val="10"/>
            <color indexed="81"/>
            <rFont val="Tahoma"/>
          </rPr>
          <t xml:space="preserve">Yoko Dupont:
</t>
        </r>
        <r>
          <rPr>
            <sz val="10"/>
            <color indexed="81"/>
            <rFont val="Tahoma"/>
            <family val="2"/>
          </rPr>
          <t>GR på skovstjernebakke, samme plot som HL75</t>
        </r>
      </text>
    </comment>
    <comment ref="B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i blåbærkløft</t>
        </r>
      </text>
    </comment>
    <comment ref="Y1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ved hjulspor på nedre del af bakke</t>
        </r>
      </text>
    </comment>
    <comment ref="B1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</t>
        </r>
      </text>
    </comment>
    <comment ref="B1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HL bevoksning på nedre del af skråning</t>
        </r>
      </text>
    </comment>
    <comment ref="B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blomster, 20% slut
Calluna: 20% start</t>
        </r>
      </text>
    </comment>
    <comment ref="B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 blomster, 20% slut
Calluna: 20% start</t>
        </r>
      </text>
    </comment>
    <comment ref="B1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GR, samme plot som HL75</t>
        </r>
      </text>
    </comment>
    <comment ref="B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nedenfor stor ene</t>
        </r>
      </text>
    </comment>
    <comment ref="Y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AF1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B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på bakke med stor ene</t>
        </r>
      </text>
    </comment>
    <comment ref="Y1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Melampyrum</t>
        </r>
      </text>
    </comment>
    <comment ref="B1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</t>
        </r>
      </text>
    </comment>
    <comment ref="B1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kohvede mellem tyttebærbakke og skovstjernebakke</t>
        </r>
      </text>
    </comment>
    <comment ref="B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kløft i forlængelse af blåkløft</t>
        </r>
      </text>
    </comment>
    <comment ref="AK1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Erica:blomstring 50%, 40% slut</t>
        </r>
      </text>
    </comment>
    <comment ref="B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øvre del af nedre skråning</t>
        </r>
      </text>
    </comment>
    <comment ref="AF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start
Erica: 50% blomstring, 20% slut</t>
        </r>
      </text>
    </comment>
    <comment ref="B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øvre del af nedre skråning</t>
        </r>
      </text>
    </comment>
    <comment ref="AF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start
Erica: 50% blomstring, 20% slut</t>
        </r>
      </text>
    </comment>
    <comment ref="B1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bevoksning på nedre del af skråning, tæt ved banen</t>
        </r>
      </text>
    </comment>
    <comment ref="AK1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40% estimeret fra blomstringsdata</t>
        </r>
      </text>
    </comment>
    <comment ref="B1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bakke, nær KL</t>
        </r>
      </text>
    </comment>
    <comment ref="B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Blomstrende HL nedenfor stor ene</t>
        </r>
      </text>
    </comment>
    <comment ref="AF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på skovstjernebakke</t>
        </r>
      </text>
    </comment>
    <comment ref="Y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</t>
        </r>
      </text>
    </comment>
    <comment ref="AK1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7 skud, 40%, 10% slut</t>
        </r>
      </text>
    </comment>
    <comment ref="B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nederste del af bakke</t>
        </r>
      </text>
    </comment>
    <comment ref="AK15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 blomster, 40% visne</t>
        </r>
      </text>
    </comment>
    <comment ref="B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nederste del af bakke</t>
        </r>
      </text>
    </comment>
    <comment ref="AK15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50% blomster, 40% visne</t>
        </r>
      </text>
    </comment>
    <comment ref="B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Gederams på skovstjerne bakke, samme plot som HL101</t>
        </r>
      </text>
    </comment>
    <comment ref="Y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</t>
        </r>
      </text>
    </comment>
    <comment ref="AK15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Epilobium: 7 skud, 40%, 15% slut</t>
        </r>
      </text>
    </comment>
    <comment ref="B15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skråning</t>
        </r>
      </text>
    </comment>
    <comment ref="B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KL, på nedre del af skråning mellem HL</t>
        </r>
      </text>
    </comment>
    <comment ref="AK15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50% slut
Calluna: 10%, start</t>
        </r>
      </text>
    </comment>
    <comment ref="B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KL, på nedre del af skråning mellem HL</t>
        </r>
      </text>
    </comment>
    <comment ref="AK15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40%, 50% slut
Calluna: 10%, start</t>
        </r>
      </text>
    </comment>
    <comment ref="B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ved hjulspor på nedre del af skråning</t>
        </r>
      </text>
    </comment>
    <comment ref="AK15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35%, 65% slut</t>
        </r>
      </text>
    </comment>
    <comment ref="B1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ved hjulspor på nedre del af skråning</t>
        </r>
      </text>
    </comment>
    <comment ref="AK15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35%, 65% slut</t>
        </r>
      </text>
    </comment>
    <comment ref="B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nedre del af skråning nær bane og træ</t>
        </r>
      </text>
    </comment>
    <comment ref="AK15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25%, 70% slut
HL: 0%
</t>
        </r>
      </text>
    </comment>
    <comment ref="B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nedenfor stor ene</t>
        </r>
      </text>
    </comment>
    <comment ref="AF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5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 blomster, 20% slut</t>
        </r>
      </text>
    </comment>
    <comment ref="B1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busk på nederste del af skråning ved fyr</t>
        </r>
      </text>
    </comment>
    <comment ref="AK16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75% slut
Calluna: 5%</t>
        </r>
      </text>
    </comment>
    <comment ref="B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stor KL busk på nederste del af skråning ved fyr</t>
        </r>
      </text>
    </comment>
    <comment ref="AK16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20%, 75% slut
Calluna: 5%</t>
        </r>
      </text>
    </comment>
    <comment ref="B16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nederste del af skråning, nær banen</t>
        </r>
      </text>
    </comment>
    <comment ref="B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6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5% slut
KL: 15%, 85% slut</t>
        </r>
      </text>
    </comment>
    <comment ref="B1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KL på nedre del af skråning</t>
        </r>
      </text>
    </comment>
    <comment ref="AK16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5% slut
KL: 15%, 85% slut</t>
        </r>
      </text>
    </comment>
    <comment ref="B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lille klynge af KL i forlængelse af blåbærkløft, lige nedenfor blåbærslugt</t>
        </r>
      </text>
    </comment>
    <comment ref="AF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16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65%, 30% slut</t>
        </r>
      </text>
    </comment>
    <comment ref="B16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ved låge</t>
        </r>
      </text>
    </comment>
    <comment ref="B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ved nedgang til Salix kløft</t>
        </r>
      </text>
    </comment>
    <comment ref="AF16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revlingbevoksning under stor ene (andet plot end det sædvanlige!)</t>
        </r>
      </text>
    </comment>
    <comment ref="AK16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5% slut</t>
        </r>
      </text>
    </comment>
    <comment ref="B16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revling/tyttebær/HL bevoksning ned mod skovstjernebakke</t>
        </r>
      </text>
    </comment>
    <comment ref="B17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nederste del af skråning</t>
        </r>
      </text>
    </comment>
    <comment ref="B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top af kløft med Salix</t>
        </r>
      </text>
    </comment>
    <comment ref="AF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75%, 5% slut</t>
        </r>
      </text>
    </comment>
    <comment ref="B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skråning med stor ene</t>
        </r>
      </text>
    </comment>
    <comment ref="AK17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start</t>
        </r>
      </text>
    </comment>
    <comment ref="B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tyttebærskråning</t>
        </r>
      </text>
    </comment>
    <comment ref="AK17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skovstjernebakke</t>
        </r>
      </text>
    </comment>
    <comment ref="AK17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90%, 5% slut</t>
        </r>
      </text>
    </comment>
    <comment ref="B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næsten nede ved bane</t>
        </r>
      </text>
    </comment>
    <comment ref="AK17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10% visne</t>
        </r>
      </text>
    </comment>
    <comment ref="B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på top af skråning</t>
        </r>
      </text>
    </comment>
    <comment ref="AK17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70%, 20% slut</t>
        </r>
      </text>
    </comment>
    <comment ref="B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kløft</t>
        </r>
      </text>
    </comment>
    <comment ref="AF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Quercus</t>
        </r>
      </text>
    </comment>
    <comment ref="AK17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bevoksning med tyttebærXmb hybrid i Salix kløft</t>
        </r>
      </text>
    </comment>
    <comment ref="M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bevoksning med tyttebærXmb hybrid i Salix kløft</t>
        </r>
      </text>
    </comment>
    <comment ref="M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7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tyttebærbakke</t>
        </r>
      </text>
    </comment>
    <comment ref="AK18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80%, 5% slut</t>
        </r>
      </text>
    </comment>
    <comment ref="B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skovstjernebakke</t>
        </r>
      </text>
    </comment>
    <comment ref="AK18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90%, 10% slut
Vvit: ingen blomster</t>
        </r>
      </text>
    </comment>
    <comment ref="B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nedre del af skråning</t>
        </r>
      </text>
    </comment>
    <comment ref="AK18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 blomster, 6 blomsterstande, 5 blomster/stand)
HL: 60% blomster, 30% afblomstret</t>
        </r>
      </text>
    </comment>
    <comment ref="B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HL på nedre del af skråning</t>
        </r>
      </text>
    </comment>
    <comment ref="AK18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2% blomster, 6 blomsterstande, 5 blomster/stand)
HL: 60% blomster, 30% afblomstret</t>
        </r>
      </text>
    </comment>
    <comment ref="B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HL125 igen</t>
        </r>
      </text>
    </comment>
    <comment ref="M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HL125 igen</t>
        </r>
      </text>
    </comment>
    <comment ref="M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25 blomster (50% knopper, 50% blomster = 20% dækning med blomster)</t>
        </r>
      </text>
    </comment>
    <comment ref="B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</t>
        </r>
      </text>
    </comment>
    <comment ref="AK18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start</t>
        </r>
      </text>
    </comment>
    <comment ref="B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generations tyttebær i Salix kløft</t>
        </r>
      </text>
    </comment>
    <comment ref="AK18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 start
Vvit: 20%, 37 blomster</t>
        </r>
      </text>
    </comment>
    <comment ref="B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2. generations tyttebær i Salix kløft</t>
        </r>
      </text>
    </comment>
    <comment ref="AK18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45% start
Vvit: 20%, 37 blomster</t>
        </r>
      </text>
    </comment>
    <comment ref="B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hybrid i Salix kløft, samme som HL125</t>
        </r>
      </text>
    </comment>
    <comment ref="M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8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10 blomster (7% dækning med blomster)</t>
        </r>
      </text>
    </comment>
    <comment ref="B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hybrid i Salix kløft, samme som HL125</t>
        </r>
      </text>
    </comment>
    <comment ref="M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hybrid: vitis-idaeaXuliginosum, ligner mest vitis-idaea</t>
        </r>
      </text>
    </comment>
    <comment ref="AF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Vaccinium: ca. 10 blomster (7% dækning med blomster)</t>
        </r>
      </text>
    </comment>
    <comment ref="B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tyttebærskråning, midt i HL bevoksning</t>
        </r>
      </text>
    </comment>
    <comment ref="AF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85%, 10% slut</t>
        </r>
      </text>
    </comment>
    <comment ref="B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tyttebærbakke</t>
        </r>
      </text>
    </comment>
    <comment ref="AK19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30% blomster, 30% dækning</t>
        </r>
      </text>
    </comment>
    <comment ref="B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 på tyttebærskråning</t>
        </r>
      </text>
    </comment>
    <comment ref="AF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30% blomstring =6-7 blomster pr % dækning</t>
        </r>
      </text>
    </comment>
    <comment ref="B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i HL bevoksning på skovstjernebakke</t>
        </r>
      </text>
    </comment>
    <comment ref="AK19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10% blomstring, svarer til 4% dækning ialt</t>
        </r>
      </text>
    </comment>
    <comment ref="B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i HL bevoksning på skovstjernebakke</t>
        </r>
      </text>
    </comment>
    <comment ref="AK19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10% blomstring, svarer til 4% dækning ialt</t>
        </r>
      </text>
    </comment>
    <comment ref="B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Salix slugt</t>
        </r>
      </text>
    </comment>
    <comment ref="AF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75%, 20% slut
Tytte: 30%</t>
        </r>
      </text>
    </comment>
    <comment ref="B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Salix slugt</t>
        </r>
      </text>
    </comment>
    <comment ref="AF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19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75%, 20% slut
Tytte: 30%</t>
        </r>
      </text>
    </comment>
    <comment ref="B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skråning med stor ene</t>
        </r>
      </text>
    </comment>
    <comment ref="AK19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45%, 35% slut</t>
        </r>
      </text>
    </comment>
    <comment ref="B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tyttebærskråning</t>
        </r>
      </text>
    </comment>
    <comment ref="AK19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Tyttebær: 15% blomstring = 10% af total dækning</t>
        </r>
      </text>
    </comment>
    <comment ref="B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F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0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55%, 30% slut
Tytte: 10% = 5% af total dækning</t>
        </r>
      </text>
    </comment>
    <comment ref="B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F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0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55%, 30% slut
Tytte: 10% = 5% af total dækning</t>
        </r>
      </text>
    </comment>
    <comment ref="B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tyttebærskråning, andet plot</t>
        </r>
      </text>
    </comment>
    <comment ref="AK20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 blomstring, 70% slut
Tytte: 35%</t>
        </r>
      </text>
    </comment>
    <comment ref="B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tyttebærskråning, andet plot</t>
        </r>
      </text>
    </comment>
    <comment ref="AK20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 blomstring, 70% slut
Tytte: 35%</t>
        </r>
      </text>
    </comment>
    <comment ref="B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lidt HL på nedre del af skråning</t>
        </r>
      </text>
    </comment>
    <comment ref="AK20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5% (35 blomsterstande), 95% slut
HL: 35% blomster, 65% slut</t>
        </r>
      </text>
    </comment>
    <comment ref="B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og lidt HL på nedre del af skråning</t>
        </r>
      </text>
    </comment>
    <comment ref="AK20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5% (35 blomsterstande), 95% slut
HL: 35% blomster, 65% slut</t>
        </r>
      </text>
    </comment>
    <comment ref="B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revling/tyttebærbevoksning mellem tyttebærskråning og skovstjerneskråning</t>
        </r>
      </text>
    </comment>
    <comment ref="AK20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50% blomstring, 45% slut</t>
        </r>
      </text>
    </comment>
    <comment ref="B2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skråning, tæt på mb</t>
        </r>
      </text>
    </comment>
    <comment ref="AK20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 blomstring, 5% slut</t>
        </r>
      </text>
    </comment>
    <comment ref="B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nedre del af tyttebærbakke</t>
        </r>
      </text>
    </comment>
    <comment ref="AK20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15% blomstring, dækning 5% ialt</t>
        </r>
      </text>
    </comment>
    <comment ref="B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nedre del af tyttebærbakke</t>
        </r>
      </text>
    </comment>
    <comment ref="AK20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15% blomstring, dækning 5% ialt</t>
        </r>
      </text>
    </comment>
    <comment ref="B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K21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10% blomstring, 5% dækning</t>
        </r>
      </text>
    </comment>
    <comment ref="B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K21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10% blomstring, 5% dækning</t>
        </r>
      </text>
    </comment>
    <comment ref="B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Endnu et sted på tyttebærbakke</t>
        </r>
      </text>
    </comment>
    <comment ref="AF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 blomstring, 10% dækning</t>
        </r>
      </text>
    </comment>
    <comment ref="B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på plateau under skråning ved fyr</t>
        </r>
      </text>
    </comment>
    <comment ref="AK21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KL: 10%, 90% slut</t>
        </r>
      </text>
    </comment>
    <comment ref="B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mellem skovstjernebakke og tyttebærbakke</t>
        </r>
      </text>
    </comment>
    <comment ref="AF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70%, 20% slut</t>
        </r>
      </text>
    </comment>
    <comment ref="B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</t>
        </r>
      </text>
    </comment>
    <comment ref="AF21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B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slugt, nederst</t>
        </r>
      </text>
    </comment>
    <comment ref="AF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1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80%, 5% slut</t>
        </r>
      </text>
    </comment>
    <comment ref="B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top af Salix kløft</t>
        </r>
      </text>
    </comment>
    <comment ref="AK21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60%, 40% slut</t>
        </r>
      </text>
    </comment>
    <comment ref="B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øvre del af Salix kløft</t>
        </r>
      </text>
    </comment>
    <comment ref="AK21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Vvit:15%, svarer til 3% dækning
HL: 50%, 50% slut</t>
        </r>
      </text>
    </comment>
    <comment ref="B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i øvre del af Salix kløft</t>
        </r>
      </text>
    </comment>
    <comment ref="AK21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Vvit:15%, svarer til 3% dækning
HL: 50%, 50% slut</t>
        </r>
      </text>
    </comment>
    <comment ref="B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nedre del af Salix kløft</t>
        </r>
      </text>
    </comment>
    <comment ref="O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F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VvitXVulig: 5 blomster, 1%
Calluna: 60%, 30% slut</t>
        </r>
      </text>
    </comment>
    <comment ref="B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nedre del af Salix kløft</t>
        </r>
      </text>
    </comment>
    <comment ref="O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F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VvitXVulig: 5 blomster, 1%
Calluna: 60%, 30% slut</t>
        </r>
      </text>
    </comment>
    <comment ref="B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tyttebær på nedre del af tyttebærskråning</t>
        </r>
      </text>
    </comment>
    <comment ref="AF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5% dækning</t>
        </r>
      </text>
    </comment>
    <comment ref="B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og tyttebær på nedre del af tyttebærskråning</t>
        </r>
      </text>
    </comment>
    <comment ref="AF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5% dækning</t>
        </r>
      </text>
    </comment>
    <comment ref="B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plot, lidt længere nede ad tyttebærbakke</t>
        </r>
      </text>
    </comment>
    <comment ref="AF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ca. 10% af dækning
Calluna: 50%, 25% slut</t>
        </r>
      </text>
    </comment>
    <comment ref="B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andet plot, lidt længere nede ad tyttebærbakke</t>
        </r>
      </text>
    </comment>
    <comment ref="AF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2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15%, ca. 10% af dækning
Calluna: 50%, 25% slut</t>
        </r>
      </text>
    </comment>
    <comment ref="B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lidt HL ved nedgang til Salix kløft</t>
        </r>
      </text>
    </comment>
    <comment ref="AF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22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15%, 85% slut
Tytte: 10%, 3% dækning</t>
        </r>
      </text>
    </comment>
    <comment ref="B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lidt HL ved nedgang til Salix kløft</t>
        </r>
      </text>
    </comment>
    <comment ref="AF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Betula</t>
        </r>
      </text>
    </comment>
    <comment ref="AK22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15%, 85% slut
Tytte: 10%, 3% dækning</t>
        </r>
      </text>
    </comment>
    <comment ref="B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</t>
        </r>
      </text>
    </comment>
    <comment ref="AK22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50%, 50% slut
Tytte: 0 blomster</t>
        </r>
      </text>
    </comment>
    <comment ref="B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skråning, tæt på mb</t>
        </r>
      </text>
    </comment>
    <comment ref="AK22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25%, 75% slut</t>
        </r>
      </text>
    </comment>
    <comment ref="B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ved nedgang til Salix slugt</t>
        </r>
      </text>
    </comment>
    <comment ref="AF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5% Betula
2% Populus</t>
        </r>
      </text>
    </comment>
    <comment ref="AK23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pop 25%</t>
        </r>
      </text>
    </comment>
    <comment ref="B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</t>
        </r>
      </text>
    </comment>
    <comment ref="AF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3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20% blomstring, 15% dækning</t>
        </r>
      </text>
    </comment>
    <comment ref="B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K23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
HL: 40%, 60% slut</t>
        </r>
      </text>
    </comment>
    <comment ref="B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og HL på tyttebærbakke</t>
        </r>
      </text>
    </comment>
    <comment ref="AK23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15%
HL: 40%, 60% slut</t>
        </r>
      </text>
    </comment>
    <comment ref="B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midt i tyttebærbevoksning inde i HL bevoksning på nederste del af skråning</t>
        </r>
      </text>
    </comment>
    <comment ref="AK23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1% blomstring</t>
        </r>
      </text>
    </comment>
    <comment ref="B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midt i tyttebærbevoksning inde i HL bevoksning på nederste del af skråning</t>
        </r>
      </text>
    </comment>
    <comment ref="AK23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60%, 40% slut
Tytte: 1% blomstring</t>
        </r>
      </text>
    </comment>
    <comment ref="B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nedre del af skråning i tyttebærbevoksning</t>
        </r>
      </text>
    </comment>
    <comment ref="AK23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2%, 98% slut
Vvit: 1 blomst = &lt;1% blomstring</t>
        </r>
      </text>
    </comment>
    <comment ref="B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KL i nedre del af skråning i tyttebærbevoksning</t>
        </r>
      </text>
    </comment>
    <comment ref="AK23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Erica: 2%, 98% slut
Vvit: 1 blomst = &lt;1% blomstring</t>
        </r>
      </text>
    </comment>
    <comment ref="B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mellem nedre skråning og blåbærkløft</t>
        </r>
      </text>
    </comment>
    <comment ref="AK23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HL:35%, 65% slut</t>
        </r>
      </text>
    </comment>
    <comment ref="B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tyttebærbakke (nyt plot)</t>
        </r>
      </text>
    </comment>
    <comment ref="AK23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Tytte: 12% blomstring, 9% dækning</t>
        </r>
      </text>
    </comment>
    <comment ref="B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nede i Salix kløft</t>
        </r>
      </text>
    </comment>
    <comment ref="O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VvitXVulig</t>
        </r>
      </text>
    </comment>
    <comment ref="AK240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</t>
        </r>
      </text>
    </comment>
    <comment ref="B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plateau over skråning</t>
        </r>
      </text>
    </comment>
    <comment ref="AK241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Calluna: 25%, 75%</t>
        </r>
      </text>
    </comment>
    <comment ref="B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nedre del af tyttebærbakke</t>
        </r>
      </text>
    </comment>
    <comment ref="H242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sol</t>
        </r>
      </text>
    </comment>
    <comment ref="B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nedre del af skråning</t>
        </r>
      </text>
    </comment>
    <comment ref="AK243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50%, 50% slut</t>
        </r>
      </text>
    </comment>
    <comment ref="B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et andet sted på tyttebærbakke</t>
        </r>
      </text>
    </comment>
    <comment ref="AF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44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Vvit: blomstring 5%, 3 % dækning</t>
        </r>
      </text>
    </comment>
    <comment ref="B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</t>
        </r>
      </text>
    </comment>
    <comment ref="AK245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30%, 70% slut
Tytte: 0 blomster</t>
        </r>
      </text>
    </comment>
    <comment ref="B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på bakke med stor ene, som HL172</t>
        </r>
      </text>
    </comment>
    <comment ref="AK246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
Tytte: 0 blomster</t>
        </r>
      </text>
    </comment>
    <comment ref="B247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tyttebærskråning</t>
        </r>
      </text>
    </comment>
    <comment ref="B248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Tyttebær på skråning med stor ene</t>
        </r>
      </text>
    </comment>
    <comment ref="B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 i Salix kløft</t>
        </r>
      </text>
    </comment>
    <comment ref="AF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Populus</t>
        </r>
      </text>
    </comment>
    <comment ref="AK249" authorId="0" shapeId="0">
      <text>
        <r>
          <rPr>
            <b/>
            <sz val="10"/>
            <color indexed="81"/>
            <rFont val="Tahoma"/>
          </rPr>
          <t>Yoko Dupont:</t>
        </r>
        <r>
          <rPr>
            <sz val="10"/>
            <color indexed="81"/>
            <rFont val="Tahoma"/>
          </rPr>
          <t xml:space="preserve">
HL: 10%, 90% slut</t>
        </r>
      </text>
    </comment>
  </commentList>
</comments>
</file>

<file path=xl/sharedStrings.xml><?xml version="1.0" encoding="utf-8"?>
<sst xmlns="http://schemas.openxmlformats.org/spreadsheetml/2006/main" count="4524" uniqueCount="975">
  <si>
    <t>Plot</t>
  </si>
  <si>
    <t>Date</t>
  </si>
  <si>
    <t>Aspect</t>
  </si>
  <si>
    <t>Time_start</t>
  </si>
  <si>
    <t>Time_end</t>
  </si>
  <si>
    <t>Temperature</t>
  </si>
  <si>
    <t>Humidity</t>
  </si>
  <si>
    <t>Cloud cover</t>
  </si>
  <si>
    <t>Wind category</t>
  </si>
  <si>
    <t>Empetrum nigrum</t>
  </si>
  <si>
    <t>Vaccinium vitis-idaea</t>
  </si>
  <si>
    <t>Vaccinium myrtillus</t>
  </si>
  <si>
    <t>Vaccinium uliginosum</t>
  </si>
  <si>
    <t>Genista anglica</t>
  </si>
  <si>
    <t>Calluna vulgaris</t>
  </si>
  <si>
    <t>Erica tetralix</t>
  </si>
  <si>
    <t>Potentilla erecta</t>
  </si>
  <si>
    <t>Hypochoeris radicata</t>
  </si>
  <si>
    <t>Hieracium umbellatum</t>
  </si>
  <si>
    <t>Galium saxatile</t>
  </si>
  <si>
    <t>Trientalis europaea</t>
  </si>
  <si>
    <t>Solidago virgaurea</t>
  </si>
  <si>
    <t>soil</t>
  </si>
  <si>
    <t>grass</t>
  </si>
  <si>
    <t>moss</t>
  </si>
  <si>
    <t>tree</t>
  </si>
  <si>
    <t>flowering plot%</t>
  </si>
  <si>
    <t>SO1</t>
  </si>
  <si>
    <t>IB1</t>
  </si>
  <si>
    <t>IB2</t>
  </si>
  <si>
    <t>SO2</t>
  </si>
  <si>
    <t>N</t>
  </si>
  <si>
    <t>very slight SV, almost 0</t>
  </si>
  <si>
    <t>NE</t>
  </si>
  <si>
    <t>slight NE</t>
  </si>
  <si>
    <t>very slight N, but mostly 0</t>
  </si>
  <si>
    <t>E</t>
  </si>
  <si>
    <t>SV</t>
  </si>
  <si>
    <t>8a</t>
  </si>
  <si>
    <t>8b</t>
  </si>
  <si>
    <t>slight E</t>
  </si>
  <si>
    <t>slight NV</t>
  </si>
  <si>
    <t>steep S</t>
  </si>
  <si>
    <t>15a</t>
  </si>
  <si>
    <t>15b</t>
  </si>
  <si>
    <t>slight N</t>
  </si>
  <si>
    <t>SW</t>
  </si>
  <si>
    <t>slight SW</t>
  </si>
  <si>
    <t>slight W</t>
  </si>
  <si>
    <t>NW</t>
  </si>
  <si>
    <t>S</t>
  </si>
  <si>
    <t>?</t>
  </si>
  <si>
    <t>slight S</t>
  </si>
  <si>
    <t>SE</t>
  </si>
  <si>
    <t>W</t>
  </si>
  <si>
    <t>102a</t>
  </si>
  <si>
    <t>102b</t>
  </si>
  <si>
    <t>102c</t>
  </si>
  <si>
    <t>90a</t>
  </si>
  <si>
    <t>90b</t>
  </si>
  <si>
    <t>slight SV</t>
  </si>
  <si>
    <t>slight NW</t>
  </si>
  <si>
    <t>slight SE</t>
  </si>
  <si>
    <t>Empetrum</t>
  </si>
  <si>
    <t>V_vitis-idaea</t>
  </si>
  <si>
    <t>V_myrtillus</t>
  </si>
  <si>
    <t>V_uliginosum</t>
  </si>
  <si>
    <t>G. pilosa</t>
  </si>
  <si>
    <t xml:space="preserve">Salix </t>
  </si>
  <si>
    <t>Calluna</t>
  </si>
  <si>
    <t>Erica</t>
  </si>
  <si>
    <t>Potentilla</t>
  </si>
  <si>
    <t>lichen</t>
  </si>
  <si>
    <t>herbs</t>
  </si>
  <si>
    <t>Campanula</t>
  </si>
  <si>
    <t>Galium</t>
  </si>
  <si>
    <t>Arnica</t>
  </si>
  <si>
    <t>Trientalis</t>
  </si>
  <si>
    <t>Solidago</t>
  </si>
  <si>
    <t>Succisa</t>
  </si>
  <si>
    <t>Rosa</t>
  </si>
  <si>
    <t>total</t>
  </si>
  <si>
    <t>flowering plants</t>
  </si>
  <si>
    <t>Salix repens male</t>
  </si>
  <si>
    <t>Salix repens female</t>
  </si>
  <si>
    <t>Viola tricolor ssp. tricolor</t>
  </si>
  <si>
    <t>Hieracium pilosella</t>
  </si>
  <si>
    <t>&lt;1</t>
  </si>
  <si>
    <t>Arnica montana</t>
  </si>
  <si>
    <t>Campanula rotundifolia</t>
  </si>
  <si>
    <t>Epilobium angustifolium</t>
  </si>
  <si>
    <t>Succisa pratensis</t>
  </si>
  <si>
    <t>not observed due to strong wind</t>
  </si>
  <si>
    <t>Scorzonea humilis</t>
  </si>
  <si>
    <t>Genista pilosa</t>
  </si>
  <si>
    <t>Cytisus scoparius</t>
  </si>
  <si>
    <t>Salix sp. female</t>
  </si>
  <si>
    <t>Salix sp. male</t>
  </si>
  <si>
    <t>Plot ID</t>
  </si>
  <si>
    <t>1IB1</t>
  </si>
  <si>
    <t>1IB2</t>
  </si>
  <si>
    <t>1IB3</t>
  </si>
  <si>
    <t>1IB4</t>
  </si>
  <si>
    <t>1IB5</t>
  </si>
  <si>
    <t>1IB6</t>
  </si>
  <si>
    <t>1IB7</t>
  </si>
  <si>
    <t>1IB8a</t>
  </si>
  <si>
    <t>1IB8b</t>
  </si>
  <si>
    <t>1IB9</t>
  </si>
  <si>
    <t>1IB12</t>
  </si>
  <si>
    <t>1IB10</t>
  </si>
  <si>
    <t>1IB11</t>
  </si>
  <si>
    <t>1IB13</t>
  </si>
  <si>
    <t>1IB16</t>
  </si>
  <si>
    <t>1IB14</t>
  </si>
  <si>
    <t>1IB15</t>
  </si>
  <si>
    <t>1IB17</t>
  </si>
  <si>
    <t>1IB19</t>
  </si>
  <si>
    <t>1IB20</t>
  </si>
  <si>
    <t>1IB18</t>
  </si>
  <si>
    <t>1IB28</t>
  </si>
  <si>
    <t>1IB22</t>
  </si>
  <si>
    <t>1IB29</t>
  </si>
  <si>
    <t>1IB21</t>
  </si>
  <si>
    <t>1IB23</t>
  </si>
  <si>
    <t>1IB25</t>
  </si>
  <si>
    <t>1IB26</t>
  </si>
  <si>
    <t>1IB24</t>
  </si>
  <si>
    <t>1IB27</t>
  </si>
  <si>
    <t>1IB33</t>
  </si>
  <si>
    <t>1IB30</t>
  </si>
  <si>
    <t>1IB31</t>
  </si>
  <si>
    <t>1IB34</t>
  </si>
  <si>
    <t>1IB32</t>
  </si>
  <si>
    <t>1IB40</t>
  </si>
  <si>
    <t>1IB41</t>
  </si>
  <si>
    <t>1IB43</t>
  </si>
  <si>
    <t>1IB45</t>
  </si>
  <si>
    <t>1IB42</t>
  </si>
  <si>
    <t>1IB44</t>
  </si>
  <si>
    <t>1IB35</t>
  </si>
  <si>
    <t>1IB39</t>
  </si>
  <si>
    <t>1IB36</t>
  </si>
  <si>
    <t>1IB38</t>
  </si>
  <si>
    <t>1IB37</t>
  </si>
  <si>
    <t>1IB46</t>
  </si>
  <si>
    <t>1IB48</t>
  </si>
  <si>
    <t>1IB47</t>
  </si>
  <si>
    <t>1IB53</t>
  </si>
  <si>
    <t>1IB52</t>
  </si>
  <si>
    <t>1IB54</t>
  </si>
  <si>
    <t>1IB50</t>
  </si>
  <si>
    <t>1IB51</t>
  </si>
  <si>
    <t>1IB49</t>
  </si>
  <si>
    <t>1IB59</t>
  </si>
  <si>
    <t>1IB58</t>
  </si>
  <si>
    <t>1IB56</t>
  </si>
  <si>
    <t>1IB57</t>
  </si>
  <si>
    <t>1IB55</t>
  </si>
  <si>
    <t>1IB64</t>
  </si>
  <si>
    <t>1IB60</t>
  </si>
  <si>
    <t>1IB66</t>
  </si>
  <si>
    <t>1IB65</t>
  </si>
  <si>
    <t>1IB63</t>
  </si>
  <si>
    <t>1IB62</t>
  </si>
  <si>
    <t>1IB61</t>
  </si>
  <si>
    <t>1IB68</t>
  </si>
  <si>
    <t>1IB71</t>
  </si>
  <si>
    <t>1IB67</t>
  </si>
  <si>
    <t>1IB70</t>
  </si>
  <si>
    <t>1IB69</t>
  </si>
  <si>
    <t>1IB75</t>
  </si>
  <si>
    <t>1IB72</t>
  </si>
  <si>
    <t>1IB74</t>
  </si>
  <si>
    <t>1IB76</t>
  </si>
  <si>
    <t>1IB73</t>
  </si>
  <si>
    <t>1IB78</t>
  </si>
  <si>
    <t>1IB79</t>
  </si>
  <si>
    <t>1IB80</t>
  </si>
  <si>
    <t>1IB81</t>
  </si>
  <si>
    <t>1IB82</t>
  </si>
  <si>
    <t>1IB77</t>
  </si>
  <si>
    <t>1IB83</t>
  </si>
  <si>
    <t>1IB86</t>
  </si>
  <si>
    <t>1IB87</t>
  </si>
  <si>
    <t>1IB84</t>
  </si>
  <si>
    <t>1IB88</t>
  </si>
  <si>
    <t>1IB85</t>
  </si>
  <si>
    <t>1IB89</t>
  </si>
  <si>
    <t>1IB90a</t>
  </si>
  <si>
    <t>1IB90b</t>
  </si>
  <si>
    <t>1IB91</t>
  </si>
  <si>
    <t>1IB93</t>
  </si>
  <si>
    <t>1IB92</t>
  </si>
  <si>
    <t>1IB94</t>
  </si>
  <si>
    <t>1IB95</t>
  </si>
  <si>
    <t>1IB96</t>
  </si>
  <si>
    <t>1IB101</t>
  </si>
  <si>
    <t>1IB99</t>
  </si>
  <si>
    <t>1IB98</t>
  </si>
  <si>
    <t>1IB97</t>
  </si>
  <si>
    <t>1IB100</t>
  </si>
  <si>
    <t>1IB103</t>
  </si>
  <si>
    <t>1IB102</t>
  </si>
  <si>
    <t>1IB104</t>
  </si>
  <si>
    <t>1IB105</t>
  </si>
  <si>
    <t>1IB108</t>
  </si>
  <si>
    <t>1IB109</t>
  </si>
  <si>
    <t>1IB106</t>
  </si>
  <si>
    <t>1IB107</t>
  </si>
  <si>
    <t>1IB112</t>
  </si>
  <si>
    <t>1IB110</t>
  </si>
  <si>
    <t>1IB111</t>
  </si>
  <si>
    <t>1IB113</t>
  </si>
  <si>
    <t>1IB118</t>
  </si>
  <si>
    <t>1IB114</t>
  </si>
  <si>
    <t>1IB115</t>
  </si>
  <si>
    <t>1IB117</t>
  </si>
  <si>
    <t>1IB116</t>
  </si>
  <si>
    <t>1IB119</t>
  </si>
  <si>
    <t>1IB122</t>
  </si>
  <si>
    <t>1IB123</t>
  </si>
  <si>
    <t>1IB120</t>
  </si>
  <si>
    <t>1IB121</t>
  </si>
  <si>
    <t>1IB125</t>
  </si>
  <si>
    <t>1IB124</t>
  </si>
  <si>
    <t>1IB129</t>
  </si>
  <si>
    <t>1IB127</t>
  </si>
  <si>
    <t>1IB126</t>
  </si>
  <si>
    <t>1IB131</t>
  </si>
  <si>
    <t>1IB128</t>
  </si>
  <si>
    <t>1IB130</t>
  </si>
  <si>
    <t>1IB132</t>
  </si>
  <si>
    <t>1IB135</t>
  </si>
  <si>
    <t>1IB133</t>
  </si>
  <si>
    <t>1IB134</t>
  </si>
  <si>
    <t>1IB137</t>
  </si>
  <si>
    <t>1IB140</t>
  </si>
  <si>
    <t>1IB136</t>
  </si>
  <si>
    <t>1IB141</t>
  </si>
  <si>
    <t>1IB138</t>
  </si>
  <si>
    <t>1IB139</t>
  </si>
  <si>
    <t>1IB142</t>
  </si>
  <si>
    <t>1IB147</t>
  </si>
  <si>
    <t>1IB143</t>
  </si>
  <si>
    <t>1IB145</t>
  </si>
  <si>
    <t>1IB144</t>
  </si>
  <si>
    <t>1IB146</t>
  </si>
  <si>
    <t>1IB150</t>
  </si>
  <si>
    <t>1IB153</t>
  </si>
  <si>
    <t>1IB149</t>
  </si>
  <si>
    <t>1IB148</t>
  </si>
  <si>
    <t>1IB151</t>
  </si>
  <si>
    <t>1IB152</t>
  </si>
  <si>
    <t>1IB155</t>
  </si>
  <si>
    <t>1IB157</t>
  </si>
  <si>
    <t>1IB158</t>
  </si>
  <si>
    <t>1IB154</t>
  </si>
  <si>
    <t>1IB156</t>
  </si>
  <si>
    <t>1IB160</t>
  </si>
  <si>
    <t>1IB163</t>
  </si>
  <si>
    <t>1IB159</t>
  </si>
  <si>
    <t>1IB161</t>
  </si>
  <si>
    <t>1IB162</t>
  </si>
  <si>
    <t>1IB164</t>
  </si>
  <si>
    <t>1IB165</t>
  </si>
  <si>
    <t>1IB166</t>
  </si>
  <si>
    <t>1IB167</t>
  </si>
  <si>
    <t>1IB170</t>
  </si>
  <si>
    <t>1IB171</t>
  </si>
  <si>
    <t>1IB172</t>
  </si>
  <si>
    <t>1IB169</t>
  </si>
  <si>
    <t>1IB168</t>
  </si>
  <si>
    <t>1IB173</t>
  </si>
  <si>
    <t>1IB177</t>
  </si>
  <si>
    <t>1IB178</t>
  </si>
  <si>
    <t>1IB176</t>
  </si>
  <si>
    <t>1IB175</t>
  </si>
  <si>
    <t>1IB174</t>
  </si>
  <si>
    <t>1IB179</t>
  </si>
  <si>
    <t>1IB180</t>
  </si>
  <si>
    <t>1IB181</t>
  </si>
  <si>
    <t>1IB182</t>
  </si>
  <si>
    <t>1IB183</t>
  </si>
  <si>
    <t>1IB184</t>
  </si>
  <si>
    <t>1IB185</t>
  </si>
  <si>
    <t>1IB186</t>
  </si>
  <si>
    <t>1IB187</t>
  </si>
  <si>
    <t>1IB188</t>
  </si>
  <si>
    <t>1IB189</t>
  </si>
  <si>
    <t>1IB190</t>
  </si>
  <si>
    <t>1IB193</t>
  </si>
  <si>
    <t>1IB191</t>
  </si>
  <si>
    <t>1IB192</t>
  </si>
  <si>
    <t>1IB194</t>
  </si>
  <si>
    <t>1IB195</t>
  </si>
  <si>
    <t>1IB196</t>
  </si>
  <si>
    <t>1IB197</t>
  </si>
  <si>
    <t>1IB198</t>
  </si>
  <si>
    <t>1IB200</t>
  </si>
  <si>
    <t>1IB201</t>
  </si>
  <si>
    <t>1IB199</t>
  </si>
  <si>
    <t>1IB202</t>
  </si>
  <si>
    <t>1IB206</t>
  </si>
  <si>
    <t>1IB203</t>
  </si>
  <si>
    <t>1IB205</t>
  </si>
  <si>
    <t>1IB204</t>
  </si>
  <si>
    <t>1IB207</t>
  </si>
  <si>
    <t>1IB208</t>
  </si>
  <si>
    <t>1IB209</t>
  </si>
  <si>
    <t>1IB210</t>
  </si>
  <si>
    <t>1IB212</t>
  </si>
  <si>
    <t>1IB211</t>
  </si>
  <si>
    <t>1IB214</t>
  </si>
  <si>
    <t>1IB216</t>
  </si>
  <si>
    <t>1IB213</t>
  </si>
  <si>
    <t>1IB215</t>
  </si>
  <si>
    <t>1IB218</t>
  </si>
  <si>
    <t>1IB219</t>
  </si>
  <si>
    <t>1IB217</t>
  </si>
  <si>
    <t>1IB221</t>
  </si>
  <si>
    <t>1IB220</t>
  </si>
  <si>
    <t>1IB222</t>
  </si>
  <si>
    <t>1IB225</t>
  </si>
  <si>
    <t>1IB223</t>
  </si>
  <si>
    <t>1IB224</t>
  </si>
  <si>
    <t>1IB226</t>
  </si>
  <si>
    <t>1IB227</t>
  </si>
  <si>
    <t>2IB1</t>
  </si>
  <si>
    <t>2IB2</t>
  </si>
  <si>
    <t>2IB3</t>
  </si>
  <si>
    <t>2IB4</t>
  </si>
  <si>
    <t>2IB5</t>
  </si>
  <si>
    <t>2IB6</t>
  </si>
  <si>
    <t>Site</t>
  </si>
  <si>
    <t>1SO1</t>
  </si>
  <si>
    <t>1SO2</t>
  </si>
  <si>
    <t>1SO3</t>
  </si>
  <si>
    <t>1SO4</t>
  </si>
  <si>
    <t>1SO6</t>
  </si>
  <si>
    <t>1SO8</t>
  </si>
  <si>
    <t>1SO5</t>
  </si>
  <si>
    <t>1SO7</t>
  </si>
  <si>
    <t>1SO9</t>
  </si>
  <si>
    <t>1SO14</t>
  </si>
  <si>
    <t>1SO10</t>
  </si>
  <si>
    <t>1SO13</t>
  </si>
  <si>
    <t>1SO11</t>
  </si>
  <si>
    <t>1SO12</t>
  </si>
  <si>
    <t>1SO18</t>
  </si>
  <si>
    <t>1SO15a</t>
  </si>
  <si>
    <t>1SO15b</t>
  </si>
  <si>
    <t>1SO16</t>
  </si>
  <si>
    <t>1SO17</t>
  </si>
  <si>
    <t>1SO19</t>
  </si>
  <si>
    <t>1SO20</t>
  </si>
  <si>
    <t>1SO21</t>
  </si>
  <si>
    <t>1SO23</t>
  </si>
  <si>
    <t>1SO25</t>
  </si>
  <si>
    <t>1SO24</t>
  </si>
  <si>
    <t>1SO22</t>
  </si>
  <si>
    <t>1SO26</t>
  </si>
  <si>
    <t>1SO27</t>
  </si>
  <si>
    <t>1SO31</t>
  </si>
  <si>
    <t>1SO30</t>
  </si>
  <si>
    <t>1SO28</t>
  </si>
  <si>
    <t>1SO29</t>
  </si>
  <si>
    <t>1SO33</t>
  </si>
  <si>
    <t>1SO37</t>
  </si>
  <si>
    <t>1SO35</t>
  </si>
  <si>
    <t>1SO34</t>
  </si>
  <si>
    <t>1SO32</t>
  </si>
  <si>
    <t>1SO36</t>
  </si>
  <si>
    <t>1SO38</t>
  </si>
  <si>
    <t>1SO40</t>
  </si>
  <si>
    <t>1SO43</t>
  </si>
  <si>
    <t>1SO44</t>
  </si>
  <si>
    <t>1SO45</t>
  </si>
  <si>
    <t>1SO39</t>
  </si>
  <si>
    <t>1SO42</t>
  </si>
  <si>
    <t>1SO41</t>
  </si>
  <si>
    <t>1SO48</t>
  </si>
  <si>
    <t>1SO47</t>
  </si>
  <si>
    <t>1SO49</t>
  </si>
  <si>
    <t>1SO46</t>
  </si>
  <si>
    <t>1SO54</t>
  </si>
  <si>
    <t>1SO51</t>
  </si>
  <si>
    <t>1SO56</t>
  </si>
  <si>
    <t>1SO58</t>
  </si>
  <si>
    <t>1SO52</t>
  </si>
  <si>
    <t>1SO50</t>
  </si>
  <si>
    <t>1SO55</t>
  </si>
  <si>
    <t>1SO57</t>
  </si>
  <si>
    <t>1SO53</t>
  </si>
  <si>
    <t>1SO62</t>
  </si>
  <si>
    <t>1SO59</t>
  </si>
  <si>
    <t>1SO61</t>
  </si>
  <si>
    <t>1SO60</t>
  </si>
  <si>
    <t>1SO63</t>
  </si>
  <si>
    <t>1SO67</t>
  </si>
  <si>
    <t>1SO64</t>
  </si>
  <si>
    <t>1SO66</t>
  </si>
  <si>
    <t>1SO65</t>
  </si>
  <si>
    <t>1SO68</t>
  </si>
  <si>
    <t>1SO69</t>
  </si>
  <si>
    <t>1SO71</t>
  </si>
  <si>
    <t>1SO72</t>
  </si>
  <si>
    <t>1SO70</t>
  </si>
  <si>
    <t>1SO73</t>
  </si>
  <si>
    <t>1SO74</t>
  </si>
  <si>
    <t>1SO75</t>
  </si>
  <si>
    <t>1SO76</t>
  </si>
  <si>
    <t>1SO81</t>
  </si>
  <si>
    <t>1SO80</t>
  </si>
  <si>
    <t>1SO79</t>
  </si>
  <si>
    <t>1SO78</t>
  </si>
  <si>
    <t>1SO84</t>
  </si>
  <si>
    <t>1SO83</t>
  </si>
  <si>
    <t>1SO82</t>
  </si>
  <si>
    <t>1SO86</t>
  </si>
  <si>
    <t>1SO85</t>
  </si>
  <si>
    <t>1SO87</t>
  </si>
  <si>
    <t>1SO91</t>
  </si>
  <si>
    <t>1SO90</t>
  </si>
  <si>
    <t>1SO88</t>
  </si>
  <si>
    <t>1SO89</t>
  </si>
  <si>
    <t>1SO93</t>
  </si>
  <si>
    <t>1SO92</t>
  </si>
  <si>
    <t>1SO94</t>
  </si>
  <si>
    <t>1SO96</t>
  </si>
  <si>
    <t>1SO97</t>
  </si>
  <si>
    <t>1SO95</t>
  </si>
  <si>
    <t>1SO98</t>
  </si>
  <si>
    <t>1SO102a</t>
  </si>
  <si>
    <t>1SO101</t>
  </si>
  <si>
    <t>1SO102c</t>
  </si>
  <si>
    <t>1SO104</t>
  </si>
  <si>
    <t>1SO99</t>
  </si>
  <si>
    <t>1SO102b</t>
  </si>
  <si>
    <t>1SO103</t>
  </si>
  <si>
    <t>1SO100</t>
  </si>
  <si>
    <t>1SO105</t>
  </si>
  <si>
    <t>1SO113</t>
  </si>
  <si>
    <t>1SO106</t>
  </si>
  <si>
    <t>1SO107</t>
  </si>
  <si>
    <t>1SO108</t>
  </si>
  <si>
    <t>1SO114</t>
  </si>
  <si>
    <t>1SO117</t>
  </si>
  <si>
    <t>1SO110</t>
  </si>
  <si>
    <t>1SO112</t>
  </si>
  <si>
    <t>1SO109</t>
  </si>
  <si>
    <t>1SO118</t>
  </si>
  <si>
    <t>1SO115</t>
  </si>
  <si>
    <t>1SO111</t>
  </si>
  <si>
    <t>1SO116</t>
  </si>
  <si>
    <t>1SO121</t>
  </si>
  <si>
    <t>1SO122</t>
  </si>
  <si>
    <t>1SO119</t>
  </si>
  <si>
    <t>1SO120</t>
  </si>
  <si>
    <t>1SO126</t>
  </si>
  <si>
    <t>1SO123</t>
  </si>
  <si>
    <t>1SO124</t>
  </si>
  <si>
    <t>1SO125</t>
  </si>
  <si>
    <t>1SO128</t>
  </si>
  <si>
    <t>1SO130</t>
  </si>
  <si>
    <t>1SO127</t>
  </si>
  <si>
    <t>1SO129</t>
  </si>
  <si>
    <t>1SO131</t>
  </si>
  <si>
    <t>1SO134</t>
  </si>
  <si>
    <t>1SO133</t>
  </si>
  <si>
    <t>1SO136</t>
  </si>
  <si>
    <t>1SO132</t>
  </si>
  <si>
    <t>1SO135</t>
  </si>
  <si>
    <t>1SO137</t>
  </si>
  <si>
    <t>1SO142</t>
  </si>
  <si>
    <t>1SO139</t>
  </si>
  <si>
    <t>1SO138</t>
  </si>
  <si>
    <t>1SO140</t>
  </si>
  <si>
    <t>1SO141</t>
  </si>
  <si>
    <t>1SO144</t>
  </si>
  <si>
    <t>1SO143</t>
  </si>
  <si>
    <t>1SO148</t>
  </si>
  <si>
    <t>1SO150</t>
  </si>
  <si>
    <t>1SO145</t>
  </si>
  <si>
    <t>1SO149</t>
  </si>
  <si>
    <t>1SO146</t>
  </si>
  <si>
    <t>1SO147</t>
  </si>
  <si>
    <t>1SO152</t>
  </si>
  <si>
    <t>1SO151</t>
  </si>
  <si>
    <t>1SO153</t>
  </si>
  <si>
    <t>1SO154</t>
  </si>
  <si>
    <t>1SO158</t>
  </si>
  <si>
    <t>1SO160</t>
  </si>
  <si>
    <t>1SO159</t>
  </si>
  <si>
    <t>1SO157</t>
  </si>
  <si>
    <t>1SO155</t>
  </si>
  <si>
    <t>1SO156</t>
  </si>
  <si>
    <t>1SO162</t>
  </si>
  <si>
    <t>1SO161</t>
  </si>
  <si>
    <t>1SO167</t>
  </si>
  <si>
    <t>1SO165</t>
  </si>
  <si>
    <t>1SO164</t>
  </si>
  <si>
    <t>1SO163</t>
  </si>
  <si>
    <t>1SO166</t>
  </si>
  <si>
    <t>1SO172</t>
  </si>
  <si>
    <t>1SO170</t>
  </si>
  <si>
    <t>1SO168</t>
  </si>
  <si>
    <t>1SO174</t>
  </si>
  <si>
    <t>1SO171</t>
  </si>
  <si>
    <t>1SO173</t>
  </si>
  <si>
    <t>1SO169</t>
  </si>
  <si>
    <t>1SO177</t>
  </si>
  <si>
    <t>1SO175</t>
  </si>
  <si>
    <t>1SO178</t>
  </si>
  <si>
    <t>1SO179</t>
  </si>
  <si>
    <t>1SO176</t>
  </si>
  <si>
    <t>1SO183</t>
  </si>
  <si>
    <t>1SO181</t>
  </si>
  <si>
    <t>1SO184</t>
  </si>
  <si>
    <t>1SO180</t>
  </si>
  <si>
    <t>1SO182</t>
  </si>
  <si>
    <t>1SO185</t>
  </si>
  <si>
    <t>1SO189</t>
  </si>
  <si>
    <t>1SO187</t>
  </si>
  <si>
    <t>1SO190</t>
  </si>
  <si>
    <t>1SO188</t>
  </si>
  <si>
    <t>1SO186</t>
  </si>
  <si>
    <t>1SO192</t>
  </si>
  <si>
    <t>1SO195</t>
  </si>
  <si>
    <t>1SO191</t>
  </si>
  <si>
    <t>1SO193</t>
  </si>
  <si>
    <t>1SO194</t>
  </si>
  <si>
    <t>1SO199</t>
  </si>
  <si>
    <t>1SO198</t>
  </si>
  <si>
    <t>1SO197</t>
  </si>
  <si>
    <t>1SO196</t>
  </si>
  <si>
    <t>1SO200</t>
  </si>
  <si>
    <t>1SO202</t>
  </si>
  <si>
    <t>1SO201</t>
  </si>
  <si>
    <t>1SO204</t>
  </si>
  <si>
    <t>1SO203</t>
  </si>
  <si>
    <t>1SO207</t>
  </si>
  <si>
    <t>1SO211</t>
  </si>
  <si>
    <t>1SO208</t>
  </si>
  <si>
    <t>1SO209</t>
  </si>
  <si>
    <t>1SO206</t>
  </si>
  <si>
    <t>1SO205</t>
  </si>
  <si>
    <t>1SO210</t>
  </si>
  <si>
    <t>1SO212</t>
  </si>
  <si>
    <t>1SO213</t>
  </si>
  <si>
    <t>1SO216</t>
  </si>
  <si>
    <t>1SO214</t>
  </si>
  <si>
    <t>1SO215</t>
  </si>
  <si>
    <t>1SO217</t>
  </si>
  <si>
    <t>1SO218</t>
  </si>
  <si>
    <t>1SO222</t>
  </si>
  <si>
    <t>1SO223</t>
  </si>
  <si>
    <t>1SO220</t>
  </si>
  <si>
    <t>1SO219</t>
  </si>
  <si>
    <t>1SO221</t>
  </si>
  <si>
    <t>1SO226</t>
  </si>
  <si>
    <t>1SO224</t>
  </si>
  <si>
    <t>1SO225</t>
  </si>
  <si>
    <t>1SO227</t>
  </si>
  <si>
    <t>1SO230</t>
  </si>
  <si>
    <t>1SO228</t>
  </si>
  <si>
    <t>1SO229</t>
  </si>
  <si>
    <t>1SO232</t>
  </si>
  <si>
    <t>1SO231</t>
  </si>
  <si>
    <t>1SO233</t>
  </si>
  <si>
    <t>1SO234</t>
  </si>
  <si>
    <t>1SO236</t>
  </si>
  <si>
    <t>1SO235</t>
  </si>
  <si>
    <t>1SO237</t>
  </si>
  <si>
    <t>2SO1</t>
  </si>
  <si>
    <t>2SO2</t>
  </si>
  <si>
    <t>2SO3</t>
  </si>
  <si>
    <t>2SO4</t>
  </si>
  <si>
    <t>2SO6</t>
  </si>
  <si>
    <t>2SO8</t>
  </si>
  <si>
    <t>2SO7</t>
  </si>
  <si>
    <t>2SO5</t>
  </si>
  <si>
    <t>2SO9</t>
  </si>
  <si>
    <t>2SO10</t>
  </si>
  <si>
    <t>Empetrum nigrum male</t>
  </si>
  <si>
    <t>HL</t>
  </si>
  <si>
    <t>Melampyrum pratense</t>
  </si>
  <si>
    <t>Temp ©</t>
  </si>
  <si>
    <t>Humidity (%)</t>
  </si>
  <si>
    <t>Vaccinium vitis-idaeaXuliginosum</t>
  </si>
  <si>
    <t>Salix repens</t>
  </si>
  <si>
    <t>Salix aurita</t>
  </si>
  <si>
    <t>Scorzonera humilis</t>
  </si>
  <si>
    <t>Hieracium pilocella</t>
  </si>
  <si>
    <t>flowering plant</t>
  </si>
  <si>
    <t>IB</t>
  </si>
  <si>
    <t>1IB228</t>
  </si>
  <si>
    <t>1IB229</t>
  </si>
  <si>
    <t>1IB230</t>
  </si>
  <si>
    <t>1IB231</t>
  </si>
  <si>
    <t>1IB232</t>
  </si>
  <si>
    <t>1IB233</t>
  </si>
  <si>
    <t>1IB234</t>
  </si>
  <si>
    <t>1IB235</t>
  </si>
  <si>
    <t>Salix aurita male</t>
  </si>
  <si>
    <t>1IB236</t>
  </si>
  <si>
    <t>1IB237</t>
  </si>
  <si>
    <t>1IB238</t>
  </si>
  <si>
    <t>1IB239</t>
  </si>
  <si>
    <t>1IB240</t>
  </si>
  <si>
    <t>1IB241</t>
  </si>
  <si>
    <t>1IB242</t>
  </si>
  <si>
    <t>1IB243</t>
  </si>
  <si>
    <t>1IB244</t>
  </si>
  <si>
    <t>1IB245</t>
  </si>
  <si>
    <t>1IB246</t>
  </si>
  <si>
    <t>1IB247</t>
  </si>
  <si>
    <t>1IB248</t>
  </si>
  <si>
    <t>1IB249</t>
  </si>
  <si>
    <t>1IB250</t>
  </si>
  <si>
    <t>1IB251</t>
  </si>
  <si>
    <t>1IB252</t>
  </si>
  <si>
    <t>1IB253</t>
  </si>
  <si>
    <t>1IB254</t>
  </si>
  <si>
    <t>1IB255</t>
  </si>
  <si>
    <t>1IB256</t>
  </si>
  <si>
    <t>1IB257</t>
  </si>
  <si>
    <t>1IB258</t>
  </si>
  <si>
    <t>1IB259</t>
  </si>
  <si>
    <t>1IB260</t>
  </si>
  <si>
    <t>1IB261</t>
  </si>
  <si>
    <t>1IB262</t>
  </si>
  <si>
    <t>1IB263</t>
  </si>
  <si>
    <t>1IB264</t>
  </si>
  <si>
    <t>1IB265</t>
  </si>
  <si>
    <t>1IB266</t>
  </si>
  <si>
    <t>1IB267</t>
  </si>
  <si>
    <t>1IB268</t>
  </si>
  <si>
    <t>1IB269</t>
  </si>
  <si>
    <t>1IB270</t>
  </si>
  <si>
    <t>1IB271</t>
  </si>
  <si>
    <t>1IB272</t>
  </si>
  <si>
    <t>1IB273</t>
  </si>
  <si>
    <t>1IB274</t>
  </si>
  <si>
    <t>1IB275</t>
  </si>
  <si>
    <t>1IB276</t>
  </si>
  <si>
    <t>1IB277</t>
  </si>
  <si>
    <t>1IB278</t>
  </si>
  <si>
    <t>1IB279</t>
  </si>
  <si>
    <t>1IB280</t>
  </si>
  <si>
    <t>1IB281</t>
  </si>
  <si>
    <t>1IB282</t>
  </si>
  <si>
    <t>1IB283</t>
  </si>
  <si>
    <t>1IB284</t>
  </si>
  <si>
    <t>1IB285</t>
  </si>
  <si>
    <t>1IB286</t>
  </si>
  <si>
    <t>1IB287</t>
  </si>
  <si>
    <t>1IB288</t>
  </si>
  <si>
    <t>1IB289</t>
  </si>
  <si>
    <t>1IB290</t>
  </si>
  <si>
    <t>1IB291</t>
  </si>
  <si>
    <t>1IB292</t>
  </si>
  <si>
    <t>1IB293</t>
  </si>
  <si>
    <t>1IB294</t>
  </si>
  <si>
    <t>1IB295</t>
  </si>
  <si>
    <t>1IB296</t>
  </si>
  <si>
    <t>1IB297</t>
  </si>
  <si>
    <t>1IB298</t>
  </si>
  <si>
    <t>1IB299</t>
  </si>
  <si>
    <t>1IB300</t>
  </si>
  <si>
    <t>1IB301</t>
  </si>
  <si>
    <t>1IB302</t>
  </si>
  <si>
    <t>1IB303</t>
  </si>
  <si>
    <t>1IB304</t>
  </si>
  <si>
    <t>1IB305</t>
  </si>
  <si>
    <t>1IB306</t>
  </si>
  <si>
    <t>1IB307</t>
  </si>
  <si>
    <t>1IB308</t>
  </si>
  <si>
    <t>1IB309</t>
  </si>
  <si>
    <t>1IB310</t>
  </si>
  <si>
    <t>1IB311</t>
  </si>
  <si>
    <t>1IB312</t>
  </si>
  <si>
    <t>1IB313</t>
  </si>
  <si>
    <t>1IB314</t>
  </si>
  <si>
    <t>1IB315</t>
  </si>
  <si>
    <t>1IB316</t>
  </si>
  <si>
    <t>1IB317</t>
  </si>
  <si>
    <t>1IB318</t>
  </si>
  <si>
    <t>1IB319</t>
  </si>
  <si>
    <t>1IB320</t>
  </si>
  <si>
    <t>1IB321</t>
  </si>
  <si>
    <t>1IB322</t>
  </si>
  <si>
    <t>1IB323</t>
  </si>
  <si>
    <t>1IB324</t>
  </si>
  <si>
    <t>1IB325</t>
  </si>
  <si>
    <t>1IB326</t>
  </si>
  <si>
    <t>1IB327</t>
  </si>
  <si>
    <t>1IB328</t>
  </si>
  <si>
    <t>1IB329</t>
  </si>
  <si>
    <t>1IB330</t>
  </si>
  <si>
    <t>1IB331</t>
  </si>
  <si>
    <t>1IB332</t>
  </si>
  <si>
    <t>1IB333</t>
  </si>
  <si>
    <t>1IB334</t>
  </si>
  <si>
    <t>1IB335</t>
  </si>
  <si>
    <t>1IB336</t>
  </si>
  <si>
    <t>1IB337</t>
  </si>
  <si>
    <t>1IB338</t>
  </si>
  <si>
    <t>1IB339</t>
  </si>
  <si>
    <t>1IB340</t>
  </si>
  <si>
    <t>1IB341</t>
  </si>
  <si>
    <t>1IB342</t>
  </si>
  <si>
    <t>1IB343</t>
  </si>
  <si>
    <t>1IB344</t>
  </si>
  <si>
    <t>1IB345</t>
  </si>
  <si>
    <t>1IB346</t>
  </si>
  <si>
    <t>1IB347</t>
  </si>
  <si>
    <t>1IB348</t>
  </si>
  <si>
    <t>1IB349</t>
  </si>
  <si>
    <t>1IB350</t>
  </si>
  <si>
    <t>1IB351</t>
  </si>
  <si>
    <t>1IB352</t>
  </si>
  <si>
    <t>1IB353</t>
  </si>
  <si>
    <t>1IB354</t>
  </si>
  <si>
    <t>1IB355</t>
  </si>
  <si>
    <t>1IB356</t>
  </si>
  <si>
    <t>1IB357</t>
  </si>
  <si>
    <t>1IB358</t>
  </si>
  <si>
    <t>1IB359</t>
  </si>
  <si>
    <t>1IB360</t>
  </si>
  <si>
    <t>1IB361</t>
  </si>
  <si>
    <t>1IB362</t>
  </si>
  <si>
    <t>1IB363</t>
  </si>
  <si>
    <t>1IB364</t>
  </si>
  <si>
    <t>1IB365</t>
  </si>
  <si>
    <t>1IB366</t>
  </si>
  <si>
    <t>1IB367</t>
  </si>
  <si>
    <t>1IB368</t>
  </si>
  <si>
    <t>1IB369</t>
  </si>
  <si>
    <t>1IB370</t>
  </si>
  <si>
    <t>1IB371</t>
  </si>
  <si>
    <t>1IB372</t>
  </si>
  <si>
    <t>1IB373</t>
  </si>
  <si>
    <t>1IB374</t>
  </si>
  <si>
    <t>1IB375</t>
  </si>
  <si>
    <t>1IB376</t>
  </si>
  <si>
    <t>1IB377</t>
  </si>
  <si>
    <t>1IB378</t>
  </si>
  <si>
    <t>1IB379</t>
  </si>
  <si>
    <t>1IB380</t>
  </si>
  <si>
    <t>1IB381</t>
  </si>
  <si>
    <t>1IB382</t>
  </si>
  <si>
    <t>1IB383</t>
  </si>
  <si>
    <t>1IB384</t>
  </si>
  <si>
    <t>1IB385</t>
  </si>
  <si>
    <t>1IB386</t>
  </si>
  <si>
    <t>1IB387</t>
  </si>
  <si>
    <t>1IB388</t>
  </si>
  <si>
    <t>1IB389</t>
  </si>
  <si>
    <t>1IB390</t>
  </si>
  <si>
    <t>1IB391</t>
  </si>
  <si>
    <t>1IB392</t>
  </si>
  <si>
    <t>1IB393</t>
  </si>
  <si>
    <t>1IB394</t>
  </si>
  <si>
    <t>1IB395</t>
  </si>
  <si>
    <t>1IB396</t>
  </si>
  <si>
    <t>1IB397</t>
  </si>
  <si>
    <t>1IB398</t>
  </si>
  <si>
    <t>1IB399</t>
  </si>
  <si>
    <t>1IB400</t>
  </si>
  <si>
    <t>1IB401</t>
  </si>
  <si>
    <t>1IB402</t>
  </si>
  <si>
    <t>1IB403</t>
  </si>
  <si>
    <t>1IB404</t>
  </si>
  <si>
    <t>1IB405</t>
  </si>
  <si>
    <t>1IB406</t>
  </si>
  <si>
    <t>1IB407</t>
  </si>
  <si>
    <t>1IB408</t>
  </si>
  <si>
    <t>1IB409</t>
  </si>
  <si>
    <t>1IB410</t>
  </si>
  <si>
    <t>1IB411</t>
  </si>
  <si>
    <t>1IB412</t>
  </si>
  <si>
    <t>1IB413</t>
  </si>
  <si>
    <t>1IB414</t>
  </si>
  <si>
    <t>1IB415</t>
  </si>
  <si>
    <t>1IB416</t>
  </si>
  <si>
    <t>1IB417</t>
  </si>
  <si>
    <t>1IB418</t>
  </si>
  <si>
    <t>1IB419</t>
  </si>
  <si>
    <t>1IB420</t>
  </si>
  <si>
    <t>1IB421</t>
  </si>
  <si>
    <t>1IB422</t>
  </si>
  <si>
    <t>1IB423</t>
  </si>
  <si>
    <t>1IB424</t>
  </si>
  <si>
    <t>1IB425</t>
  </si>
  <si>
    <t>1IB426</t>
  </si>
  <si>
    <t>1IB427</t>
  </si>
  <si>
    <t>1IB428</t>
  </si>
  <si>
    <t>1IB429</t>
  </si>
  <si>
    <t>1HL1</t>
  </si>
  <si>
    <t>1HL2</t>
  </si>
  <si>
    <t>1HL3</t>
  </si>
  <si>
    <t>1HL4</t>
  </si>
  <si>
    <t>1HL5</t>
  </si>
  <si>
    <t>1HL6</t>
  </si>
  <si>
    <t>1HL7</t>
  </si>
  <si>
    <t>1HL8</t>
  </si>
  <si>
    <t>1HL9</t>
  </si>
  <si>
    <t>1HL10</t>
  </si>
  <si>
    <t>1HL11</t>
  </si>
  <si>
    <t>1HL12</t>
  </si>
  <si>
    <t>1HL13</t>
  </si>
  <si>
    <t>1HL14</t>
  </si>
  <si>
    <t>1HL15</t>
  </si>
  <si>
    <t>1HL16</t>
  </si>
  <si>
    <t>1HL17</t>
  </si>
  <si>
    <t>1HL18</t>
  </si>
  <si>
    <t>1HL19</t>
  </si>
  <si>
    <t>1HL20</t>
  </si>
  <si>
    <t>1HL21</t>
  </si>
  <si>
    <t>1HL22</t>
  </si>
  <si>
    <t>1HL23</t>
  </si>
  <si>
    <t>1HL24</t>
  </si>
  <si>
    <t>1HL25</t>
  </si>
  <si>
    <t>1HL26</t>
  </si>
  <si>
    <t>1HL27</t>
  </si>
  <si>
    <t>1HL28</t>
  </si>
  <si>
    <t>1HL29</t>
  </si>
  <si>
    <t>1HL30</t>
  </si>
  <si>
    <t>1HL31</t>
  </si>
  <si>
    <t>1HL32</t>
  </si>
  <si>
    <t>1HL33</t>
  </si>
  <si>
    <t>1HL34</t>
  </si>
  <si>
    <t>1HL35</t>
  </si>
  <si>
    <t>1HL36</t>
  </si>
  <si>
    <t>1HL37</t>
  </si>
  <si>
    <t>1HL38</t>
  </si>
  <si>
    <t>1HL39</t>
  </si>
  <si>
    <t>1HL40</t>
  </si>
  <si>
    <t>1HL41</t>
  </si>
  <si>
    <t>1HL42</t>
  </si>
  <si>
    <t>1HL43</t>
  </si>
  <si>
    <t>1HL44</t>
  </si>
  <si>
    <t>1HL45</t>
  </si>
  <si>
    <t>1HL46</t>
  </si>
  <si>
    <t>1HL47</t>
  </si>
  <si>
    <t>1HL48</t>
  </si>
  <si>
    <t>1HL49</t>
  </si>
  <si>
    <t>1HL50</t>
  </si>
  <si>
    <t>1HL51</t>
  </si>
  <si>
    <t>1HL52</t>
  </si>
  <si>
    <t>1HL53</t>
  </si>
  <si>
    <t>1HL54</t>
  </si>
  <si>
    <t>1HL55</t>
  </si>
  <si>
    <t>1HL56</t>
  </si>
  <si>
    <t>1HL57</t>
  </si>
  <si>
    <t>1HL58</t>
  </si>
  <si>
    <t>1HL59</t>
  </si>
  <si>
    <t>1HL60</t>
  </si>
  <si>
    <t>1HL61</t>
  </si>
  <si>
    <t>1HL62</t>
  </si>
  <si>
    <t>1HL63</t>
  </si>
  <si>
    <t>1HL64</t>
  </si>
  <si>
    <t>1HL65</t>
  </si>
  <si>
    <t>1HL66</t>
  </si>
  <si>
    <t>1HL67</t>
  </si>
  <si>
    <t>1HL68</t>
  </si>
  <si>
    <t>1HL69</t>
  </si>
  <si>
    <t>1HL70</t>
  </si>
  <si>
    <t>1HL71</t>
  </si>
  <si>
    <t>1HL72</t>
  </si>
  <si>
    <t>1HL73</t>
  </si>
  <si>
    <t>1HL74</t>
  </si>
  <si>
    <t>1HL75</t>
  </si>
  <si>
    <t>1HL76</t>
  </si>
  <si>
    <t>1HL77</t>
  </si>
  <si>
    <t>1HL78</t>
  </si>
  <si>
    <t>1HL79</t>
  </si>
  <si>
    <t>1HL80</t>
  </si>
  <si>
    <t>1HL81</t>
  </si>
  <si>
    <t>1HL82</t>
  </si>
  <si>
    <t>1HL83</t>
  </si>
  <si>
    <t>1HL84</t>
  </si>
  <si>
    <t>1HL85</t>
  </si>
  <si>
    <t>1HL86</t>
  </si>
  <si>
    <t>1HL87</t>
  </si>
  <si>
    <t>1HL88</t>
  </si>
  <si>
    <t>1HL89</t>
  </si>
  <si>
    <t>1HL90</t>
  </si>
  <si>
    <t>1HL91</t>
  </si>
  <si>
    <t>1HL92</t>
  </si>
  <si>
    <t>1HL93</t>
  </si>
  <si>
    <t>1HL94</t>
  </si>
  <si>
    <t>1HL95</t>
  </si>
  <si>
    <t>1HL96</t>
  </si>
  <si>
    <t>1HL97</t>
  </si>
  <si>
    <t>1HL98</t>
  </si>
  <si>
    <t>1HL99</t>
  </si>
  <si>
    <t>1HL100</t>
  </si>
  <si>
    <t>1HL101</t>
  </si>
  <si>
    <t>1HL102</t>
  </si>
  <si>
    <t>1HL103</t>
  </si>
  <si>
    <t>1HL104</t>
  </si>
  <si>
    <t>1HL105</t>
  </si>
  <si>
    <t>1HL106</t>
  </si>
  <si>
    <t>1HL107</t>
  </si>
  <si>
    <t>1HL108</t>
  </si>
  <si>
    <t>1HL109</t>
  </si>
  <si>
    <t>1HL110</t>
  </si>
  <si>
    <t>1HL111</t>
  </si>
  <si>
    <t>1HL112</t>
  </si>
  <si>
    <t>1HL113</t>
  </si>
  <si>
    <t>1HL114</t>
  </si>
  <si>
    <t>1HL115</t>
  </si>
  <si>
    <t>1HL116</t>
  </si>
  <si>
    <t>1HL117</t>
  </si>
  <si>
    <t>1HL118</t>
  </si>
  <si>
    <t>1HL119</t>
  </si>
  <si>
    <t>1HL120</t>
  </si>
  <si>
    <t>1HL121</t>
  </si>
  <si>
    <t>1HL122</t>
  </si>
  <si>
    <t>1HL123</t>
  </si>
  <si>
    <t>1HL124</t>
  </si>
  <si>
    <t>1HL125</t>
  </si>
  <si>
    <t>1HL126</t>
  </si>
  <si>
    <t>1HL127</t>
  </si>
  <si>
    <t>1HL128</t>
  </si>
  <si>
    <t>1HL129</t>
  </si>
  <si>
    <t>1HL130</t>
  </si>
  <si>
    <t>1HL131</t>
  </si>
  <si>
    <t>1HL132</t>
  </si>
  <si>
    <t>1HL133</t>
  </si>
  <si>
    <t>1HL134</t>
  </si>
  <si>
    <t>1HL135</t>
  </si>
  <si>
    <t>1HL136</t>
  </si>
  <si>
    <t>1HL137</t>
  </si>
  <si>
    <t>1HL138</t>
  </si>
  <si>
    <t>1HL139</t>
  </si>
  <si>
    <t>1HL140</t>
  </si>
  <si>
    <t>1HL141</t>
  </si>
  <si>
    <t>1HL142</t>
  </si>
  <si>
    <t>1HL143</t>
  </si>
  <si>
    <t>1HL144</t>
  </si>
  <si>
    <t>1HL145</t>
  </si>
  <si>
    <t>1HL146</t>
  </si>
  <si>
    <t>1HL147</t>
  </si>
  <si>
    <t>1HL148</t>
  </si>
  <si>
    <t>1HL149</t>
  </si>
  <si>
    <t>1HL150</t>
  </si>
  <si>
    <t>1HL151</t>
  </si>
  <si>
    <t>1HL152</t>
  </si>
  <si>
    <t>1HL153</t>
  </si>
  <si>
    <t>1HL154</t>
  </si>
  <si>
    <t>1HL155</t>
  </si>
  <si>
    <t>1HL156</t>
  </si>
  <si>
    <t>1HL157</t>
  </si>
  <si>
    <t>1HL158</t>
  </si>
  <si>
    <t>1HL159</t>
  </si>
  <si>
    <t>1HL160</t>
  </si>
  <si>
    <t>1HL161</t>
  </si>
  <si>
    <t>1HL162</t>
  </si>
  <si>
    <t>1HL163</t>
  </si>
  <si>
    <t>1HL164</t>
  </si>
  <si>
    <t>1HL165</t>
  </si>
  <si>
    <t>1HL166</t>
  </si>
  <si>
    <t>1HL167</t>
  </si>
  <si>
    <t>1HL168</t>
  </si>
  <si>
    <t>1HL169</t>
  </si>
  <si>
    <t>1HL170</t>
  </si>
  <si>
    <t>1HL171</t>
  </si>
  <si>
    <t>1HL172</t>
  </si>
  <si>
    <t>1HL173</t>
  </si>
  <si>
    <t>1HL174</t>
  </si>
  <si>
    <t>1HL175</t>
  </si>
  <si>
    <t>1HL176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</si>
</sst>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sz val="10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/>
    <xf numFmtId="20" fontId="0" fillId="0" borderId="0" xfId="0" applyNumberFormat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0" fillId="2" borderId="0" xfId="0" applyFill="1" applyAlignment="1">
      <alignment textRotation="90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textRotation="90"/>
    </xf>
    <xf numFmtId="0" fontId="1" fillId="0" borderId="1" xfId="0" applyFont="1" applyBorder="1" applyAlignment="1">
      <alignment textRotation="90"/>
    </xf>
    <xf numFmtId="14" fontId="0" fillId="0" borderId="0" xfId="0" applyNumberFormat="1" applyFill="1"/>
    <xf numFmtId="20" fontId="0" fillId="0" borderId="0" xfId="0" applyNumberFormat="1" applyFill="1"/>
    <xf numFmtId="0" fontId="0" fillId="2" borderId="1" xfId="0" applyFill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9"/>
  <sheetViews>
    <sheetView tabSelected="1" zoomScaleNormal="10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S7" sqref="S7"/>
    </sheetView>
  </sheetViews>
  <sheetFormatPr defaultRowHeight="14.5" x14ac:dyDescent="0.35"/>
  <cols>
    <col min="4" max="4" width="14" customWidth="1"/>
    <col min="12" max="34" width="4.90625" customWidth="1"/>
    <col min="35" max="37" width="8.81640625" customWidth="1"/>
  </cols>
  <sheetData>
    <row r="1" spans="1:37" ht="78.5" x14ac:dyDescent="0.35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</v>
      </c>
      <c r="I1" s="7" t="s">
        <v>6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35">
      <c r="A2" t="s">
        <v>28</v>
      </c>
      <c r="B2">
        <v>1</v>
      </c>
      <c r="C2" t="s">
        <v>99</v>
      </c>
      <c r="D2" s="2">
        <v>38090</v>
      </c>
      <c r="E2">
        <v>0</v>
      </c>
      <c r="F2" s="3">
        <v>0.59375</v>
      </c>
      <c r="G2" s="3">
        <v>0.60416666666666663</v>
      </c>
      <c r="H2">
        <v>13.3</v>
      </c>
      <c r="I2">
        <v>33</v>
      </c>
      <c r="J2">
        <v>1</v>
      </c>
      <c r="K2">
        <v>2</v>
      </c>
      <c r="L2">
        <v>85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 t="shared" ref="AI2:AI65" si="0">SUM(L2:AH2)</f>
        <v>100</v>
      </c>
      <c r="AJ2" t="s">
        <v>9</v>
      </c>
      <c r="AK2">
        <f>1*L2</f>
        <v>85</v>
      </c>
    </row>
    <row r="3" spans="1:37" x14ac:dyDescent="0.35">
      <c r="A3" t="s">
        <v>28</v>
      </c>
      <c r="B3">
        <v>2</v>
      </c>
      <c r="C3" t="s">
        <v>100</v>
      </c>
      <c r="D3" s="2">
        <v>38090</v>
      </c>
      <c r="E3" t="s">
        <v>33</v>
      </c>
      <c r="F3" s="3">
        <v>0.60972222222222217</v>
      </c>
      <c r="G3" s="3">
        <v>0.62013888888888891</v>
      </c>
      <c r="H3">
        <v>14.9</v>
      </c>
      <c r="I3">
        <v>30</v>
      </c>
      <c r="J3">
        <v>1</v>
      </c>
      <c r="K3">
        <v>2</v>
      </c>
      <c r="L3">
        <v>89</v>
      </c>
      <c r="M3">
        <v>6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si="0"/>
        <v>100</v>
      </c>
      <c r="AJ3" t="s">
        <v>9</v>
      </c>
      <c r="AK3">
        <f>1*L3</f>
        <v>89</v>
      </c>
    </row>
    <row r="4" spans="1:37" x14ac:dyDescent="0.35">
      <c r="A4" t="s">
        <v>28</v>
      </c>
      <c r="B4">
        <v>3</v>
      </c>
      <c r="C4" t="s">
        <v>101</v>
      </c>
      <c r="D4" s="2">
        <v>38090</v>
      </c>
      <c r="E4" t="s">
        <v>34</v>
      </c>
      <c r="F4" s="3">
        <v>0.625</v>
      </c>
      <c r="G4" s="3">
        <v>0.63541666666666663</v>
      </c>
      <c r="H4">
        <v>14.5</v>
      </c>
      <c r="I4">
        <v>30</v>
      </c>
      <c r="J4">
        <v>1</v>
      </c>
      <c r="K4">
        <v>0</v>
      </c>
      <c r="L4">
        <v>76</v>
      </c>
      <c r="M4">
        <v>20</v>
      </c>
      <c r="N4">
        <v>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100</v>
      </c>
      <c r="AJ4" t="s">
        <v>9</v>
      </c>
      <c r="AK4">
        <f>1*L4</f>
        <v>76</v>
      </c>
    </row>
    <row r="5" spans="1:37" x14ac:dyDescent="0.35">
      <c r="A5" t="s">
        <v>28</v>
      </c>
      <c r="B5">
        <v>4</v>
      </c>
      <c r="C5" t="s">
        <v>102</v>
      </c>
      <c r="D5" s="2">
        <v>38090</v>
      </c>
      <c r="E5">
        <v>0</v>
      </c>
      <c r="F5" s="3">
        <v>0.64236111111111105</v>
      </c>
      <c r="G5" s="3">
        <v>0.65277777777777779</v>
      </c>
      <c r="H5">
        <v>14.9</v>
      </c>
      <c r="I5">
        <v>32</v>
      </c>
      <c r="J5">
        <v>1</v>
      </c>
      <c r="K5">
        <v>0</v>
      </c>
      <c r="L5">
        <v>77</v>
      </c>
      <c r="M5">
        <v>16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1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100</v>
      </c>
      <c r="AJ5" t="s">
        <v>9</v>
      </c>
      <c r="AK5">
        <f>1*L5</f>
        <v>77</v>
      </c>
    </row>
    <row r="6" spans="1:37" x14ac:dyDescent="0.35">
      <c r="A6" t="s">
        <v>28</v>
      </c>
      <c r="B6">
        <v>5</v>
      </c>
      <c r="C6" t="s">
        <v>103</v>
      </c>
      <c r="D6" s="2">
        <v>38098</v>
      </c>
      <c r="E6" t="s">
        <v>34</v>
      </c>
      <c r="F6" s="3">
        <v>0.4548611111111111</v>
      </c>
      <c r="G6" s="3">
        <v>0.46527777777777773</v>
      </c>
      <c r="H6">
        <v>14.2</v>
      </c>
      <c r="I6">
        <v>41</v>
      </c>
      <c r="J6">
        <v>0</v>
      </c>
      <c r="K6">
        <v>2</v>
      </c>
      <c r="L6">
        <v>72</v>
      </c>
      <c r="M6">
        <v>7</v>
      </c>
      <c r="N6">
        <v>4</v>
      </c>
      <c r="O6">
        <v>0</v>
      </c>
      <c r="P6">
        <v>0</v>
      </c>
      <c r="Q6">
        <v>0</v>
      </c>
      <c r="R6">
        <v>7</v>
      </c>
      <c r="S6">
        <v>2</v>
      </c>
      <c r="T6">
        <v>0</v>
      </c>
      <c r="U6">
        <v>0</v>
      </c>
      <c r="V6">
        <v>8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100</v>
      </c>
      <c r="AJ6" t="s">
        <v>9</v>
      </c>
      <c r="AK6">
        <f>0.05*L6</f>
        <v>3.6</v>
      </c>
    </row>
    <row r="7" spans="1:37" x14ac:dyDescent="0.35">
      <c r="A7" t="s">
        <v>28</v>
      </c>
      <c r="B7">
        <v>6</v>
      </c>
      <c r="C7" t="s">
        <v>104</v>
      </c>
      <c r="D7" s="2">
        <v>38098</v>
      </c>
      <c r="E7" t="s">
        <v>33</v>
      </c>
      <c r="F7" s="3">
        <v>0.47430555555555554</v>
      </c>
      <c r="G7" s="3">
        <v>0.48472222222222222</v>
      </c>
      <c r="H7">
        <v>14</v>
      </c>
      <c r="I7">
        <v>50</v>
      </c>
      <c r="J7">
        <v>0</v>
      </c>
      <c r="K7">
        <v>2</v>
      </c>
      <c r="L7">
        <v>59</v>
      </c>
      <c r="M7">
        <v>30</v>
      </c>
      <c r="N7">
        <v>0</v>
      </c>
      <c r="O7">
        <v>0</v>
      </c>
      <c r="P7">
        <v>0</v>
      </c>
      <c r="Q7">
        <v>0</v>
      </c>
      <c r="R7">
        <v>8</v>
      </c>
      <c r="S7">
        <v>0</v>
      </c>
      <c r="T7">
        <v>0</v>
      </c>
      <c r="U7">
        <v>0</v>
      </c>
      <c r="V7">
        <v>0</v>
      </c>
      <c r="W7">
        <v>3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100</v>
      </c>
      <c r="AJ7" t="s">
        <v>9</v>
      </c>
      <c r="AK7">
        <f>0.1*L7</f>
        <v>5.9</v>
      </c>
    </row>
    <row r="8" spans="1:37" x14ac:dyDescent="0.35">
      <c r="A8" t="s">
        <v>28</v>
      </c>
      <c r="B8">
        <v>7</v>
      </c>
      <c r="C8" t="s">
        <v>105</v>
      </c>
      <c r="D8" s="2">
        <v>38098</v>
      </c>
      <c r="E8">
        <v>0</v>
      </c>
      <c r="F8" s="3">
        <v>0.49305555555555558</v>
      </c>
      <c r="G8" s="3">
        <v>0.50347222222222221</v>
      </c>
      <c r="H8">
        <v>13.9</v>
      </c>
      <c r="I8">
        <v>51</v>
      </c>
      <c r="J8">
        <v>0</v>
      </c>
      <c r="K8">
        <v>2</v>
      </c>
      <c r="L8">
        <v>64</v>
      </c>
      <c r="M8">
        <v>20</v>
      </c>
      <c r="N8">
        <v>0</v>
      </c>
      <c r="O8">
        <v>0</v>
      </c>
      <c r="P8">
        <v>0</v>
      </c>
      <c r="Q8">
        <v>0</v>
      </c>
      <c r="R8">
        <v>12</v>
      </c>
      <c r="S8">
        <v>3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100</v>
      </c>
      <c r="AJ8" t="s">
        <v>9</v>
      </c>
      <c r="AK8">
        <f>0.05*L8</f>
        <v>3.2</v>
      </c>
    </row>
    <row r="9" spans="1:37" x14ac:dyDescent="0.35">
      <c r="A9" t="s">
        <v>28</v>
      </c>
      <c r="B9" t="s">
        <v>38</v>
      </c>
      <c r="C9" t="s">
        <v>106</v>
      </c>
      <c r="D9" s="2">
        <v>38098</v>
      </c>
      <c r="E9" t="s">
        <v>34</v>
      </c>
      <c r="F9" s="3">
        <v>0.52430555555555558</v>
      </c>
      <c r="G9" s="3">
        <v>0.54513888888888895</v>
      </c>
      <c r="H9">
        <v>15.4</v>
      </c>
      <c r="I9">
        <v>42</v>
      </c>
      <c r="J9">
        <v>1</v>
      </c>
      <c r="K9">
        <v>2</v>
      </c>
      <c r="L9">
        <v>60</v>
      </c>
      <c r="M9">
        <v>30</v>
      </c>
      <c r="N9">
        <v>0</v>
      </c>
      <c r="O9">
        <v>0</v>
      </c>
      <c r="P9">
        <v>0</v>
      </c>
      <c r="Q9">
        <v>0</v>
      </c>
      <c r="R9">
        <v>8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100</v>
      </c>
      <c r="AJ9" t="s">
        <v>83</v>
      </c>
      <c r="AK9">
        <f>0.05*R9</f>
        <v>0.4</v>
      </c>
    </row>
    <row r="10" spans="1:37" x14ac:dyDescent="0.35">
      <c r="A10" t="s">
        <v>28</v>
      </c>
      <c r="B10" t="s">
        <v>39</v>
      </c>
      <c r="C10" t="s">
        <v>107</v>
      </c>
      <c r="D10" s="2">
        <v>38098</v>
      </c>
      <c r="E10" t="s">
        <v>34</v>
      </c>
      <c r="F10" s="3">
        <v>0.53472222222222221</v>
      </c>
      <c r="G10" s="3">
        <v>0.54513888888888895</v>
      </c>
      <c r="H10">
        <v>15.4</v>
      </c>
      <c r="I10">
        <v>42</v>
      </c>
      <c r="J10">
        <v>1</v>
      </c>
      <c r="K10">
        <v>2</v>
      </c>
      <c r="L10">
        <v>60</v>
      </c>
      <c r="M10">
        <v>30</v>
      </c>
      <c r="N10">
        <v>0</v>
      </c>
      <c r="O10">
        <v>0</v>
      </c>
      <c r="P10">
        <v>0</v>
      </c>
      <c r="Q10">
        <v>0</v>
      </c>
      <c r="R10">
        <v>8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100</v>
      </c>
      <c r="AJ10" t="s">
        <v>83</v>
      </c>
      <c r="AK10">
        <f>0.05*R10</f>
        <v>0.4</v>
      </c>
    </row>
    <row r="11" spans="1:37" x14ac:dyDescent="0.35">
      <c r="A11" t="s">
        <v>28</v>
      </c>
      <c r="B11">
        <v>9</v>
      </c>
      <c r="C11" t="s">
        <v>108</v>
      </c>
      <c r="D11" s="2">
        <v>38105</v>
      </c>
      <c r="E11">
        <v>0</v>
      </c>
      <c r="F11" s="3">
        <v>0.46180555555555558</v>
      </c>
      <c r="G11" s="3">
        <v>0.47222222222222227</v>
      </c>
      <c r="H11">
        <v>14.4</v>
      </c>
      <c r="I11">
        <v>39</v>
      </c>
      <c r="J11">
        <v>0</v>
      </c>
      <c r="K11">
        <v>3</v>
      </c>
      <c r="L11">
        <v>24</v>
      </c>
      <c r="M11">
        <v>30</v>
      </c>
      <c r="N11">
        <v>0</v>
      </c>
      <c r="O11">
        <v>0</v>
      </c>
      <c r="P11">
        <v>0</v>
      </c>
      <c r="Q11">
        <v>0</v>
      </c>
      <c r="R11">
        <v>30</v>
      </c>
      <c r="S11">
        <v>10</v>
      </c>
      <c r="T11">
        <v>0</v>
      </c>
      <c r="U11">
        <v>0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G11">
        <v>0</v>
      </c>
      <c r="AH11">
        <v>0</v>
      </c>
      <c r="AI11">
        <f t="shared" si="0"/>
        <v>100</v>
      </c>
      <c r="AJ11" t="s">
        <v>96</v>
      </c>
      <c r="AK11">
        <f>0.15*R11</f>
        <v>4.5</v>
      </c>
    </row>
    <row r="12" spans="1:37" x14ac:dyDescent="0.35">
      <c r="A12" t="s">
        <v>28</v>
      </c>
      <c r="B12">
        <v>12</v>
      </c>
      <c r="C12" t="s">
        <v>109</v>
      </c>
      <c r="D12" s="2">
        <v>38105</v>
      </c>
      <c r="E12">
        <v>0</v>
      </c>
      <c r="F12" s="3">
        <v>0.51597222222222217</v>
      </c>
      <c r="G12" s="3">
        <v>0.52638888888888891</v>
      </c>
      <c r="H12">
        <v>15.5</v>
      </c>
      <c r="I12">
        <v>36</v>
      </c>
      <c r="J12">
        <v>0</v>
      </c>
      <c r="K12">
        <v>3</v>
      </c>
      <c r="L12">
        <v>24</v>
      </c>
      <c r="M12">
        <v>30</v>
      </c>
      <c r="N12">
        <v>0</v>
      </c>
      <c r="O12">
        <v>0</v>
      </c>
      <c r="P12">
        <v>0</v>
      </c>
      <c r="Q12">
        <v>0</v>
      </c>
      <c r="R12">
        <v>30</v>
      </c>
      <c r="S12">
        <v>10</v>
      </c>
      <c r="T12">
        <v>0</v>
      </c>
      <c r="U12">
        <v>0</v>
      </c>
      <c r="V12">
        <v>0</v>
      </c>
      <c r="W12">
        <v>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</v>
      </c>
      <c r="AG12">
        <v>0</v>
      </c>
      <c r="AH12">
        <v>0</v>
      </c>
      <c r="AI12">
        <f t="shared" si="0"/>
        <v>100</v>
      </c>
      <c r="AJ12" t="s">
        <v>96</v>
      </c>
      <c r="AK12">
        <f>0.15*R12</f>
        <v>4.5</v>
      </c>
    </row>
    <row r="13" spans="1:37" x14ac:dyDescent="0.35">
      <c r="A13" t="s">
        <v>28</v>
      </c>
      <c r="B13">
        <v>10</v>
      </c>
      <c r="C13" t="s">
        <v>110</v>
      </c>
      <c r="D13" s="2">
        <v>38105</v>
      </c>
      <c r="E13" t="s">
        <v>34</v>
      </c>
      <c r="F13" s="3">
        <v>0.4861111111111111</v>
      </c>
      <c r="G13" s="3">
        <v>0.49652777777777773</v>
      </c>
      <c r="H13">
        <v>15.2</v>
      </c>
      <c r="I13">
        <v>33</v>
      </c>
      <c r="J13">
        <v>0</v>
      </c>
      <c r="K13">
        <v>3</v>
      </c>
      <c r="L13">
        <v>7</v>
      </c>
      <c r="M13">
        <v>7</v>
      </c>
      <c r="N13">
        <v>15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48</v>
      </c>
      <c r="W13">
        <v>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f t="shared" si="0"/>
        <v>100</v>
      </c>
      <c r="AJ13" t="s">
        <v>97</v>
      </c>
      <c r="AK13">
        <f>0.2*R13</f>
        <v>3</v>
      </c>
    </row>
    <row r="14" spans="1:37" x14ac:dyDescent="0.35">
      <c r="A14" t="s">
        <v>28</v>
      </c>
      <c r="B14">
        <v>11</v>
      </c>
      <c r="C14" t="s">
        <v>111</v>
      </c>
      <c r="D14" s="2">
        <v>38105</v>
      </c>
      <c r="E14" t="s">
        <v>36</v>
      </c>
      <c r="F14" s="3">
        <v>0.50138888888888888</v>
      </c>
      <c r="G14" s="3">
        <v>0.51180555555555551</v>
      </c>
      <c r="H14">
        <v>15.4</v>
      </c>
      <c r="I14">
        <v>33</v>
      </c>
      <c r="J14">
        <v>0</v>
      </c>
      <c r="K14">
        <v>3</v>
      </c>
      <c r="L14">
        <v>10</v>
      </c>
      <c r="M14">
        <v>4</v>
      </c>
      <c r="N14">
        <v>0</v>
      </c>
      <c r="O14">
        <v>0</v>
      </c>
      <c r="P14">
        <v>0</v>
      </c>
      <c r="Q14">
        <v>0</v>
      </c>
      <c r="R14">
        <v>20</v>
      </c>
      <c r="S14">
        <v>66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100</v>
      </c>
      <c r="AJ14" t="s">
        <v>97</v>
      </c>
      <c r="AK14">
        <f>0.05*R14</f>
        <v>1</v>
      </c>
    </row>
    <row r="15" spans="1:37" x14ac:dyDescent="0.35">
      <c r="A15" t="s">
        <v>28</v>
      </c>
      <c r="B15">
        <v>13</v>
      </c>
      <c r="C15" t="s">
        <v>112</v>
      </c>
      <c r="D15" s="2">
        <v>38107</v>
      </c>
      <c r="E15">
        <v>0</v>
      </c>
      <c r="F15" s="3">
        <v>0.46527777777777773</v>
      </c>
      <c r="G15" s="3">
        <v>0.47569444444444442</v>
      </c>
      <c r="H15">
        <v>15</v>
      </c>
      <c r="I15">
        <v>38</v>
      </c>
      <c r="J15">
        <v>1</v>
      </c>
      <c r="K15">
        <v>2</v>
      </c>
      <c r="L15">
        <v>40</v>
      </c>
      <c r="M15">
        <v>25</v>
      </c>
      <c r="N15">
        <v>0</v>
      </c>
      <c r="O15">
        <v>0</v>
      </c>
      <c r="P15">
        <v>0</v>
      </c>
      <c r="Q15">
        <v>0</v>
      </c>
      <c r="R15">
        <v>25</v>
      </c>
      <c r="S15">
        <v>5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</v>
      </c>
      <c r="AG15">
        <v>0</v>
      </c>
      <c r="AH15">
        <v>0</v>
      </c>
      <c r="AI15">
        <f t="shared" si="0"/>
        <v>100</v>
      </c>
      <c r="AJ15" t="s">
        <v>96</v>
      </c>
      <c r="AK15">
        <f>0.95*R15</f>
        <v>23.75</v>
      </c>
    </row>
    <row r="16" spans="1:37" x14ac:dyDescent="0.35">
      <c r="A16" t="s">
        <v>28</v>
      </c>
      <c r="B16">
        <v>16</v>
      </c>
      <c r="C16" t="s">
        <v>113</v>
      </c>
      <c r="D16" s="2">
        <v>38107</v>
      </c>
      <c r="E16" t="s">
        <v>45</v>
      </c>
      <c r="F16" s="3">
        <v>0.54652777777777783</v>
      </c>
      <c r="G16" s="3">
        <v>0.55694444444444446</v>
      </c>
      <c r="H16">
        <v>17.399999999999999</v>
      </c>
      <c r="I16">
        <v>30</v>
      </c>
      <c r="J16">
        <v>0</v>
      </c>
      <c r="K16">
        <v>4</v>
      </c>
      <c r="L16">
        <v>49</v>
      </c>
      <c r="M16">
        <v>20</v>
      </c>
      <c r="N16">
        <v>0</v>
      </c>
      <c r="O16">
        <v>0</v>
      </c>
      <c r="P16">
        <v>0</v>
      </c>
      <c r="Q16">
        <v>0</v>
      </c>
      <c r="R16">
        <v>20</v>
      </c>
      <c r="S16">
        <v>10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100</v>
      </c>
      <c r="AJ16" t="s">
        <v>96</v>
      </c>
      <c r="AK16">
        <f>0.3*R16</f>
        <v>6</v>
      </c>
    </row>
    <row r="17" spans="1:37" x14ac:dyDescent="0.35">
      <c r="A17" t="s">
        <v>28</v>
      </c>
      <c r="B17">
        <v>14</v>
      </c>
      <c r="C17" t="s">
        <v>114</v>
      </c>
      <c r="D17" s="2">
        <v>38107</v>
      </c>
      <c r="E17" t="s">
        <v>34</v>
      </c>
      <c r="F17" s="3">
        <v>0.4916666666666667</v>
      </c>
      <c r="G17" s="3">
        <v>0.50208333333333333</v>
      </c>
      <c r="H17">
        <v>16.2</v>
      </c>
      <c r="I17">
        <v>34</v>
      </c>
      <c r="J17">
        <v>0</v>
      </c>
      <c r="K17">
        <v>4</v>
      </c>
      <c r="L17">
        <v>35</v>
      </c>
      <c r="M17">
        <v>35</v>
      </c>
      <c r="N17">
        <v>0</v>
      </c>
      <c r="O17">
        <v>0</v>
      </c>
      <c r="P17">
        <v>0</v>
      </c>
      <c r="Q17">
        <v>0</v>
      </c>
      <c r="R17">
        <v>25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100</v>
      </c>
      <c r="AJ17" t="s">
        <v>97</v>
      </c>
      <c r="AK17">
        <f>0.5*R17</f>
        <v>12.5</v>
      </c>
    </row>
    <row r="18" spans="1:37" x14ac:dyDescent="0.35">
      <c r="A18" t="s">
        <v>28</v>
      </c>
      <c r="B18">
        <v>15</v>
      </c>
      <c r="C18" t="s">
        <v>115</v>
      </c>
      <c r="D18" s="2">
        <v>38107</v>
      </c>
      <c r="E18" t="s">
        <v>33</v>
      </c>
      <c r="F18" s="3">
        <v>0.52361111111111114</v>
      </c>
      <c r="G18" s="3">
        <v>0.53402777777777777</v>
      </c>
      <c r="H18">
        <v>17.399999999999999</v>
      </c>
      <c r="I18">
        <v>30</v>
      </c>
      <c r="J18">
        <v>1</v>
      </c>
      <c r="K18">
        <v>4</v>
      </c>
      <c r="L18">
        <v>30</v>
      </c>
      <c r="M18">
        <v>5</v>
      </c>
      <c r="N18">
        <v>10</v>
      </c>
      <c r="O18">
        <v>0</v>
      </c>
      <c r="P18">
        <v>0</v>
      </c>
      <c r="Q18">
        <v>0</v>
      </c>
      <c r="R18">
        <v>15</v>
      </c>
      <c r="S18">
        <v>0</v>
      </c>
      <c r="T18">
        <v>0</v>
      </c>
      <c r="U18">
        <v>0</v>
      </c>
      <c r="V18">
        <v>35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100</v>
      </c>
      <c r="AJ18" t="s">
        <v>97</v>
      </c>
      <c r="AK18">
        <f>0.5*R18</f>
        <v>7.5</v>
      </c>
    </row>
    <row r="19" spans="1:37" x14ac:dyDescent="0.35">
      <c r="A19" t="s">
        <v>28</v>
      </c>
      <c r="B19">
        <v>17</v>
      </c>
      <c r="C19" t="s">
        <v>116</v>
      </c>
      <c r="D19" s="2">
        <v>38110</v>
      </c>
      <c r="E19" t="s">
        <v>34</v>
      </c>
      <c r="F19" s="3">
        <v>0.55625000000000002</v>
      </c>
      <c r="G19" s="3">
        <v>0.56666666666666665</v>
      </c>
      <c r="H19">
        <v>18.5</v>
      </c>
      <c r="I19">
        <v>46</v>
      </c>
      <c r="J19">
        <v>1</v>
      </c>
      <c r="K19">
        <v>2</v>
      </c>
      <c r="L19">
        <v>43</v>
      </c>
      <c r="M19">
        <v>25</v>
      </c>
      <c r="N19">
        <v>0</v>
      </c>
      <c r="O19">
        <v>0</v>
      </c>
      <c r="P19">
        <v>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100</v>
      </c>
      <c r="AJ19" t="s">
        <v>84</v>
      </c>
      <c r="AK19">
        <f>0.8*R19</f>
        <v>24</v>
      </c>
    </row>
    <row r="20" spans="1:37" x14ac:dyDescent="0.35">
      <c r="A20" t="s">
        <v>28</v>
      </c>
      <c r="B20">
        <v>19</v>
      </c>
      <c r="C20" t="s">
        <v>117</v>
      </c>
      <c r="D20" s="2">
        <v>38110</v>
      </c>
      <c r="E20" t="s">
        <v>40</v>
      </c>
      <c r="F20" s="3">
        <v>0.60555555555555551</v>
      </c>
      <c r="G20" s="3">
        <v>0.61597222222222225</v>
      </c>
      <c r="H20">
        <v>17.2</v>
      </c>
      <c r="I20">
        <v>36</v>
      </c>
      <c r="J20">
        <v>4</v>
      </c>
      <c r="K20">
        <v>2</v>
      </c>
      <c r="L20">
        <v>30</v>
      </c>
      <c r="M20">
        <v>10</v>
      </c>
      <c r="N20">
        <v>0</v>
      </c>
      <c r="O20">
        <v>0</v>
      </c>
      <c r="P20">
        <v>0</v>
      </c>
      <c r="Q20">
        <v>0</v>
      </c>
      <c r="R20">
        <v>20</v>
      </c>
      <c r="S20">
        <v>40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100</v>
      </c>
      <c r="AJ20" t="s">
        <v>83</v>
      </c>
      <c r="AK20">
        <f>0.3*R20</f>
        <v>6</v>
      </c>
    </row>
    <row r="21" spans="1:37" x14ac:dyDescent="0.35">
      <c r="A21" t="s">
        <v>28</v>
      </c>
      <c r="B21">
        <v>20</v>
      </c>
      <c r="C21" t="s">
        <v>118</v>
      </c>
      <c r="D21" s="2">
        <v>38110</v>
      </c>
      <c r="E21" t="s">
        <v>36</v>
      </c>
      <c r="F21" s="3">
        <v>0.64444444444444449</v>
      </c>
      <c r="G21" s="3">
        <v>0.65486111111111112</v>
      </c>
      <c r="H21">
        <v>15.6</v>
      </c>
      <c r="I21">
        <v>43</v>
      </c>
      <c r="J21">
        <v>5</v>
      </c>
      <c r="K21">
        <v>1</v>
      </c>
      <c r="L21">
        <v>34</v>
      </c>
      <c r="M21">
        <v>7</v>
      </c>
      <c r="N21">
        <v>1</v>
      </c>
      <c r="O21">
        <v>0</v>
      </c>
      <c r="P21">
        <v>0</v>
      </c>
      <c r="Q21">
        <v>0</v>
      </c>
      <c r="R21">
        <v>40</v>
      </c>
      <c r="S21">
        <v>13</v>
      </c>
      <c r="T21">
        <v>0</v>
      </c>
      <c r="U21">
        <v>0</v>
      </c>
      <c r="V21">
        <v>0</v>
      </c>
      <c r="W21">
        <v>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0"/>
        <v>100</v>
      </c>
      <c r="AJ21" t="s">
        <v>83</v>
      </c>
      <c r="AK21">
        <f>0.5*R21</f>
        <v>20</v>
      </c>
    </row>
    <row r="22" spans="1:37" x14ac:dyDescent="0.35">
      <c r="A22" t="s">
        <v>28</v>
      </c>
      <c r="B22">
        <v>18</v>
      </c>
      <c r="C22" t="s">
        <v>119</v>
      </c>
      <c r="D22" s="2">
        <v>38110</v>
      </c>
      <c r="E22" t="s">
        <v>34</v>
      </c>
      <c r="F22" s="3">
        <v>0.5756944444444444</v>
      </c>
      <c r="G22" s="3">
        <v>0.58611111111111114</v>
      </c>
      <c r="H22">
        <v>18.399999999999999</v>
      </c>
      <c r="I22">
        <v>35</v>
      </c>
      <c r="J22">
        <v>1</v>
      </c>
      <c r="K22">
        <v>2</v>
      </c>
      <c r="L22">
        <v>10</v>
      </c>
      <c r="M22">
        <v>5</v>
      </c>
      <c r="N22">
        <v>30</v>
      </c>
      <c r="O22">
        <v>0</v>
      </c>
      <c r="P22">
        <v>0</v>
      </c>
      <c r="Q22">
        <v>0</v>
      </c>
      <c r="R22">
        <v>0</v>
      </c>
      <c r="S22">
        <v>55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si="0"/>
        <v>100</v>
      </c>
      <c r="AJ22" t="s">
        <v>11</v>
      </c>
      <c r="AK22">
        <f>0.05*N22</f>
        <v>1.5</v>
      </c>
    </row>
    <row r="23" spans="1:37" x14ac:dyDescent="0.35">
      <c r="A23" t="s">
        <v>28</v>
      </c>
      <c r="B23">
        <v>28</v>
      </c>
      <c r="C23" t="s">
        <v>120</v>
      </c>
      <c r="D23" s="2">
        <v>38117</v>
      </c>
      <c r="E23" t="s">
        <v>48</v>
      </c>
      <c r="F23" s="3">
        <v>0.54166666666666663</v>
      </c>
      <c r="G23" s="3">
        <v>0.55208333333333337</v>
      </c>
      <c r="H23">
        <v>20.399999999999999</v>
      </c>
      <c r="I23">
        <v>56</v>
      </c>
      <c r="J23">
        <v>3</v>
      </c>
      <c r="K23">
        <v>1</v>
      </c>
      <c r="L23">
        <v>60</v>
      </c>
      <c r="M23">
        <v>15</v>
      </c>
      <c r="N23">
        <v>0</v>
      </c>
      <c r="O23">
        <v>0</v>
      </c>
      <c r="P23">
        <v>10</v>
      </c>
      <c r="Q23">
        <v>0</v>
      </c>
      <c r="R23">
        <v>3</v>
      </c>
      <c r="S23">
        <v>10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0"/>
        <v>100</v>
      </c>
      <c r="AJ23" t="s">
        <v>13</v>
      </c>
      <c r="AK23">
        <f>0.15*P23</f>
        <v>1.5</v>
      </c>
    </row>
    <row r="24" spans="1:37" x14ac:dyDescent="0.35">
      <c r="A24" t="s">
        <v>28</v>
      </c>
      <c r="B24">
        <v>22</v>
      </c>
      <c r="C24" t="s">
        <v>121</v>
      </c>
      <c r="D24" s="2">
        <v>38117</v>
      </c>
      <c r="E24" t="s">
        <v>33</v>
      </c>
      <c r="F24" s="3">
        <v>0.43611111111111112</v>
      </c>
      <c r="G24" s="3">
        <v>0.4465277777777778</v>
      </c>
      <c r="H24">
        <v>19.600000000000001</v>
      </c>
      <c r="I24">
        <v>51</v>
      </c>
      <c r="J24">
        <v>1</v>
      </c>
      <c r="K24">
        <v>1</v>
      </c>
      <c r="L24">
        <v>23</v>
      </c>
      <c r="M24">
        <v>5</v>
      </c>
      <c r="N24">
        <v>2</v>
      </c>
      <c r="O24">
        <v>0</v>
      </c>
      <c r="P24">
        <v>0</v>
      </c>
      <c r="Q24">
        <v>0</v>
      </c>
      <c r="R24">
        <v>50</v>
      </c>
      <c r="S24">
        <v>10</v>
      </c>
      <c r="T24">
        <v>0</v>
      </c>
      <c r="U24">
        <v>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0"/>
        <v>100</v>
      </c>
      <c r="AJ24" t="s">
        <v>84</v>
      </c>
      <c r="AK24">
        <f>0.9*R24</f>
        <v>45</v>
      </c>
    </row>
    <row r="25" spans="1:37" x14ac:dyDescent="0.35">
      <c r="A25" t="s">
        <v>28</v>
      </c>
      <c r="B25">
        <v>29</v>
      </c>
      <c r="C25" t="s">
        <v>122</v>
      </c>
      <c r="D25" s="2">
        <v>38117</v>
      </c>
      <c r="E25">
        <v>0</v>
      </c>
      <c r="F25" s="3">
        <v>0.55763888888888891</v>
      </c>
      <c r="G25" s="3">
        <v>0.56805555555555554</v>
      </c>
      <c r="H25">
        <v>21.1</v>
      </c>
      <c r="I25">
        <v>45</v>
      </c>
      <c r="J25">
        <v>4</v>
      </c>
      <c r="K25">
        <v>1</v>
      </c>
      <c r="L25">
        <v>0</v>
      </c>
      <c r="M25">
        <v>5</v>
      </c>
      <c r="N25">
        <v>0</v>
      </c>
      <c r="O25">
        <v>0</v>
      </c>
      <c r="P25">
        <v>0</v>
      </c>
      <c r="Q25">
        <v>0</v>
      </c>
      <c r="R25">
        <v>40</v>
      </c>
      <c r="S25">
        <v>25</v>
      </c>
      <c r="T25">
        <v>0</v>
      </c>
      <c r="U25">
        <v>0</v>
      </c>
      <c r="V25">
        <v>20</v>
      </c>
      <c r="W25">
        <v>10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0"/>
        <v>100</v>
      </c>
      <c r="AJ25" t="s">
        <v>84</v>
      </c>
      <c r="AK25">
        <f>0.9*R25</f>
        <v>36</v>
      </c>
    </row>
    <row r="26" spans="1:37" x14ac:dyDescent="0.35">
      <c r="A26" t="s">
        <v>28</v>
      </c>
      <c r="B26">
        <v>21</v>
      </c>
      <c r="C26" t="s">
        <v>123</v>
      </c>
      <c r="D26" s="2">
        <v>38117</v>
      </c>
      <c r="E26" t="s">
        <v>33</v>
      </c>
      <c r="F26" s="3">
        <v>0.42222222222222222</v>
      </c>
      <c r="G26" s="3">
        <v>0.43263888888888885</v>
      </c>
      <c r="H26">
        <v>19.399999999999999</v>
      </c>
      <c r="I26">
        <v>59</v>
      </c>
      <c r="J26">
        <v>1</v>
      </c>
      <c r="K26">
        <v>1</v>
      </c>
      <c r="L26">
        <v>20</v>
      </c>
      <c r="M26">
        <v>0</v>
      </c>
      <c r="N26">
        <v>0</v>
      </c>
      <c r="O26">
        <v>0</v>
      </c>
      <c r="P26">
        <v>0</v>
      </c>
      <c r="Q26">
        <v>0</v>
      </c>
      <c r="R26">
        <v>50</v>
      </c>
      <c r="S26">
        <v>10</v>
      </c>
      <c r="T26">
        <v>0</v>
      </c>
      <c r="U26">
        <v>0</v>
      </c>
      <c r="V26">
        <v>20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0"/>
        <v>100</v>
      </c>
      <c r="AJ26" t="s">
        <v>83</v>
      </c>
      <c r="AK26">
        <f>0.4*R26</f>
        <v>20</v>
      </c>
    </row>
    <row r="27" spans="1:37" x14ac:dyDescent="0.35">
      <c r="A27" t="s">
        <v>28</v>
      </c>
      <c r="B27">
        <v>23</v>
      </c>
      <c r="C27" t="s">
        <v>124</v>
      </c>
      <c r="D27" s="2">
        <v>38117</v>
      </c>
      <c r="E27">
        <v>0</v>
      </c>
      <c r="F27" s="3">
        <v>0.4513888888888889</v>
      </c>
      <c r="G27" s="3">
        <v>0.46180555555555558</v>
      </c>
      <c r="H27">
        <v>20.2</v>
      </c>
      <c r="I27">
        <v>48</v>
      </c>
      <c r="J27">
        <v>4</v>
      </c>
      <c r="K27">
        <v>2</v>
      </c>
      <c r="L27">
        <v>0</v>
      </c>
      <c r="M27">
        <v>0</v>
      </c>
      <c r="N27">
        <v>2</v>
      </c>
      <c r="O27">
        <v>0</v>
      </c>
      <c r="P27">
        <v>0</v>
      </c>
      <c r="Q27">
        <v>0</v>
      </c>
      <c r="R27">
        <v>50</v>
      </c>
      <c r="S27">
        <v>47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0"/>
        <v>100</v>
      </c>
      <c r="AJ27" t="s">
        <v>83</v>
      </c>
      <c r="AK27">
        <f>0.4*R9</f>
        <v>3.2</v>
      </c>
    </row>
    <row r="28" spans="1:37" x14ac:dyDescent="0.35">
      <c r="A28" t="s">
        <v>28</v>
      </c>
      <c r="B28">
        <v>25</v>
      </c>
      <c r="C28" t="s">
        <v>125</v>
      </c>
      <c r="D28" s="2">
        <v>38117</v>
      </c>
      <c r="E28" t="s">
        <v>47</v>
      </c>
      <c r="F28" s="3">
        <v>0.49652777777777773</v>
      </c>
      <c r="G28" s="3">
        <v>0.50694444444444442</v>
      </c>
      <c r="H28">
        <v>19.600000000000001</v>
      </c>
      <c r="I28">
        <v>42</v>
      </c>
      <c r="J28">
        <v>3</v>
      </c>
      <c r="K28">
        <v>1</v>
      </c>
      <c r="L28">
        <v>20</v>
      </c>
      <c r="M28">
        <v>5</v>
      </c>
      <c r="N28">
        <v>0</v>
      </c>
      <c r="O28">
        <v>0</v>
      </c>
      <c r="P28">
        <v>0</v>
      </c>
      <c r="Q28">
        <v>0</v>
      </c>
      <c r="R28">
        <v>40</v>
      </c>
      <c r="S28">
        <v>20</v>
      </c>
      <c r="T28">
        <v>0</v>
      </c>
      <c r="U28">
        <v>0</v>
      </c>
      <c r="V28">
        <v>0</v>
      </c>
      <c r="W28">
        <v>15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0"/>
        <v>100</v>
      </c>
      <c r="AJ28" t="s">
        <v>83</v>
      </c>
      <c r="AK28">
        <f>0.3*R28</f>
        <v>12</v>
      </c>
    </row>
    <row r="29" spans="1:37" x14ac:dyDescent="0.35">
      <c r="A29" t="s">
        <v>28</v>
      </c>
      <c r="B29">
        <v>26</v>
      </c>
      <c r="C29" t="s">
        <v>126</v>
      </c>
      <c r="D29" s="2">
        <v>38117</v>
      </c>
      <c r="E29" t="s">
        <v>47</v>
      </c>
      <c r="F29" s="3">
        <v>0.49652777777777773</v>
      </c>
      <c r="G29" s="3">
        <v>0.50694444444444442</v>
      </c>
      <c r="H29">
        <v>19.600000000000001</v>
      </c>
      <c r="I29">
        <v>42</v>
      </c>
      <c r="J29">
        <v>3</v>
      </c>
      <c r="K29">
        <v>1</v>
      </c>
      <c r="L29">
        <v>5</v>
      </c>
      <c r="M29">
        <v>3</v>
      </c>
      <c r="N29">
        <v>0</v>
      </c>
      <c r="O29">
        <v>0</v>
      </c>
      <c r="P29">
        <v>0</v>
      </c>
      <c r="Q29">
        <v>0</v>
      </c>
      <c r="R29">
        <v>11</v>
      </c>
      <c r="S29">
        <v>76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0"/>
        <v>100</v>
      </c>
      <c r="AJ29" t="s">
        <v>83</v>
      </c>
      <c r="AK29">
        <f>0.2*1</f>
        <v>0.2</v>
      </c>
    </row>
    <row r="30" spans="1:37" x14ac:dyDescent="0.35">
      <c r="A30" t="s">
        <v>28</v>
      </c>
      <c r="B30">
        <v>26</v>
      </c>
      <c r="C30" t="s">
        <v>126</v>
      </c>
      <c r="D30" s="2">
        <v>38117</v>
      </c>
      <c r="E30" t="s">
        <v>47</v>
      </c>
      <c r="F30" s="3">
        <v>0.49652777777777773</v>
      </c>
      <c r="G30" s="3">
        <v>0.50694444444444442</v>
      </c>
      <c r="H30">
        <v>19.600000000000001</v>
      </c>
      <c r="I30">
        <v>42</v>
      </c>
      <c r="J30">
        <v>3</v>
      </c>
      <c r="K30">
        <v>1</v>
      </c>
      <c r="L30">
        <v>5</v>
      </c>
      <c r="M30">
        <v>3</v>
      </c>
      <c r="N30">
        <v>0</v>
      </c>
      <c r="O30">
        <v>0</v>
      </c>
      <c r="P30">
        <v>0</v>
      </c>
      <c r="Q30">
        <v>0</v>
      </c>
      <c r="R30">
        <v>11</v>
      </c>
      <c r="S30">
        <v>76</v>
      </c>
      <c r="T30">
        <v>0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0"/>
        <v>100</v>
      </c>
      <c r="AJ30" t="s">
        <v>84</v>
      </c>
      <c r="AK30">
        <f>0.95*10</f>
        <v>9.5</v>
      </c>
    </row>
    <row r="31" spans="1:37" x14ac:dyDescent="0.35">
      <c r="A31" t="s">
        <v>28</v>
      </c>
      <c r="B31">
        <v>24</v>
      </c>
      <c r="C31" t="s">
        <v>127</v>
      </c>
      <c r="D31" s="2">
        <v>38117</v>
      </c>
      <c r="E31" t="s">
        <v>33</v>
      </c>
      <c r="F31" s="3">
        <v>0.47638888888888892</v>
      </c>
      <c r="G31" s="3">
        <v>0.48749999999999999</v>
      </c>
      <c r="H31">
        <v>21</v>
      </c>
      <c r="I31">
        <v>41</v>
      </c>
      <c r="J31">
        <v>1</v>
      </c>
      <c r="K31">
        <v>1</v>
      </c>
      <c r="L31">
        <v>2</v>
      </c>
      <c r="M31">
        <v>5</v>
      </c>
      <c r="N31">
        <v>65</v>
      </c>
      <c r="O31">
        <v>0</v>
      </c>
      <c r="P31">
        <v>0</v>
      </c>
      <c r="Q31">
        <v>0</v>
      </c>
      <c r="R31">
        <v>0</v>
      </c>
      <c r="S31">
        <v>13</v>
      </c>
      <c r="T31">
        <v>0</v>
      </c>
      <c r="U31">
        <v>0</v>
      </c>
      <c r="V31">
        <v>0</v>
      </c>
      <c r="W31">
        <v>10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0</v>
      </c>
      <c r="AH31">
        <v>0</v>
      </c>
      <c r="AI31">
        <f t="shared" si="0"/>
        <v>100</v>
      </c>
      <c r="AJ31" t="s">
        <v>11</v>
      </c>
      <c r="AK31">
        <f>0.8*N31</f>
        <v>52</v>
      </c>
    </row>
    <row r="32" spans="1:37" x14ac:dyDescent="0.35">
      <c r="A32" t="s">
        <v>28</v>
      </c>
      <c r="B32">
        <v>27</v>
      </c>
      <c r="C32" t="s">
        <v>128</v>
      </c>
      <c r="D32" s="2">
        <v>38117</v>
      </c>
      <c r="E32">
        <v>0</v>
      </c>
      <c r="F32" s="3">
        <v>0.52013888888888882</v>
      </c>
      <c r="G32" s="3">
        <v>0.53055555555555556</v>
      </c>
      <c r="H32">
        <v>19.7</v>
      </c>
      <c r="I32">
        <v>50</v>
      </c>
      <c r="J32">
        <v>3</v>
      </c>
      <c r="K32">
        <v>1</v>
      </c>
      <c r="L32">
        <v>0</v>
      </c>
      <c r="M32">
        <v>0</v>
      </c>
      <c r="N32">
        <v>75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10</v>
      </c>
      <c r="AG32">
        <v>0</v>
      </c>
      <c r="AH32">
        <v>0</v>
      </c>
      <c r="AI32">
        <f t="shared" si="0"/>
        <v>100</v>
      </c>
      <c r="AJ32" t="s">
        <v>11</v>
      </c>
      <c r="AK32">
        <f>0.15*N32</f>
        <v>11.25</v>
      </c>
    </row>
    <row r="33" spans="1:37" x14ac:dyDescent="0.35">
      <c r="A33" t="s">
        <v>28</v>
      </c>
      <c r="B33">
        <v>33</v>
      </c>
      <c r="C33" t="s">
        <v>129</v>
      </c>
      <c r="D33" s="2">
        <v>38123</v>
      </c>
      <c r="E33">
        <v>0</v>
      </c>
      <c r="F33" s="3">
        <v>0.4236111111111111</v>
      </c>
      <c r="G33" s="3">
        <v>0.43402777777777773</v>
      </c>
      <c r="H33">
        <v>19.600000000000001</v>
      </c>
      <c r="I33">
        <v>48</v>
      </c>
      <c r="J33">
        <v>1</v>
      </c>
      <c r="K33">
        <v>3</v>
      </c>
      <c r="L33">
        <v>60</v>
      </c>
      <c r="M33">
        <v>0</v>
      </c>
      <c r="N33">
        <v>0</v>
      </c>
      <c r="O33">
        <v>0</v>
      </c>
      <c r="P33">
        <v>15</v>
      </c>
      <c r="Q33">
        <v>0</v>
      </c>
      <c r="R33">
        <v>0</v>
      </c>
      <c r="S33">
        <v>25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f t="shared" si="0"/>
        <v>100</v>
      </c>
      <c r="AJ33" t="s">
        <v>13</v>
      </c>
      <c r="AK33">
        <f>1*P33</f>
        <v>15</v>
      </c>
    </row>
    <row r="34" spans="1:37" x14ac:dyDescent="0.35">
      <c r="A34" t="s">
        <v>28</v>
      </c>
      <c r="B34">
        <v>30</v>
      </c>
      <c r="C34" t="s">
        <v>130</v>
      </c>
      <c r="D34" s="2">
        <v>38123</v>
      </c>
      <c r="E34">
        <v>0</v>
      </c>
      <c r="F34" s="3">
        <v>0.38194444444444442</v>
      </c>
      <c r="G34" s="3">
        <v>0.3923611111111111</v>
      </c>
      <c r="H34">
        <v>19.600000000000001</v>
      </c>
      <c r="I34">
        <v>50</v>
      </c>
      <c r="J34">
        <v>1</v>
      </c>
      <c r="K34">
        <v>3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50</v>
      </c>
      <c r="S34">
        <v>10</v>
      </c>
      <c r="T34">
        <v>0</v>
      </c>
      <c r="U34">
        <v>0</v>
      </c>
      <c r="V34">
        <v>10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0"/>
        <v>100</v>
      </c>
      <c r="AJ34" t="s">
        <v>83</v>
      </c>
      <c r="AK34">
        <v>0.1</v>
      </c>
    </row>
    <row r="35" spans="1:37" x14ac:dyDescent="0.35">
      <c r="A35" t="s">
        <v>28</v>
      </c>
      <c r="B35">
        <v>31</v>
      </c>
      <c r="C35" t="s">
        <v>131</v>
      </c>
      <c r="D35" s="2">
        <v>38123</v>
      </c>
      <c r="E35">
        <v>0</v>
      </c>
      <c r="F35" s="3">
        <v>0.39583333333333331</v>
      </c>
      <c r="G35" s="3">
        <v>0.40625</v>
      </c>
      <c r="H35">
        <v>20.5</v>
      </c>
      <c r="I35">
        <v>45</v>
      </c>
      <c r="J35">
        <v>1</v>
      </c>
      <c r="K35">
        <v>3</v>
      </c>
      <c r="L35">
        <v>20</v>
      </c>
      <c r="M35">
        <v>2</v>
      </c>
      <c r="N35">
        <v>70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8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0"/>
        <v>100</v>
      </c>
      <c r="AJ35" t="s">
        <v>11</v>
      </c>
      <c r="AK35">
        <f>0.5*N35</f>
        <v>35</v>
      </c>
    </row>
    <row r="36" spans="1:37" x14ac:dyDescent="0.35">
      <c r="A36" t="s">
        <v>28</v>
      </c>
      <c r="B36">
        <v>34</v>
      </c>
      <c r="C36" t="s">
        <v>132</v>
      </c>
      <c r="D36" s="2">
        <v>38123</v>
      </c>
      <c r="E36">
        <v>0</v>
      </c>
      <c r="F36" s="3">
        <v>0.44861111111111113</v>
      </c>
      <c r="G36" s="3">
        <v>0.45902777777777781</v>
      </c>
      <c r="H36">
        <v>19.600000000000001</v>
      </c>
      <c r="I36">
        <v>48</v>
      </c>
      <c r="J36">
        <v>1</v>
      </c>
      <c r="K36">
        <v>3</v>
      </c>
      <c r="L36">
        <v>0</v>
      </c>
      <c r="M36">
        <v>0</v>
      </c>
      <c r="N36">
        <v>0</v>
      </c>
      <c r="O36">
        <v>100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0"/>
        <v>100</v>
      </c>
      <c r="AJ36" t="s">
        <v>12</v>
      </c>
      <c r="AK36">
        <f>0.05*O36</f>
        <v>5</v>
      </c>
    </row>
    <row r="37" spans="1:37" x14ac:dyDescent="0.35">
      <c r="A37" t="s">
        <v>28</v>
      </c>
      <c r="B37">
        <v>32</v>
      </c>
      <c r="C37" t="s">
        <v>133</v>
      </c>
      <c r="D37" s="2">
        <v>38123</v>
      </c>
      <c r="E37">
        <v>0</v>
      </c>
      <c r="F37" s="3">
        <v>0.40833333333333338</v>
      </c>
      <c r="G37" s="3">
        <v>0.41875000000000001</v>
      </c>
      <c r="H37">
        <v>20.2</v>
      </c>
      <c r="I37">
        <v>44</v>
      </c>
      <c r="J37">
        <v>1</v>
      </c>
      <c r="K37">
        <v>3</v>
      </c>
      <c r="L37">
        <v>0</v>
      </c>
      <c r="M37">
        <v>80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0"/>
        <v>100</v>
      </c>
      <c r="AJ37" t="s">
        <v>10</v>
      </c>
      <c r="AK37">
        <f>0.2*M37</f>
        <v>16</v>
      </c>
    </row>
    <row r="38" spans="1:37" x14ac:dyDescent="0.35">
      <c r="A38" t="s">
        <v>28</v>
      </c>
      <c r="B38">
        <v>40</v>
      </c>
      <c r="C38" t="s">
        <v>134</v>
      </c>
      <c r="D38" s="2">
        <v>38129</v>
      </c>
      <c r="E38" t="s">
        <v>46</v>
      </c>
      <c r="F38" s="3">
        <v>0.41666666666666669</v>
      </c>
      <c r="G38" s="3">
        <v>0.42708333333333331</v>
      </c>
      <c r="H38">
        <v>13.8</v>
      </c>
      <c r="I38">
        <v>37</v>
      </c>
      <c r="J38">
        <v>2</v>
      </c>
      <c r="K38">
        <v>2</v>
      </c>
      <c r="L38">
        <v>69</v>
      </c>
      <c r="M38">
        <v>1</v>
      </c>
      <c r="N38">
        <v>0</v>
      </c>
      <c r="O38">
        <v>0</v>
      </c>
      <c r="P38">
        <v>0</v>
      </c>
      <c r="Q38">
        <v>0</v>
      </c>
      <c r="R38">
        <v>30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f t="shared" si="0"/>
        <v>100</v>
      </c>
      <c r="AJ38" t="s">
        <v>83</v>
      </c>
      <c r="AK38">
        <f>0.4*0.3</f>
        <v>0.12</v>
      </c>
    </row>
    <row r="39" spans="1:37" x14ac:dyDescent="0.35">
      <c r="A39" t="s">
        <v>28</v>
      </c>
      <c r="B39">
        <v>41</v>
      </c>
      <c r="C39" t="s">
        <v>135</v>
      </c>
      <c r="D39" s="2">
        <v>38129</v>
      </c>
      <c r="E39" t="s">
        <v>33</v>
      </c>
      <c r="F39" s="3">
        <v>0.46666666666666662</v>
      </c>
      <c r="G39" s="3">
        <v>0.4770833333333333</v>
      </c>
      <c r="H39">
        <v>14.1</v>
      </c>
      <c r="I39">
        <v>40</v>
      </c>
      <c r="J39">
        <v>1</v>
      </c>
      <c r="K39">
        <v>3</v>
      </c>
      <c r="L39">
        <v>0</v>
      </c>
      <c r="M39">
        <v>7</v>
      </c>
      <c r="N39">
        <v>10</v>
      </c>
      <c r="O39">
        <v>0</v>
      </c>
      <c r="P39">
        <v>0</v>
      </c>
      <c r="Q39">
        <v>0</v>
      </c>
      <c r="R39">
        <v>50</v>
      </c>
      <c r="S39">
        <v>15</v>
      </c>
      <c r="T39">
        <v>0</v>
      </c>
      <c r="U39">
        <v>0</v>
      </c>
      <c r="V39">
        <v>0</v>
      </c>
      <c r="W39">
        <v>15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</v>
      </c>
      <c r="AG39">
        <v>0</v>
      </c>
      <c r="AH39">
        <v>0</v>
      </c>
      <c r="AI39">
        <f t="shared" si="0"/>
        <v>100</v>
      </c>
      <c r="AJ39" t="s">
        <v>83</v>
      </c>
      <c r="AK39">
        <f>0.6*R39</f>
        <v>30</v>
      </c>
    </row>
    <row r="40" spans="1:37" x14ac:dyDescent="0.35">
      <c r="A40" t="s">
        <v>28</v>
      </c>
      <c r="B40">
        <v>43</v>
      </c>
      <c r="C40" t="s">
        <v>136</v>
      </c>
      <c r="D40" s="2">
        <v>38129</v>
      </c>
      <c r="E40" t="s">
        <v>33</v>
      </c>
      <c r="F40" s="3">
        <v>0.5625</v>
      </c>
      <c r="G40" s="3">
        <v>0.57291666666666663</v>
      </c>
      <c r="H40">
        <v>14</v>
      </c>
      <c r="I40">
        <v>42</v>
      </c>
      <c r="J40">
        <v>1</v>
      </c>
      <c r="K40">
        <v>3</v>
      </c>
      <c r="L40">
        <v>50</v>
      </c>
      <c r="M40">
        <v>30</v>
      </c>
      <c r="N40">
        <v>2</v>
      </c>
      <c r="O40">
        <v>0</v>
      </c>
      <c r="P40">
        <v>0</v>
      </c>
      <c r="Q40">
        <v>0</v>
      </c>
      <c r="R40">
        <v>0</v>
      </c>
      <c r="S40">
        <v>5</v>
      </c>
      <c r="T40">
        <v>0</v>
      </c>
      <c r="U40">
        <v>0</v>
      </c>
      <c r="V40">
        <v>0</v>
      </c>
      <c r="W40">
        <v>5</v>
      </c>
      <c r="X40">
        <v>0</v>
      </c>
      <c r="Y40">
        <v>0</v>
      </c>
      <c r="Z40">
        <v>0</v>
      </c>
      <c r="AA40">
        <v>0</v>
      </c>
      <c r="AB40">
        <v>0</v>
      </c>
      <c r="AC40">
        <v>8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0"/>
        <v>100</v>
      </c>
      <c r="AJ40" t="s">
        <v>20</v>
      </c>
      <c r="AK40">
        <f>0.2*AC40</f>
        <v>1.6</v>
      </c>
    </row>
    <row r="41" spans="1:37" x14ac:dyDescent="0.35">
      <c r="A41" t="s">
        <v>28</v>
      </c>
      <c r="B41">
        <v>40</v>
      </c>
      <c r="C41" t="s">
        <v>134</v>
      </c>
      <c r="D41" s="2">
        <v>38129</v>
      </c>
      <c r="E41" t="s">
        <v>46</v>
      </c>
      <c r="F41" s="3">
        <v>0.41666666666666669</v>
      </c>
      <c r="G41" s="3">
        <v>0.42708333333333331</v>
      </c>
      <c r="H41">
        <v>13.8</v>
      </c>
      <c r="I41">
        <v>37</v>
      </c>
      <c r="J41">
        <v>2</v>
      </c>
      <c r="K41">
        <v>2</v>
      </c>
      <c r="L41">
        <v>69</v>
      </c>
      <c r="M41">
        <v>1</v>
      </c>
      <c r="N41">
        <v>0</v>
      </c>
      <c r="O41">
        <v>0</v>
      </c>
      <c r="P41">
        <v>0</v>
      </c>
      <c r="Q41">
        <v>0</v>
      </c>
      <c r="R41">
        <v>30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0"/>
        <v>100</v>
      </c>
      <c r="AJ41" t="s">
        <v>10</v>
      </c>
      <c r="AK41">
        <f>0.5*0.01</f>
        <v>5.0000000000000001E-3</v>
      </c>
    </row>
    <row r="42" spans="1:37" x14ac:dyDescent="0.35">
      <c r="A42" t="s">
        <v>28</v>
      </c>
      <c r="B42">
        <v>41</v>
      </c>
      <c r="C42" t="s">
        <v>135</v>
      </c>
      <c r="D42" s="2">
        <v>38129</v>
      </c>
      <c r="E42" t="s">
        <v>33</v>
      </c>
      <c r="F42" s="3">
        <v>0.46666666666666662</v>
      </c>
      <c r="G42" s="3">
        <v>0.4770833333333333</v>
      </c>
      <c r="H42">
        <v>14.1</v>
      </c>
      <c r="I42">
        <v>40</v>
      </c>
      <c r="J42">
        <v>1</v>
      </c>
      <c r="K42">
        <v>3</v>
      </c>
      <c r="L42">
        <v>0</v>
      </c>
      <c r="M42">
        <v>7</v>
      </c>
      <c r="N42">
        <v>10</v>
      </c>
      <c r="O42">
        <v>0</v>
      </c>
      <c r="P42">
        <v>0</v>
      </c>
      <c r="Q42">
        <v>0</v>
      </c>
      <c r="R42">
        <v>50</v>
      </c>
      <c r="S42">
        <v>15</v>
      </c>
      <c r="T42">
        <v>0</v>
      </c>
      <c r="U42">
        <v>0</v>
      </c>
      <c r="V42">
        <v>0</v>
      </c>
      <c r="W42">
        <v>15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I42">
        <f t="shared" si="0"/>
        <v>100</v>
      </c>
      <c r="AJ42" t="s">
        <v>11</v>
      </c>
      <c r="AK42">
        <f>0.05*N42</f>
        <v>0.5</v>
      </c>
    </row>
    <row r="43" spans="1:37" x14ac:dyDescent="0.35">
      <c r="A43" t="s">
        <v>28</v>
      </c>
      <c r="B43">
        <v>45</v>
      </c>
      <c r="C43" t="s">
        <v>137</v>
      </c>
      <c r="D43" s="2">
        <v>38129</v>
      </c>
      <c r="E43" t="s">
        <v>33</v>
      </c>
      <c r="F43" s="3">
        <v>0.59305555555555556</v>
      </c>
      <c r="G43" s="3">
        <v>0.60347222222222219</v>
      </c>
      <c r="H43">
        <v>14.2</v>
      </c>
      <c r="I43">
        <v>32</v>
      </c>
      <c r="J43">
        <v>1</v>
      </c>
      <c r="K43">
        <v>3</v>
      </c>
      <c r="L43">
        <v>10</v>
      </c>
      <c r="M43">
        <v>10</v>
      </c>
      <c r="N43">
        <v>72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</v>
      </c>
      <c r="AG43">
        <v>0</v>
      </c>
      <c r="AH43">
        <v>0</v>
      </c>
      <c r="AI43">
        <f t="shared" si="0"/>
        <v>100</v>
      </c>
      <c r="AJ43" t="s">
        <v>11</v>
      </c>
      <c r="AK43">
        <f>0.05*N43</f>
        <v>3.6</v>
      </c>
    </row>
    <row r="44" spans="1:37" x14ac:dyDescent="0.35">
      <c r="A44" t="s">
        <v>28</v>
      </c>
      <c r="B44">
        <v>42</v>
      </c>
      <c r="C44" t="s">
        <v>138</v>
      </c>
      <c r="D44" s="2">
        <v>38129</v>
      </c>
      <c r="E44">
        <v>0</v>
      </c>
      <c r="F44" s="3">
        <v>0.51249999999999996</v>
      </c>
      <c r="G44" s="3">
        <v>0.5229166666666667</v>
      </c>
      <c r="H44">
        <v>13.6</v>
      </c>
      <c r="I44">
        <v>39</v>
      </c>
      <c r="J44">
        <v>1</v>
      </c>
      <c r="K44">
        <v>3</v>
      </c>
      <c r="L44">
        <v>0</v>
      </c>
      <c r="M44">
        <v>0</v>
      </c>
      <c r="N44">
        <v>0</v>
      </c>
      <c r="O44">
        <v>100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 t="shared" si="0"/>
        <v>100</v>
      </c>
      <c r="AJ44" t="s">
        <v>12</v>
      </c>
      <c r="AK44">
        <f>0.8*O44</f>
        <v>80</v>
      </c>
    </row>
    <row r="45" spans="1:37" x14ac:dyDescent="0.35">
      <c r="A45" t="s">
        <v>28</v>
      </c>
      <c r="B45">
        <v>44</v>
      </c>
      <c r="C45" t="s">
        <v>139</v>
      </c>
      <c r="D45" s="2">
        <v>38129</v>
      </c>
      <c r="E45">
        <v>0</v>
      </c>
      <c r="F45" s="3">
        <v>0.57430555555555551</v>
      </c>
      <c r="G45" s="3">
        <v>0.58472222222222225</v>
      </c>
      <c r="H45">
        <v>14.9</v>
      </c>
      <c r="I45">
        <v>30</v>
      </c>
      <c r="J45">
        <v>1</v>
      </c>
      <c r="K45">
        <v>3</v>
      </c>
      <c r="L45">
        <v>0</v>
      </c>
      <c r="M45">
        <v>0</v>
      </c>
      <c r="N45">
        <v>0</v>
      </c>
      <c r="O45">
        <v>90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0"/>
        <v>100</v>
      </c>
      <c r="AJ45" t="s">
        <v>12</v>
      </c>
      <c r="AK45">
        <f>0.7*O45</f>
        <v>62.999999999999993</v>
      </c>
    </row>
    <row r="46" spans="1:37" x14ac:dyDescent="0.35">
      <c r="A46" t="s">
        <v>28</v>
      </c>
      <c r="B46">
        <v>41</v>
      </c>
      <c r="C46" t="s">
        <v>135</v>
      </c>
      <c r="D46" s="2">
        <v>38129</v>
      </c>
      <c r="E46" t="s">
        <v>33</v>
      </c>
      <c r="F46" s="3">
        <v>0.46666666666666662</v>
      </c>
      <c r="G46" s="3">
        <v>0.4770833333333333</v>
      </c>
      <c r="H46">
        <v>14.1</v>
      </c>
      <c r="I46">
        <v>40</v>
      </c>
      <c r="J46">
        <v>1</v>
      </c>
      <c r="K46">
        <v>3</v>
      </c>
      <c r="L46">
        <v>0</v>
      </c>
      <c r="M46">
        <v>7</v>
      </c>
      <c r="N46">
        <v>10</v>
      </c>
      <c r="O46">
        <v>0</v>
      </c>
      <c r="P46">
        <v>0</v>
      </c>
      <c r="Q46">
        <v>0</v>
      </c>
      <c r="R46">
        <v>50</v>
      </c>
      <c r="S46">
        <v>15</v>
      </c>
      <c r="T46">
        <v>0</v>
      </c>
      <c r="U46">
        <v>0</v>
      </c>
      <c r="V46">
        <v>0</v>
      </c>
      <c r="W46">
        <v>15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</v>
      </c>
      <c r="AG46">
        <v>0</v>
      </c>
      <c r="AH46">
        <v>0</v>
      </c>
      <c r="AI46">
        <f t="shared" si="0"/>
        <v>100</v>
      </c>
      <c r="AJ46" t="s">
        <v>10</v>
      </c>
      <c r="AK46">
        <f>0.05*M46</f>
        <v>0.35000000000000003</v>
      </c>
    </row>
    <row r="47" spans="1:37" x14ac:dyDescent="0.35">
      <c r="A47" t="s">
        <v>28</v>
      </c>
      <c r="B47">
        <v>45</v>
      </c>
      <c r="C47" t="s">
        <v>137</v>
      </c>
      <c r="D47" s="2">
        <v>38129</v>
      </c>
      <c r="E47" t="s">
        <v>33</v>
      </c>
      <c r="F47" s="3">
        <v>0.59305555555555556</v>
      </c>
      <c r="G47" s="3">
        <v>0.60347222222222219</v>
      </c>
      <c r="H47">
        <v>14.2</v>
      </c>
      <c r="I47">
        <v>32</v>
      </c>
      <c r="J47">
        <v>1</v>
      </c>
      <c r="K47">
        <v>3</v>
      </c>
      <c r="L47">
        <v>10</v>
      </c>
      <c r="M47">
        <v>10</v>
      </c>
      <c r="N47">
        <v>72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0</v>
      </c>
      <c r="AH47">
        <v>0</v>
      </c>
      <c r="AI47">
        <f t="shared" si="0"/>
        <v>100</v>
      </c>
      <c r="AJ47" t="s">
        <v>10</v>
      </c>
      <c r="AK47">
        <f>0.01*M47</f>
        <v>0.1</v>
      </c>
    </row>
    <row r="48" spans="1:37" x14ac:dyDescent="0.35">
      <c r="A48" t="s">
        <v>28</v>
      </c>
      <c r="B48">
        <v>35</v>
      </c>
      <c r="C48" t="s">
        <v>140</v>
      </c>
      <c r="D48" s="2">
        <v>38130</v>
      </c>
      <c r="E48">
        <v>0</v>
      </c>
      <c r="F48" s="3">
        <v>0.44305555555555554</v>
      </c>
      <c r="G48" s="3">
        <v>0.45347222222222222</v>
      </c>
      <c r="H48">
        <v>13.3</v>
      </c>
      <c r="I48">
        <v>37</v>
      </c>
      <c r="J48">
        <v>2</v>
      </c>
      <c r="K48">
        <v>3</v>
      </c>
      <c r="L48">
        <v>71</v>
      </c>
      <c r="M48">
        <v>10</v>
      </c>
      <c r="N48">
        <v>0</v>
      </c>
      <c r="O48">
        <v>0</v>
      </c>
      <c r="P48">
        <v>15</v>
      </c>
      <c r="Q48">
        <v>0</v>
      </c>
      <c r="R48">
        <v>0</v>
      </c>
      <c r="S48">
        <v>0</v>
      </c>
      <c r="T48">
        <v>0</v>
      </c>
      <c r="U48">
        <v>0</v>
      </c>
      <c r="V48">
        <v>2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 t="shared" si="0"/>
        <v>100</v>
      </c>
      <c r="AJ48" t="s">
        <v>13</v>
      </c>
      <c r="AK48">
        <f>0.6*P48</f>
        <v>9</v>
      </c>
    </row>
    <row r="49" spans="1:37" x14ac:dyDescent="0.35">
      <c r="A49" t="s">
        <v>28</v>
      </c>
      <c r="B49">
        <v>39</v>
      </c>
      <c r="C49" t="s">
        <v>141</v>
      </c>
      <c r="D49" s="2">
        <v>38130</v>
      </c>
      <c r="E49">
        <v>0</v>
      </c>
      <c r="F49" s="3">
        <v>0.49583333333333335</v>
      </c>
      <c r="G49" s="3">
        <v>0.50624999999999998</v>
      </c>
      <c r="H49">
        <v>13.9</v>
      </c>
      <c r="I49">
        <v>33</v>
      </c>
      <c r="J49">
        <v>1</v>
      </c>
      <c r="K49">
        <v>3</v>
      </c>
      <c r="L49">
        <v>0</v>
      </c>
      <c r="M49">
        <v>10</v>
      </c>
      <c r="N49">
        <v>0</v>
      </c>
      <c r="O49">
        <v>0</v>
      </c>
      <c r="P49">
        <v>0</v>
      </c>
      <c r="Q49">
        <v>0</v>
      </c>
      <c r="R49">
        <v>55</v>
      </c>
      <c r="S49">
        <v>0</v>
      </c>
      <c r="T49">
        <v>0</v>
      </c>
      <c r="U49">
        <v>0</v>
      </c>
      <c r="V49">
        <v>35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f t="shared" si="0"/>
        <v>100</v>
      </c>
      <c r="AJ49" t="s">
        <v>84</v>
      </c>
      <c r="AK49">
        <f>0.5*R49</f>
        <v>27.5</v>
      </c>
    </row>
    <row r="50" spans="1:37" x14ac:dyDescent="0.35">
      <c r="A50" t="s">
        <v>28</v>
      </c>
      <c r="B50">
        <v>36</v>
      </c>
      <c r="C50" t="s">
        <v>142</v>
      </c>
      <c r="D50" s="2">
        <v>38130</v>
      </c>
      <c r="E50" t="s">
        <v>47</v>
      </c>
      <c r="F50" s="3">
        <v>0.54861111111111105</v>
      </c>
      <c r="G50" s="3">
        <v>0.55902777777777779</v>
      </c>
      <c r="H50">
        <v>15.8</v>
      </c>
      <c r="I50">
        <v>32</v>
      </c>
      <c r="J50">
        <v>1</v>
      </c>
      <c r="K50">
        <v>3</v>
      </c>
      <c r="L50">
        <v>25</v>
      </c>
      <c r="M50">
        <v>32</v>
      </c>
      <c r="N50">
        <v>0</v>
      </c>
      <c r="O50">
        <v>0</v>
      </c>
      <c r="P50">
        <v>0</v>
      </c>
      <c r="Q50">
        <v>0</v>
      </c>
      <c r="R50">
        <v>30</v>
      </c>
      <c r="S50">
        <v>10</v>
      </c>
      <c r="T50">
        <v>0</v>
      </c>
      <c r="U50">
        <v>0</v>
      </c>
      <c r="V50">
        <v>0</v>
      </c>
      <c r="W50">
        <v>3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0"/>
        <v>100</v>
      </c>
      <c r="AJ50" t="s">
        <v>83</v>
      </c>
      <c r="AK50">
        <f>0.3*15</f>
        <v>4.5</v>
      </c>
    </row>
    <row r="51" spans="1:37" x14ac:dyDescent="0.35">
      <c r="A51" t="s">
        <v>28</v>
      </c>
      <c r="B51">
        <v>36</v>
      </c>
      <c r="C51" t="s">
        <v>142</v>
      </c>
      <c r="D51" s="2">
        <v>38130</v>
      </c>
      <c r="E51" t="s">
        <v>47</v>
      </c>
      <c r="F51" s="3">
        <v>0.54861111111111105</v>
      </c>
      <c r="G51" s="3">
        <v>0.55902777777777779</v>
      </c>
      <c r="H51">
        <v>15.8</v>
      </c>
      <c r="I51">
        <v>32</v>
      </c>
      <c r="J51">
        <v>1</v>
      </c>
      <c r="K51">
        <v>3</v>
      </c>
      <c r="L51">
        <v>25</v>
      </c>
      <c r="M51">
        <v>32</v>
      </c>
      <c r="N51">
        <v>0</v>
      </c>
      <c r="O51">
        <v>0</v>
      </c>
      <c r="P51">
        <v>0</v>
      </c>
      <c r="Q51">
        <v>0</v>
      </c>
      <c r="R51">
        <v>30</v>
      </c>
      <c r="S51">
        <v>10</v>
      </c>
      <c r="T51">
        <v>0</v>
      </c>
      <c r="U51">
        <v>0</v>
      </c>
      <c r="V51">
        <v>0</v>
      </c>
      <c r="W51">
        <v>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0"/>
        <v>100</v>
      </c>
      <c r="AJ51" t="s">
        <v>84</v>
      </c>
      <c r="AK51">
        <f>0.02*15</f>
        <v>0.3</v>
      </c>
    </row>
    <row r="52" spans="1:37" x14ac:dyDescent="0.35">
      <c r="A52" t="s">
        <v>28</v>
      </c>
      <c r="B52">
        <v>38</v>
      </c>
      <c r="C52" t="s">
        <v>143</v>
      </c>
      <c r="D52" s="2">
        <v>38130</v>
      </c>
      <c r="E52" t="s">
        <v>33</v>
      </c>
      <c r="F52" s="3">
        <v>0.53125</v>
      </c>
      <c r="G52" s="3">
        <v>0.54166666666666663</v>
      </c>
      <c r="H52">
        <v>15.2</v>
      </c>
      <c r="I52">
        <v>41</v>
      </c>
      <c r="J52">
        <v>1</v>
      </c>
      <c r="K52">
        <v>3</v>
      </c>
      <c r="L52">
        <v>45</v>
      </c>
      <c r="M52">
        <v>2</v>
      </c>
      <c r="N52">
        <v>15</v>
      </c>
      <c r="O52">
        <v>0</v>
      </c>
      <c r="P52">
        <v>0</v>
      </c>
      <c r="Q52">
        <v>0</v>
      </c>
      <c r="R52">
        <v>2</v>
      </c>
      <c r="S52">
        <v>12</v>
      </c>
      <c r="T52">
        <v>0</v>
      </c>
      <c r="U52">
        <v>0</v>
      </c>
      <c r="V52">
        <v>3</v>
      </c>
      <c r="W52">
        <v>12</v>
      </c>
      <c r="X52">
        <v>0</v>
      </c>
      <c r="Y52">
        <v>0</v>
      </c>
      <c r="Z52">
        <v>0</v>
      </c>
      <c r="AA52">
        <v>2</v>
      </c>
      <c r="AB52">
        <v>0</v>
      </c>
      <c r="AC52">
        <v>7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0"/>
        <v>100</v>
      </c>
      <c r="AJ52" t="s">
        <v>20</v>
      </c>
      <c r="AK52">
        <f>0.2*AC52</f>
        <v>1.4000000000000001</v>
      </c>
    </row>
    <row r="53" spans="1:37" x14ac:dyDescent="0.35">
      <c r="A53" t="s">
        <v>28</v>
      </c>
      <c r="B53">
        <v>38</v>
      </c>
      <c r="C53" t="s">
        <v>143</v>
      </c>
      <c r="D53" s="2">
        <v>38130</v>
      </c>
      <c r="E53" t="s">
        <v>33</v>
      </c>
      <c r="F53" s="3">
        <v>0.53125</v>
      </c>
      <c r="G53" s="3">
        <v>0.54166666666666663</v>
      </c>
      <c r="H53">
        <v>15.2</v>
      </c>
      <c r="I53">
        <v>41</v>
      </c>
      <c r="J53">
        <v>1</v>
      </c>
      <c r="K53">
        <v>3</v>
      </c>
      <c r="L53">
        <v>45</v>
      </c>
      <c r="M53">
        <v>2</v>
      </c>
      <c r="N53">
        <v>15</v>
      </c>
      <c r="O53">
        <v>0</v>
      </c>
      <c r="P53">
        <v>0</v>
      </c>
      <c r="Q53">
        <v>0</v>
      </c>
      <c r="R53">
        <v>2</v>
      </c>
      <c r="S53">
        <v>12</v>
      </c>
      <c r="T53">
        <v>0</v>
      </c>
      <c r="U53">
        <v>0</v>
      </c>
      <c r="V53">
        <v>3</v>
      </c>
      <c r="W53">
        <v>12</v>
      </c>
      <c r="X53">
        <v>0</v>
      </c>
      <c r="Y53">
        <v>0</v>
      </c>
      <c r="Z53">
        <v>0</v>
      </c>
      <c r="AA53">
        <v>2</v>
      </c>
      <c r="AB53">
        <v>0</v>
      </c>
      <c r="AC53">
        <v>7</v>
      </c>
      <c r="AD53">
        <v>0</v>
      </c>
      <c r="AE53">
        <v>0</v>
      </c>
      <c r="AF53">
        <v>0</v>
      </c>
      <c r="AG53">
        <v>0</v>
      </c>
      <c r="AH53">
        <v>0</v>
      </c>
      <c r="AI53">
        <f t="shared" si="0"/>
        <v>100</v>
      </c>
      <c r="AJ53" t="s">
        <v>11</v>
      </c>
      <c r="AK53">
        <f>0.03*N53</f>
        <v>0.44999999999999996</v>
      </c>
    </row>
    <row r="54" spans="1:37" x14ac:dyDescent="0.35">
      <c r="A54" t="s">
        <v>28</v>
      </c>
      <c r="B54">
        <v>38</v>
      </c>
      <c r="C54" t="s">
        <v>143</v>
      </c>
      <c r="D54" s="2">
        <v>38130</v>
      </c>
      <c r="E54" t="s">
        <v>33</v>
      </c>
      <c r="F54" s="3">
        <v>0.53125</v>
      </c>
      <c r="G54" s="3">
        <v>0.54166666666666663</v>
      </c>
      <c r="H54">
        <v>15.2</v>
      </c>
      <c r="I54">
        <v>41</v>
      </c>
      <c r="J54">
        <v>1</v>
      </c>
      <c r="K54">
        <v>3</v>
      </c>
      <c r="L54">
        <v>45</v>
      </c>
      <c r="M54">
        <v>2</v>
      </c>
      <c r="N54">
        <v>15</v>
      </c>
      <c r="O54">
        <v>0</v>
      </c>
      <c r="P54">
        <v>0</v>
      </c>
      <c r="Q54">
        <v>0</v>
      </c>
      <c r="R54">
        <v>2</v>
      </c>
      <c r="S54">
        <v>12</v>
      </c>
      <c r="T54">
        <v>0</v>
      </c>
      <c r="U54">
        <v>0</v>
      </c>
      <c r="V54">
        <v>3</v>
      </c>
      <c r="W54">
        <v>12</v>
      </c>
      <c r="X54">
        <v>0</v>
      </c>
      <c r="Y54">
        <v>0</v>
      </c>
      <c r="Z54">
        <v>0</v>
      </c>
      <c r="AA54">
        <v>2</v>
      </c>
      <c r="AB54">
        <v>0</v>
      </c>
      <c r="AC54">
        <v>7</v>
      </c>
      <c r="AD54">
        <v>0</v>
      </c>
      <c r="AE54">
        <v>0</v>
      </c>
      <c r="AF54">
        <v>0</v>
      </c>
      <c r="AG54">
        <v>0</v>
      </c>
      <c r="AH54">
        <v>0</v>
      </c>
      <c r="AI54">
        <f t="shared" si="0"/>
        <v>100</v>
      </c>
      <c r="AJ54" t="s">
        <v>10</v>
      </c>
      <c r="AK54">
        <f>0.01*M54</f>
        <v>0.02</v>
      </c>
    </row>
    <row r="55" spans="1:37" x14ac:dyDescent="0.35">
      <c r="A55" t="s">
        <v>28</v>
      </c>
      <c r="B55">
        <v>37</v>
      </c>
      <c r="C55" t="s">
        <v>144</v>
      </c>
      <c r="D55" s="2">
        <v>38130</v>
      </c>
      <c r="E55">
        <v>0</v>
      </c>
      <c r="F55" s="3">
        <v>0.48055555555555557</v>
      </c>
      <c r="G55" s="3">
        <v>0.4909722222222222</v>
      </c>
      <c r="H55">
        <v>14.2</v>
      </c>
      <c r="I55">
        <v>41</v>
      </c>
      <c r="J55">
        <v>1</v>
      </c>
      <c r="K55">
        <v>3</v>
      </c>
      <c r="L55">
        <v>0</v>
      </c>
      <c r="M55">
        <v>0</v>
      </c>
      <c r="N55">
        <v>0</v>
      </c>
      <c r="O55">
        <v>95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0"/>
        <v>100</v>
      </c>
      <c r="AJ55" t="s">
        <v>12</v>
      </c>
      <c r="AK55">
        <f>0.5*O55</f>
        <v>47.5</v>
      </c>
    </row>
    <row r="56" spans="1:37" x14ac:dyDescent="0.35">
      <c r="A56" t="s">
        <v>28</v>
      </c>
      <c r="B56">
        <v>36</v>
      </c>
      <c r="C56" t="s">
        <v>142</v>
      </c>
      <c r="D56" s="2">
        <v>38130</v>
      </c>
      <c r="E56" t="s">
        <v>47</v>
      </c>
      <c r="F56" s="3">
        <v>0.54861111111111105</v>
      </c>
      <c r="G56" s="3">
        <v>0.55902777777777779</v>
      </c>
      <c r="H56">
        <v>15.8</v>
      </c>
      <c r="I56">
        <v>32</v>
      </c>
      <c r="J56">
        <v>1</v>
      </c>
      <c r="K56">
        <v>3</v>
      </c>
      <c r="L56">
        <v>25</v>
      </c>
      <c r="M56">
        <v>32</v>
      </c>
      <c r="N56">
        <v>0</v>
      </c>
      <c r="O56">
        <v>0</v>
      </c>
      <c r="P56">
        <v>0</v>
      </c>
      <c r="Q56">
        <v>0</v>
      </c>
      <c r="R56">
        <v>30</v>
      </c>
      <c r="S56">
        <v>10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si="0"/>
        <v>100</v>
      </c>
      <c r="AJ56" t="s">
        <v>10</v>
      </c>
      <c r="AK56">
        <f>0.3*32</f>
        <v>9.6</v>
      </c>
    </row>
    <row r="57" spans="1:37" x14ac:dyDescent="0.35">
      <c r="A57" t="s">
        <v>28</v>
      </c>
      <c r="B57">
        <v>46</v>
      </c>
      <c r="C57" t="s">
        <v>145</v>
      </c>
      <c r="D57" s="2">
        <v>38134</v>
      </c>
      <c r="E57">
        <v>0</v>
      </c>
      <c r="F57" s="3">
        <v>0.55555555555555558</v>
      </c>
      <c r="G57" s="3">
        <v>0.56597222222222221</v>
      </c>
      <c r="H57">
        <v>18.399999999999999</v>
      </c>
      <c r="I57">
        <v>38</v>
      </c>
      <c r="J57">
        <v>2</v>
      </c>
      <c r="K57">
        <v>2</v>
      </c>
      <c r="L57">
        <v>0</v>
      </c>
      <c r="M57">
        <v>10</v>
      </c>
      <c r="N57">
        <v>0</v>
      </c>
      <c r="O57">
        <v>0</v>
      </c>
      <c r="P57">
        <v>0</v>
      </c>
      <c r="Q57">
        <v>0</v>
      </c>
      <c r="R57">
        <v>55</v>
      </c>
      <c r="S57">
        <v>0</v>
      </c>
      <c r="T57">
        <v>0</v>
      </c>
      <c r="U57">
        <v>0</v>
      </c>
      <c r="V57">
        <v>35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0"/>
        <v>100</v>
      </c>
      <c r="AJ57" t="s">
        <v>84</v>
      </c>
      <c r="AK57">
        <f>0.5*R57</f>
        <v>27.5</v>
      </c>
    </row>
    <row r="58" spans="1:37" x14ac:dyDescent="0.35">
      <c r="A58" t="s">
        <v>28</v>
      </c>
      <c r="B58">
        <v>48</v>
      </c>
      <c r="C58" t="s">
        <v>146</v>
      </c>
      <c r="D58" s="2">
        <v>38134</v>
      </c>
      <c r="E58" t="s">
        <v>33</v>
      </c>
      <c r="F58" s="3">
        <v>0.59305555555555556</v>
      </c>
      <c r="G58" s="3">
        <v>0.60347222222222219</v>
      </c>
      <c r="H58">
        <v>19.2</v>
      </c>
      <c r="I58">
        <v>42</v>
      </c>
      <c r="J58">
        <v>3</v>
      </c>
      <c r="K58">
        <v>2</v>
      </c>
      <c r="L58">
        <v>30</v>
      </c>
      <c r="M58">
        <v>40</v>
      </c>
      <c r="N58">
        <v>5</v>
      </c>
      <c r="O58">
        <v>0</v>
      </c>
      <c r="P58">
        <v>0</v>
      </c>
      <c r="Q58">
        <v>0</v>
      </c>
      <c r="R58">
        <v>10</v>
      </c>
      <c r="S58">
        <v>3</v>
      </c>
      <c r="T58">
        <v>0</v>
      </c>
      <c r="U58">
        <v>0</v>
      </c>
      <c r="V58">
        <v>0</v>
      </c>
      <c r="W58">
        <v>5</v>
      </c>
      <c r="X58">
        <v>0</v>
      </c>
      <c r="Y58">
        <v>0</v>
      </c>
      <c r="Z58">
        <v>0</v>
      </c>
      <c r="AA58">
        <v>0</v>
      </c>
      <c r="AB58">
        <v>0</v>
      </c>
      <c r="AC58">
        <v>7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 t="shared" si="0"/>
        <v>100</v>
      </c>
      <c r="AJ58" t="s">
        <v>83</v>
      </c>
      <c r="AK58">
        <f>0.05*R58</f>
        <v>0.5</v>
      </c>
    </row>
    <row r="59" spans="1:37" x14ac:dyDescent="0.35">
      <c r="A59" t="s">
        <v>28</v>
      </c>
      <c r="B59">
        <v>48</v>
      </c>
      <c r="C59" t="s">
        <v>146</v>
      </c>
      <c r="D59" s="2">
        <v>38134</v>
      </c>
      <c r="E59" t="s">
        <v>33</v>
      </c>
      <c r="F59" s="3">
        <v>0.59305555555555556</v>
      </c>
      <c r="G59" s="3">
        <v>0.60347222222222219</v>
      </c>
      <c r="H59">
        <v>19.2</v>
      </c>
      <c r="I59">
        <v>42</v>
      </c>
      <c r="J59">
        <v>3</v>
      </c>
      <c r="K59">
        <v>2</v>
      </c>
      <c r="L59">
        <v>30</v>
      </c>
      <c r="M59">
        <v>40</v>
      </c>
      <c r="N59">
        <v>5</v>
      </c>
      <c r="O59">
        <v>0</v>
      </c>
      <c r="P59">
        <v>0</v>
      </c>
      <c r="Q59">
        <v>0</v>
      </c>
      <c r="R59">
        <v>10</v>
      </c>
      <c r="S59">
        <v>3</v>
      </c>
      <c r="T59">
        <v>0</v>
      </c>
      <c r="U59">
        <v>0</v>
      </c>
      <c r="V59">
        <v>0</v>
      </c>
      <c r="W59">
        <v>5</v>
      </c>
      <c r="X59">
        <v>0</v>
      </c>
      <c r="Y59">
        <v>0</v>
      </c>
      <c r="Z59">
        <v>0</v>
      </c>
      <c r="AA59">
        <v>0</v>
      </c>
      <c r="AB59">
        <v>0</v>
      </c>
      <c r="AC59">
        <v>7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 t="shared" si="0"/>
        <v>100</v>
      </c>
      <c r="AJ59" t="s">
        <v>20</v>
      </c>
      <c r="AK59">
        <f>0.25*AC59</f>
        <v>1.75</v>
      </c>
    </row>
    <row r="60" spans="1:37" x14ac:dyDescent="0.35">
      <c r="A60" t="s">
        <v>28</v>
      </c>
      <c r="B60">
        <v>47</v>
      </c>
      <c r="C60" t="s">
        <v>147</v>
      </c>
      <c r="D60" s="2">
        <v>38134</v>
      </c>
      <c r="E60">
        <v>0</v>
      </c>
      <c r="F60" s="3">
        <v>0.56944444444444442</v>
      </c>
      <c r="G60" s="3">
        <v>0.57986111111111105</v>
      </c>
      <c r="H60">
        <v>19.3</v>
      </c>
      <c r="I60">
        <v>32</v>
      </c>
      <c r="J60">
        <v>2</v>
      </c>
      <c r="K60">
        <v>2</v>
      </c>
      <c r="L60">
        <v>0</v>
      </c>
      <c r="M60">
        <v>0</v>
      </c>
      <c r="N60">
        <v>0</v>
      </c>
      <c r="O60">
        <v>98</v>
      </c>
      <c r="P60">
        <v>0</v>
      </c>
      <c r="Q60">
        <v>0</v>
      </c>
      <c r="R60">
        <v>0</v>
      </c>
      <c r="S60">
        <v>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0"/>
        <v>100</v>
      </c>
      <c r="AJ60" t="s">
        <v>12</v>
      </c>
      <c r="AK60">
        <f>0.7*O60</f>
        <v>68.599999999999994</v>
      </c>
    </row>
    <row r="61" spans="1:37" x14ac:dyDescent="0.35">
      <c r="A61" t="s">
        <v>28</v>
      </c>
      <c r="B61">
        <v>48</v>
      </c>
      <c r="C61" t="s">
        <v>146</v>
      </c>
      <c r="D61" s="2">
        <v>38134</v>
      </c>
      <c r="E61" t="s">
        <v>33</v>
      </c>
      <c r="F61" s="3">
        <v>0.59305555555555556</v>
      </c>
      <c r="G61" s="3">
        <v>0.60347222222222219</v>
      </c>
      <c r="H61">
        <v>19.2</v>
      </c>
      <c r="I61">
        <v>42</v>
      </c>
      <c r="J61">
        <v>3</v>
      </c>
      <c r="K61">
        <v>2</v>
      </c>
      <c r="L61">
        <v>30</v>
      </c>
      <c r="M61">
        <v>40</v>
      </c>
      <c r="N61">
        <v>5</v>
      </c>
      <c r="O61">
        <v>0</v>
      </c>
      <c r="P61">
        <v>0</v>
      </c>
      <c r="Q61">
        <v>0</v>
      </c>
      <c r="R61">
        <v>10</v>
      </c>
      <c r="S61">
        <v>3</v>
      </c>
      <c r="T61">
        <v>0</v>
      </c>
      <c r="U61">
        <v>0</v>
      </c>
      <c r="V61">
        <v>0</v>
      </c>
      <c r="W61">
        <v>5</v>
      </c>
      <c r="X61">
        <v>0</v>
      </c>
      <c r="Y61">
        <v>0</v>
      </c>
      <c r="Z61">
        <v>0</v>
      </c>
      <c r="AA61">
        <v>0</v>
      </c>
      <c r="AB61">
        <v>0</v>
      </c>
      <c r="AC61">
        <v>7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0"/>
        <v>100</v>
      </c>
      <c r="AJ61" t="s">
        <v>10</v>
      </c>
      <c r="AK61">
        <f>0.25*M61</f>
        <v>10</v>
      </c>
    </row>
    <row r="62" spans="1:37" x14ac:dyDescent="0.35">
      <c r="A62" t="s">
        <v>28</v>
      </c>
      <c r="B62">
        <v>53</v>
      </c>
      <c r="C62" t="s">
        <v>148</v>
      </c>
      <c r="D62" s="2">
        <v>38136</v>
      </c>
      <c r="E62" t="s">
        <v>46</v>
      </c>
      <c r="F62" s="3">
        <v>0.625</v>
      </c>
      <c r="G62" s="3">
        <v>0.63541666666666663</v>
      </c>
      <c r="H62">
        <v>19.399999999999999</v>
      </c>
      <c r="I62">
        <v>25</v>
      </c>
      <c r="J62">
        <v>0</v>
      </c>
      <c r="K62">
        <v>2</v>
      </c>
      <c r="L62">
        <v>0</v>
      </c>
      <c r="M62">
        <v>50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35</v>
      </c>
      <c r="W62">
        <v>0</v>
      </c>
      <c r="X62">
        <v>0</v>
      </c>
      <c r="Y62">
        <v>0</v>
      </c>
      <c r="Z62">
        <v>0</v>
      </c>
      <c r="AA62">
        <v>15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0"/>
        <v>100</v>
      </c>
      <c r="AJ62" t="s">
        <v>19</v>
      </c>
      <c r="AK62">
        <f>0.1*AA62</f>
        <v>1.5</v>
      </c>
    </row>
    <row r="63" spans="1:37" x14ac:dyDescent="0.35">
      <c r="A63" t="s">
        <v>28</v>
      </c>
      <c r="B63">
        <v>52</v>
      </c>
      <c r="C63" t="s">
        <v>149</v>
      </c>
      <c r="D63" s="2">
        <v>38136</v>
      </c>
      <c r="E63" t="s">
        <v>48</v>
      </c>
      <c r="F63" s="3">
        <v>0.65277777777777779</v>
      </c>
      <c r="G63" s="3">
        <v>0.66319444444444442</v>
      </c>
      <c r="H63">
        <v>19.899999999999999</v>
      </c>
      <c r="I63">
        <v>27</v>
      </c>
      <c r="J63">
        <v>0</v>
      </c>
      <c r="K63">
        <v>2</v>
      </c>
      <c r="L63">
        <v>60</v>
      </c>
      <c r="M63">
        <v>15</v>
      </c>
      <c r="N63">
        <v>0</v>
      </c>
      <c r="O63">
        <v>0</v>
      </c>
      <c r="P63">
        <v>10</v>
      </c>
      <c r="Q63">
        <v>0</v>
      </c>
      <c r="R63">
        <v>3</v>
      </c>
      <c r="S63">
        <v>10</v>
      </c>
      <c r="T63">
        <v>0</v>
      </c>
      <c r="U63">
        <v>0</v>
      </c>
      <c r="V63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0"/>
        <v>100</v>
      </c>
      <c r="AJ63" t="s">
        <v>13</v>
      </c>
      <c r="AK63">
        <f>0.1*P63</f>
        <v>1</v>
      </c>
    </row>
    <row r="64" spans="1:37" x14ac:dyDescent="0.35">
      <c r="A64" t="s">
        <v>28</v>
      </c>
      <c r="B64">
        <v>54</v>
      </c>
      <c r="C64" t="s">
        <v>150</v>
      </c>
      <c r="D64" s="2">
        <v>38136</v>
      </c>
      <c r="E64" t="s">
        <v>46</v>
      </c>
      <c r="F64" s="3">
        <v>0.63680555555555551</v>
      </c>
      <c r="G64" s="3">
        <v>0.64722222222222225</v>
      </c>
      <c r="H64">
        <v>20.5</v>
      </c>
      <c r="I64">
        <v>26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</v>
      </c>
      <c r="S64">
        <v>15</v>
      </c>
      <c r="T64">
        <v>0</v>
      </c>
      <c r="U64">
        <v>0</v>
      </c>
      <c r="V64">
        <v>79</v>
      </c>
      <c r="W64">
        <v>0</v>
      </c>
      <c r="X64">
        <v>0</v>
      </c>
      <c r="Y64">
        <v>3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0"/>
        <v>100</v>
      </c>
      <c r="AJ64" t="s">
        <v>86</v>
      </c>
      <c r="AK64">
        <f>0.4*Y64</f>
        <v>1.2000000000000002</v>
      </c>
    </row>
    <row r="65" spans="1:37" x14ac:dyDescent="0.35">
      <c r="A65" t="s">
        <v>28</v>
      </c>
      <c r="B65">
        <v>50</v>
      </c>
      <c r="C65" t="s">
        <v>151</v>
      </c>
      <c r="D65" s="2">
        <v>38136</v>
      </c>
      <c r="E65">
        <v>0</v>
      </c>
      <c r="F65" s="3">
        <v>0.59097222222222223</v>
      </c>
      <c r="G65" s="3">
        <v>0.60138888888888886</v>
      </c>
      <c r="H65">
        <v>19.5</v>
      </c>
      <c r="I65">
        <v>28</v>
      </c>
      <c r="J65">
        <v>0</v>
      </c>
      <c r="K65">
        <v>2</v>
      </c>
      <c r="L65">
        <v>0</v>
      </c>
      <c r="M65">
        <v>0</v>
      </c>
      <c r="N65">
        <v>0</v>
      </c>
      <c r="O65">
        <v>85</v>
      </c>
      <c r="P65">
        <v>0</v>
      </c>
      <c r="Q65">
        <v>0</v>
      </c>
      <c r="R65">
        <v>10</v>
      </c>
      <c r="S65">
        <v>0</v>
      </c>
      <c r="T65">
        <v>0</v>
      </c>
      <c r="U65">
        <v>0</v>
      </c>
      <c r="V65">
        <v>2</v>
      </c>
      <c r="W65">
        <v>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0"/>
        <v>100</v>
      </c>
      <c r="AJ65" t="s">
        <v>84</v>
      </c>
      <c r="AK65">
        <f>0.6*R65</f>
        <v>6</v>
      </c>
    </row>
    <row r="66" spans="1:37" x14ac:dyDescent="0.35">
      <c r="A66" t="s">
        <v>28</v>
      </c>
      <c r="B66">
        <v>51</v>
      </c>
      <c r="C66" t="s">
        <v>152</v>
      </c>
      <c r="D66" s="2">
        <v>38136</v>
      </c>
      <c r="E66">
        <v>0</v>
      </c>
      <c r="F66" s="3">
        <v>0.65069444444444446</v>
      </c>
      <c r="G66" s="3">
        <v>0.66111111111111109</v>
      </c>
      <c r="H66">
        <v>19.5</v>
      </c>
      <c r="I66">
        <v>29</v>
      </c>
      <c r="J66">
        <v>0</v>
      </c>
      <c r="K66">
        <v>2</v>
      </c>
      <c r="L66">
        <v>25</v>
      </c>
      <c r="M66">
        <v>3</v>
      </c>
      <c r="N66">
        <v>30</v>
      </c>
      <c r="O66">
        <v>0</v>
      </c>
      <c r="P66">
        <v>0</v>
      </c>
      <c r="Q66">
        <v>0</v>
      </c>
      <c r="R66">
        <v>10</v>
      </c>
      <c r="S66">
        <v>0</v>
      </c>
      <c r="T66">
        <v>0</v>
      </c>
      <c r="U66">
        <v>0</v>
      </c>
      <c r="V66">
        <v>2</v>
      </c>
      <c r="W66">
        <v>30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 t="shared" ref="AI66:AI129" si="1">SUM(L66:AH66)</f>
        <v>100</v>
      </c>
      <c r="AJ66" t="s">
        <v>83</v>
      </c>
      <c r="AK66">
        <f>0.1*R66</f>
        <v>1</v>
      </c>
    </row>
    <row r="67" spans="1:37" x14ac:dyDescent="0.35">
      <c r="A67" t="s">
        <v>28</v>
      </c>
      <c r="B67">
        <v>49</v>
      </c>
      <c r="C67" t="s">
        <v>153</v>
      </c>
      <c r="D67" s="2">
        <v>38136</v>
      </c>
      <c r="E67" t="s">
        <v>46</v>
      </c>
      <c r="F67" s="3">
        <v>0.61111111111111105</v>
      </c>
      <c r="G67" s="3">
        <v>0.62152777777777779</v>
      </c>
      <c r="H67">
        <v>19.8</v>
      </c>
      <c r="I67">
        <v>25</v>
      </c>
      <c r="J67">
        <v>0</v>
      </c>
      <c r="K67">
        <v>2</v>
      </c>
      <c r="L67">
        <v>30</v>
      </c>
      <c r="M67">
        <v>38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30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si="1"/>
        <v>100</v>
      </c>
      <c r="AJ67" t="s">
        <v>93</v>
      </c>
      <c r="AK67">
        <f>Y67</f>
        <v>2</v>
      </c>
    </row>
    <row r="68" spans="1:37" x14ac:dyDescent="0.35">
      <c r="A68" t="s">
        <v>28</v>
      </c>
      <c r="B68">
        <v>51</v>
      </c>
      <c r="C68" t="s">
        <v>152</v>
      </c>
      <c r="D68" s="2">
        <v>38136</v>
      </c>
      <c r="E68">
        <v>0</v>
      </c>
      <c r="F68" s="3">
        <v>0.65069444444444446</v>
      </c>
      <c r="G68" s="3">
        <v>0.66111111111111109</v>
      </c>
      <c r="H68">
        <v>19.5</v>
      </c>
      <c r="I68">
        <v>29</v>
      </c>
      <c r="J68">
        <v>0</v>
      </c>
      <c r="K68">
        <v>2</v>
      </c>
      <c r="L68">
        <v>25</v>
      </c>
      <c r="M68">
        <v>3</v>
      </c>
      <c r="N68">
        <v>30</v>
      </c>
      <c r="O68">
        <v>0</v>
      </c>
      <c r="P68">
        <v>0</v>
      </c>
      <c r="Q68">
        <v>0</v>
      </c>
      <c r="R68">
        <v>10</v>
      </c>
      <c r="S68">
        <v>0</v>
      </c>
      <c r="T68">
        <v>0</v>
      </c>
      <c r="U68">
        <v>0</v>
      </c>
      <c r="V68">
        <v>2</v>
      </c>
      <c r="W68">
        <v>30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1"/>
        <v>100</v>
      </c>
      <c r="AJ68" t="s">
        <v>11</v>
      </c>
      <c r="AK68">
        <f>0.05*N68</f>
        <v>1.5</v>
      </c>
    </row>
    <row r="69" spans="1:37" x14ac:dyDescent="0.35">
      <c r="A69" t="s">
        <v>28</v>
      </c>
      <c r="B69">
        <v>50</v>
      </c>
      <c r="C69" t="s">
        <v>151</v>
      </c>
      <c r="D69" s="2">
        <v>38136</v>
      </c>
      <c r="E69">
        <v>0</v>
      </c>
      <c r="F69" s="3">
        <v>0.59097222222222223</v>
      </c>
      <c r="G69" s="3">
        <v>0.60138888888888886</v>
      </c>
      <c r="H69">
        <v>19.5</v>
      </c>
      <c r="I69">
        <v>28</v>
      </c>
      <c r="J69">
        <v>0</v>
      </c>
      <c r="K69">
        <v>2</v>
      </c>
      <c r="L69">
        <v>0</v>
      </c>
      <c r="M69">
        <v>0</v>
      </c>
      <c r="N69">
        <v>0</v>
      </c>
      <c r="O69">
        <v>85</v>
      </c>
      <c r="P69">
        <v>0</v>
      </c>
      <c r="Q69">
        <v>0</v>
      </c>
      <c r="R69">
        <v>10</v>
      </c>
      <c r="S69">
        <v>0</v>
      </c>
      <c r="T69">
        <v>0</v>
      </c>
      <c r="U69">
        <v>0</v>
      </c>
      <c r="V69">
        <v>2</v>
      </c>
      <c r="W69">
        <v>3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 t="shared" si="1"/>
        <v>100</v>
      </c>
      <c r="AJ69" t="s">
        <v>12</v>
      </c>
      <c r="AK69">
        <f>0.55*O69</f>
        <v>46.750000000000007</v>
      </c>
    </row>
    <row r="70" spans="1:37" x14ac:dyDescent="0.35">
      <c r="A70" t="s">
        <v>28</v>
      </c>
      <c r="B70">
        <v>49</v>
      </c>
      <c r="C70" t="s">
        <v>153</v>
      </c>
      <c r="D70" s="2">
        <v>38136</v>
      </c>
      <c r="E70" t="s">
        <v>46</v>
      </c>
      <c r="F70" s="3">
        <v>0.61111111111111105</v>
      </c>
      <c r="G70" s="3">
        <v>0.62152777777777779</v>
      </c>
      <c r="H70">
        <v>19.8</v>
      </c>
      <c r="I70">
        <v>25</v>
      </c>
      <c r="J70">
        <v>0</v>
      </c>
      <c r="K70">
        <v>2</v>
      </c>
      <c r="L70">
        <v>30</v>
      </c>
      <c r="M70">
        <v>38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30</v>
      </c>
      <c r="W70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"/>
        <v>100</v>
      </c>
      <c r="AJ70" t="s">
        <v>10</v>
      </c>
      <c r="AK70">
        <f>0.4*M70</f>
        <v>15.200000000000001</v>
      </c>
    </row>
    <row r="71" spans="1:37" x14ac:dyDescent="0.35">
      <c r="A71" t="s">
        <v>28</v>
      </c>
      <c r="B71">
        <v>51</v>
      </c>
      <c r="C71" t="s">
        <v>152</v>
      </c>
      <c r="D71" s="2">
        <v>38136</v>
      </c>
      <c r="E71">
        <v>0</v>
      </c>
      <c r="F71" s="3">
        <v>0.65069444444444446</v>
      </c>
      <c r="G71" s="3">
        <v>0.66111111111111109</v>
      </c>
      <c r="H71">
        <v>19.5</v>
      </c>
      <c r="I71">
        <v>29</v>
      </c>
      <c r="J71">
        <v>0</v>
      </c>
      <c r="K71">
        <v>2</v>
      </c>
      <c r="L71">
        <v>25</v>
      </c>
      <c r="M71">
        <v>3</v>
      </c>
      <c r="N71">
        <v>30</v>
      </c>
      <c r="O71">
        <v>0</v>
      </c>
      <c r="P71">
        <v>0</v>
      </c>
      <c r="Q71">
        <v>0</v>
      </c>
      <c r="R71">
        <v>10</v>
      </c>
      <c r="S71">
        <v>0</v>
      </c>
      <c r="T71">
        <v>0</v>
      </c>
      <c r="U71">
        <v>0</v>
      </c>
      <c r="V71">
        <v>2</v>
      </c>
      <c r="W71">
        <v>30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"/>
        <v>100</v>
      </c>
      <c r="AJ71" t="s">
        <v>10</v>
      </c>
      <c r="AK71">
        <f>0.8*M71</f>
        <v>2.4000000000000004</v>
      </c>
    </row>
    <row r="72" spans="1:37" x14ac:dyDescent="0.35">
      <c r="A72" t="s">
        <v>28</v>
      </c>
      <c r="B72">
        <v>53</v>
      </c>
      <c r="C72" t="s">
        <v>148</v>
      </c>
      <c r="D72" s="2">
        <v>38136</v>
      </c>
      <c r="E72" t="s">
        <v>46</v>
      </c>
      <c r="F72" s="3">
        <v>0.625</v>
      </c>
      <c r="G72" s="3">
        <v>0.63541666666666663</v>
      </c>
      <c r="H72">
        <v>19.399999999999999</v>
      </c>
      <c r="I72">
        <v>25</v>
      </c>
      <c r="J72">
        <v>0</v>
      </c>
      <c r="K72">
        <v>2</v>
      </c>
      <c r="L72">
        <v>0</v>
      </c>
      <c r="M72">
        <v>50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35</v>
      </c>
      <c r="W72">
        <v>0</v>
      </c>
      <c r="X72">
        <v>0</v>
      </c>
      <c r="Y72">
        <v>0</v>
      </c>
      <c r="Z72">
        <v>0</v>
      </c>
      <c r="AA72">
        <v>15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100</v>
      </c>
      <c r="AJ72" t="s">
        <v>10</v>
      </c>
      <c r="AK72">
        <f>0.6*M72</f>
        <v>30</v>
      </c>
    </row>
    <row r="73" spans="1:37" x14ac:dyDescent="0.35">
      <c r="A73" t="s">
        <v>28</v>
      </c>
      <c r="B73">
        <v>59</v>
      </c>
      <c r="C73" t="s">
        <v>154</v>
      </c>
      <c r="D73" s="2">
        <v>38138</v>
      </c>
      <c r="E73" t="s">
        <v>34</v>
      </c>
      <c r="F73" s="3">
        <v>0.63263888888888886</v>
      </c>
      <c r="G73" s="3">
        <v>0.6430555555555556</v>
      </c>
      <c r="H73">
        <v>21.4</v>
      </c>
      <c r="I73">
        <v>32</v>
      </c>
      <c r="J73">
        <v>0</v>
      </c>
      <c r="K73">
        <v>3</v>
      </c>
      <c r="L73">
        <v>5</v>
      </c>
      <c r="M73">
        <v>5</v>
      </c>
      <c r="N73">
        <v>0</v>
      </c>
      <c r="O73">
        <v>0</v>
      </c>
      <c r="P73">
        <v>0</v>
      </c>
      <c r="Q73">
        <v>0</v>
      </c>
      <c r="R73">
        <v>2</v>
      </c>
      <c r="S73">
        <v>30</v>
      </c>
      <c r="T73">
        <v>0</v>
      </c>
      <c r="U73">
        <v>10</v>
      </c>
      <c r="V73">
        <v>48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"/>
        <v>100</v>
      </c>
      <c r="AJ73" t="s">
        <v>16</v>
      </c>
      <c r="AK73">
        <f>0.2*U73</f>
        <v>2</v>
      </c>
    </row>
    <row r="74" spans="1:37" x14ac:dyDescent="0.35">
      <c r="A74" t="s">
        <v>28</v>
      </c>
      <c r="B74">
        <v>58</v>
      </c>
      <c r="C74" t="s">
        <v>155</v>
      </c>
      <c r="D74" s="2">
        <v>38138</v>
      </c>
      <c r="E74" t="s">
        <v>47</v>
      </c>
      <c r="F74" s="3">
        <v>0.61388888888888882</v>
      </c>
      <c r="G74" s="3">
        <v>0.62430555555555556</v>
      </c>
      <c r="H74">
        <v>21</v>
      </c>
      <c r="I74">
        <v>32</v>
      </c>
      <c r="J74">
        <v>0</v>
      </c>
      <c r="K74">
        <v>3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83</v>
      </c>
      <c r="S74">
        <v>0</v>
      </c>
      <c r="T74">
        <v>0</v>
      </c>
      <c r="U74">
        <v>0</v>
      </c>
      <c r="V74">
        <v>15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f t="shared" si="1"/>
        <v>100</v>
      </c>
      <c r="AJ74" t="s">
        <v>84</v>
      </c>
      <c r="AK74">
        <f>0.5*R74</f>
        <v>41.5</v>
      </c>
    </row>
    <row r="75" spans="1:37" x14ac:dyDescent="0.35">
      <c r="A75" t="s">
        <v>28</v>
      </c>
      <c r="B75">
        <v>56</v>
      </c>
      <c r="C75" t="s">
        <v>156</v>
      </c>
      <c r="D75" s="2">
        <v>38138</v>
      </c>
      <c r="E75">
        <v>0</v>
      </c>
      <c r="F75" s="3">
        <v>0.55972222222222223</v>
      </c>
      <c r="G75" s="3">
        <v>0.57013888888888886</v>
      </c>
      <c r="H75">
        <v>20.9</v>
      </c>
      <c r="I75">
        <v>29</v>
      </c>
      <c r="J75">
        <v>0</v>
      </c>
      <c r="K75">
        <v>3</v>
      </c>
      <c r="L75">
        <v>10</v>
      </c>
      <c r="M75">
        <v>15</v>
      </c>
      <c r="N75">
        <v>0</v>
      </c>
      <c r="O75">
        <v>0</v>
      </c>
      <c r="P75">
        <v>0</v>
      </c>
      <c r="Q75">
        <v>0</v>
      </c>
      <c r="R75">
        <v>55</v>
      </c>
      <c r="S75">
        <v>0</v>
      </c>
      <c r="T75">
        <v>0</v>
      </c>
      <c r="U75">
        <v>0</v>
      </c>
      <c r="V75">
        <v>20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 t="shared" si="1"/>
        <v>100</v>
      </c>
      <c r="AJ75" t="s">
        <v>83</v>
      </c>
      <c r="AK75">
        <f>0.2*0.5</f>
        <v>0.1</v>
      </c>
    </row>
    <row r="76" spans="1:37" x14ac:dyDescent="0.35">
      <c r="A76" t="s">
        <v>28</v>
      </c>
      <c r="B76">
        <v>57</v>
      </c>
      <c r="C76" t="s">
        <v>157</v>
      </c>
      <c r="D76" s="2">
        <v>38138</v>
      </c>
      <c r="E76" t="s">
        <v>46</v>
      </c>
      <c r="F76" s="3">
        <v>0.58819444444444446</v>
      </c>
      <c r="G76" s="3">
        <v>0.59861111111111109</v>
      </c>
      <c r="H76">
        <v>20.9</v>
      </c>
      <c r="I76">
        <v>28</v>
      </c>
      <c r="J76">
        <v>0</v>
      </c>
      <c r="K76">
        <v>3</v>
      </c>
      <c r="L76">
        <v>68</v>
      </c>
      <c r="M76">
        <v>30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si="1"/>
        <v>100</v>
      </c>
      <c r="AJ76" t="s">
        <v>93</v>
      </c>
      <c r="AK76">
        <f>0.67*Y76</f>
        <v>1.34</v>
      </c>
    </row>
    <row r="77" spans="1:37" x14ac:dyDescent="0.35">
      <c r="A77" t="s">
        <v>28</v>
      </c>
      <c r="B77">
        <v>55</v>
      </c>
      <c r="C77" t="s">
        <v>158</v>
      </c>
      <c r="D77" s="2">
        <v>38138</v>
      </c>
      <c r="E77" t="s">
        <v>33</v>
      </c>
      <c r="F77" s="3">
        <v>0.5395833333333333</v>
      </c>
      <c r="G77" s="3">
        <v>0.55069444444444449</v>
      </c>
      <c r="H77">
        <v>21.5</v>
      </c>
      <c r="I77">
        <v>29</v>
      </c>
      <c r="J77">
        <v>1</v>
      </c>
      <c r="K77">
        <v>3</v>
      </c>
      <c r="L77">
        <v>65</v>
      </c>
      <c r="M77">
        <v>15</v>
      </c>
      <c r="N77">
        <v>10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100</v>
      </c>
      <c r="AJ77" t="s">
        <v>20</v>
      </c>
      <c r="AK77">
        <f>0.6*AC77</f>
        <v>6</v>
      </c>
    </row>
    <row r="78" spans="1:37" x14ac:dyDescent="0.35">
      <c r="A78" t="s">
        <v>28</v>
      </c>
      <c r="B78">
        <v>55</v>
      </c>
      <c r="C78" t="s">
        <v>158</v>
      </c>
      <c r="D78" s="2">
        <v>38138</v>
      </c>
      <c r="E78" t="s">
        <v>33</v>
      </c>
      <c r="F78" s="3">
        <v>0.5395833333333333</v>
      </c>
      <c r="G78" s="3">
        <v>0.55069444444444449</v>
      </c>
      <c r="H78">
        <v>21.5</v>
      </c>
      <c r="I78">
        <v>29</v>
      </c>
      <c r="J78">
        <v>1</v>
      </c>
      <c r="K78">
        <v>3</v>
      </c>
      <c r="L78">
        <v>65</v>
      </c>
      <c r="M78">
        <v>15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"/>
        <v>100</v>
      </c>
      <c r="AJ78" t="s">
        <v>10</v>
      </c>
      <c r="AK78">
        <f>0.5*M78</f>
        <v>7.5</v>
      </c>
    </row>
    <row r="79" spans="1:37" x14ac:dyDescent="0.35">
      <c r="A79" t="s">
        <v>28</v>
      </c>
      <c r="B79">
        <v>56</v>
      </c>
      <c r="C79" t="s">
        <v>156</v>
      </c>
      <c r="D79" s="2">
        <v>38138</v>
      </c>
      <c r="E79">
        <v>0</v>
      </c>
      <c r="F79" s="3">
        <v>0.55972222222222223</v>
      </c>
      <c r="G79" s="3">
        <v>0.57013888888888886</v>
      </c>
      <c r="H79">
        <v>20.9</v>
      </c>
      <c r="I79">
        <v>29</v>
      </c>
      <c r="J79">
        <v>0</v>
      </c>
      <c r="K79">
        <v>3</v>
      </c>
      <c r="L79">
        <v>10</v>
      </c>
      <c r="M79">
        <v>15</v>
      </c>
      <c r="N79">
        <v>0</v>
      </c>
      <c r="O79">
        <v>0</v>
      </c>
      <c r="P79">
        <v>0</v>
      </c>
      <c r="Q79">
        <v>0</v>
      </c>
      <c r="R79">
        <v>55</v>
      </c>
      <c r="S79">
        <v>0</v>
      </c>
      <c r="T79">
        <v>0</v>
      </c>
      <c r="U79">
        <v>0</v>
      </c>
      <c r="V79">
        <v>20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f t="shared" si="1"/>
        <v>100</v>
      </c>
      <c r="AJ79" t="s">
        <v>10</v>
      </c>
      <c r="AK79">
        <f>0.7*M79</f>
        <v>10.5</v>
      </c>
    </row>
    <row r="80" spans="1:37" x14ac:dyDescent="0.35">
      <c r="A80" t="s">
        <v>28</v>
      </c>
      <c r="B80">
        <v>57</v>
      </c>
      <c r="C80" t="s">
        <v>157</v>
      </c>
      <c r="D80" s="2">
        <v>38138</v>
      </c>
      <c r="E80" t="s">
        <v>46</v>
      </c>
      <c r="F80" s="3">
        <v>0.58819444444444446</v>
      </c>
      <c r="G80" s="3">
        <v>0.59861111111111109</v>
      </c>
      <c r="H80">
        <v>20.9</v>
      </c>
      <c r="I80">
        <v>28</v>
      </c>
      <c r="J80">
        <v>0</v>
      </c>
      <c r="K80">
        <v>3</v>
      </c>
      <c r="L80">
        <v>68</v>
      </c>
      <c r="M80">
        <v>30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100</v>
      </c>
      <c r="AJ80" t="s">
        <v>10</v>
      </c>
      <c r="AK80">
        <f>0.6*M80</f>
        <v>18</v>
      </c>
    </row>
    <row r="81" spans="1:37" x14ac:dyDescent="0.35">
      <c r="A81" t="s">
        <v>28</v>
      </c>
      <c r="B81">
        <v>58</v>
      </c>
      <c r="C81" t="s">
        <v>155</v>
      </c>
      <c r="D81" s="2">
        <v>38138</v>
      </c>
      <c r="E81" t="s">
        <v>47</v>
      </c>
      <c r="F81" s="3">
        <v>0.61388888888888882</v>
      </c>
      <c r="G81" s="3">
        <v>0.62430555555555556</v>
      </c>
      <c r="H81">
        <v>21</v>
      </c>
      <c r="I81">
        <v>32</v>
      </c>
      <c r="J81">
        <v>0</v>
      </c>
      <c r="K81">
        <v>3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83</v>
      </c>
      <c r="S81">
        <v>0</v>
      </c>
      <c r="T81">
        <v>0</v>
      </c>
      <c r="U81">
        <v>0</v>
      </c>
      <c r="V81">
        <v>15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100</v>
      </c>
      <c r="AJ81" t="s">
        <v>10</v>
      </c>
      <c r="AK81">
        <f>0.02*M81</f>
        <v>0.04</v>
      </c>
    </row>
    <row r="82" spans="1:37" x14ac:dyDescent="0.35">
      <c r="A82" t="s">
        <v>28</v>
      </c>
      <c r="B82">
        <v>59</v>
      </c>
      <c r="C82" t="s">
        <v>154</v>
      </c>
      <c r="D82" s="2">
        <v>38138</v>
      </c>
      <c r="E82" t="s">
        <v>34</v>
      </c>
      <c r="F82" s="3">
        <v>0.63263888888888886</v>
      </c>
      <c r="G82" s="3">
        <v>0.6430555555555556</v>
      </c>
      <c r="H82">
        <v>21.4</v>
      </c>
      <c r="I82">
        <v>32</v>
      </c>
      <c r="J82">
        <v>0</v>
      </c>
      <c r="K82">
        <v>3</v>
      </c>
      <c r="L82">
        <v>5</v>
      </c>
      <c r="M82">
        <v>5</v>
      </c>
      <c r="N82">
        <v>0</v>
      </c>
      <c r="O82">
        <v>0</v>
      </c>
      <c r="P82">
        <v>0</v>
      </c>
      <c r="Q82">
        <v>0</v>
      </c>
      <c r="R82">
        <v>2</v>
      </c>
      <c r="S82">
        <v>30</v>
      </c>
      <c r="T82">
        <v>0</v>
      </c>
      <c r="U82">
        <v>10</v>
      </c>
      <c r="V82">
        <v>48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100</v>
      </c>
      <c r="AJ82" t="s">
        <v>10</v>
      </c>
      <c r="AK82">
        <f>0.05*M82</f>
        <v>0.25</v>
      </c>
    </row>
    <row r="83" spans="1:37" x14ac:dyDescent="0.35">
      <c r="A83" t="s">
        <v>28</v>
      </c>
      <c r="B83">
        <v>64</v>
      </c>
      <c r="C83" t="s">
        <v>159</v>
      </c>
      <c r="D83" s="2">
        <v>38139</v>
      </c>
      <c r="E83" t="s">
        <v>48</v>
      </c>
      <c r="F83" s="3">
        <v>0.58333333333333337</v>
      </c>
      <c r="G83" s="3">
        <v>0.59375</v>
      </c>
      <c r="H83">
        <v>20.399999999999999</v>
      </c>
      <c r="I83">
        <v>30</v>
      </c>
      <c r="J83">
        <v>0</v>
      </c>
      <c r="K83">
        <v>3</v>
      </c>
      <c r="L83">
        <v>0</v>
      </c>
      <c r="M83">
        <v>10</v>
      </c>
      <c r="N83">
        <v>0</v>
      </c>
      <c r="O83">
        <v>0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64</v>
      </c>
      <c r="W83">
        <v>0</v>
      </c>
      <c r="X83">
        <v>0</v>
      </c>
      <c r="Y83">
        <v>0</v>
      </c>
      <c r="Z83">
        <v>0</v>
      </c>
      <c r="AA83">
        <v>20</v>
      </c>
      <c r="AB83">
        <v>0</v>
      </c>
      <c r="AC83">
        <v>4</v>
      </c>
      <c r="AD83">
        <v>0</v>
      </c>
      <c r="AE83">
        <v>0</v>
      </c>
      <c r="AF83">
        <v>0</v>
      </c>
      <c r="AG83">
        <v>0</v>
      </c>
      <c r="AH83">
        <v>0</v>
      </c>
      <c r="AI83">
        <f t="shared" si="1"/>
        <v>100</v>
      </c>
      <c r="AJ83" t="s">
        <v>19</v>
      </c>
      <c r="AK83">
        <f>0.05*AA83</f>
        <v>1</v>
      </c>
    </row>
    <row r="84" spans="1:37" x14ac:dyDescent="0.35">
      <c r="A84" t="s">
        <v>28</v>
      </c>
      <c r="B84">
        <v>64</v>
      </c>
      <c r="C84" t="s">
        <v>159</v>
      </c>
      <c r="D84" s="2">
        <v>38139</v>
      </c>
      <c r="E84" t="s">
        <v>48</v>
      </c>
      <c r="F84" s="3">
        <v>0.58333333333333337</v>
      </c>
      <c r="G84" s="3">
        <v>0.59375</v>
      </c>
      <c r="H84">
        <v>20.399999999999999</v>
      </c>
      <c r="I84">
        <v>30</v>
      </c>
      <c r="J84">
        <v>0</v>
      </c>
      <c r="K84">
        <v>3</v>
      </c>
      <c r="L84">
        <v>0</v>
      </c>
      <c r="M84">
        <v>10</v>
      </c>
      <c r="N84">
        <v>0</v>
      </c>
      <c r="O84">
        <v>0</v>
      </c>
      <c r="P84">
        <v>2</v>
      </c>
      <c r="Q84">
        <v>0</v>
      </c>
      <c r="R84">
        <v>0</v>
      </c>
      <c r="S84">
        <v>0</v>
      </c>
      <c r="T84">
        <v>0</v>
      </c>
      <c r="U84">
        <v>0</v>
      </c>
      <c r="V84">
        <v>64</v>
      </c>
      <c r="W84">
        <v>0</v>
      </c>
      <c r="X84">
        <v>0</v>
      </c>
      <c r="Y84">
        <v>0</v>
      </c>
      <c r="Z84">
        <v>0</v>
      </c>
      <c r="AA84">
        <v>20</v>
      </c>
      <c r="AB84">
        <v>0</v>
      </c>
      <c r="AC84">
        <v>4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100</v>
      </c>
      <c r="AJ84" t="s">
        <v>13</v>
      </c>
      <c r="AK84">
        <f>0.1*P84</f>
        <v>0.2</v>
      </c>
    </row>
    <row r="85" spans="1:37" x14ac:dyDescent="0.35">
      <c r="A85" t="s">
        <v>28</v>
      </c>
      <c r="B85">
        <v>60</v>
      </c>
      <c r="C85" t="s">
        <v>160</v>
      </c>
      <c r="D85" s="2">
        <v>38139</v>
      </c>
      <c r="E85">
        <v>0</v>
      </c>
      <c r="F85" s="3">
        <v>0.47222222222222227</v>
      </c>
      <c r="G85" s="3">
        <v>0.4826388888888889</v>
      </c>
      <c r="H85">
        <v>18.8</v>
      </c>
      <c r="I85">
        <v>31</v>
      </c>
      <c r="J85">
        <v>0</v>
      </c>
      <c r="K85">
        <v>3</v>
      </c>
      <c r="L85">
        <v>20</v>
      </c>
      <c r="M85">
        <v>1</v>
      </c>
      <c r="N85">
        <v>3</v>
      </c>
      <c r="O85">
        <v>0</v>
      </c>
      <c r="P85">
        <v>0</v>
      </c>
      <c r="Q85">
        <v>0</v>
      </c>
      <c r="R85">
        <v>55</v>
      </c>
      <c r="S85">
        <v>0</v>
      </c>
      <c r="T85">
        <v>0</v>
      </c>
      <c r="U85">
        <v>8</v>
      </c>
      <c r="V85">
        <v>10</v>
      </c>
      <c r="W85">
        <v>0</v>
      </c>
      <c r="X85">
        <v>0</v>
      </c>
      <c r="Y85">
        <v>2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100</v>
      </c>
      <c r="AJ85" t="s">
        <v>16</v>
      </c>
      <c r="AK85">
        <f>0.1*U85</f>
        <v>0.8</v>
      </c>
    </row>
    <row r="86" spans="1:37" x14ac:dyDescent="0.35">
      <c r="A86" t="s">
        <v>28</v>
      </c>
      <c r="B86">
        <v>66</v>
      </c>
      <c r="C86" t="s">
        <v>161</v>
      </c>
      <c r="D86" s="2">
        <v>38139</v>
      </c>
      <c r="E86">
        <v>0</v>
      </c>
      <c r="F86" s="3">
        <v>0.65555555555555556</v>
      </c>
      <c r="G86" s="3">
        <v>0.66597222222222219</v>
      </c>
      <c r="H86">
        <v>20.6</v>
      </c>
      <c r="I86">
        <v>32</v>
      </c>
      <c r="J86">
        <v>0</v>
      </c>
      <c r="K86">
        <v>3</v>
      </c>
      <c r="L86">
        <v>0</v>
      </c>
      <c r="M86">
        <v>0</v>
      </c>
      <c r="N86">
        <v>0</v>
      </c>
      <c r="O86">
        <v>88</v>
      </c>
      <c r="P86">
        <v>0</v>
      </c>
      <c r="Q86">
        <v>0</v>
      </c>
      <c r="R86">
        <v>10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si="1"/>
        <v>100</v>
      </c>
      <c r="AJ86" t="s">
        <v>84</v>
      </c>
      <c r="AK86">
        <f>0.5*R86</f>
        <v>5</v>
      </c>
    </row>
    <row r="87" spans="1:37" x14ac:dyDescent="0.35">
      <c r="A87" t="s">
        <v>28</v>
      </c>
      <c r="B87">
        <v>65</v>
      </c>
      <c r="C87" t="s">
        <v>162</v>
      </c>
      <c r="D87" s="2">
        <v>38139</v>
      </c>
      <c r="E87">
        <v>0</v>
      </c>
      <c r="F87" s="3">
        <v>0.60416666666666663</v>
      </c>
      <c r="G87" s="3">
        <v>0.61458333333333337</v>
      </c>
      <c r="H87">
        <v>19.899999999999999</v>
      </c>
      <c r="I87">
        <v>25</v>
      </c>
      <c r="J87">
        <v>0</v>
      </c>
      <c r="K87">
        <v>3</v>
      </c>
      <c r="L87">
        <v>25</v>
      </c>
      <c r="M87">
        <v>25</v>
      </c>
      <c r="N87">
        <v>0</v>
      </c>
      <c r="O87">
        <v>0</v>
      </c>
      <c r="P87">
        <v>0</v>
      </c>
      <c r="Q87">
        <v>0</v>
      </c>
      <c r="R87">
        <v>40</v>
      </c>
      <c r="S87">
        <v>0</v>
      </c>
      <c r="T87">
        <v>0</v>
      </c>
      <c r="U87">
        <v>0</v>
      </c>
      <c r="V87">
        <v>3</v>
      </c>
      <c r="W87">
        <v>7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1"/>
        <v>100</v>
      </c>
      <c r="AJ87" t="s">
        <v>83</v>
      </c>
      <c r="AK87">
        <f>0.2*R87</f>
        <v>8</v>
      </c>
    </row>
    <row r="88" spans="1:37" x14ac:dyDescent="0.35">
      <c r="A88" t="s">
        <v>28</v>
      </c>
      <c r="B88">
        <v>63</v>
      </c>
      <c r="C88" t="s">
        <v>163</v>
      </c>
      <c r="D88" s="2">
        <v>38139</v>
      </c>
      <c r="E88" t="s">
        <v>46</v>
      </c>
      <c r="F88" s="3">
        <v>0.55902777777777779</v>
      </c>
      <c r="G88" s="3">
        <v>0.56944444444444442</v>
      </c>
      <c r="H88">
        <v>20.2</v>
      </c>
      <c r="I88">
        <v>31</v>
      </c>
      <c r="J88">
        <v>0</v>
      </c>
      <c r="K88">
        <v>3</v>
      </c>
      <c r="L88">
        <v>68</v>
      </c>
      <c r="M88">
        <v>30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1"/>
        <v>100</v>
      </c>
      <c r="AJ88" t="s">
        <v>93</v>
      </c>
      <c r="AK88">
        <f>Y88</f>
        <v>2</v>
      </c>
    </row>
    <row r="89" spans="1:37" x14ac:dyDescent="0.35">
      <c r="A89" t="s">
        <v>28</v>
      </c>
      <c r="B89">
        <v>62</v>
      </c>
      <c r="C89" t="s">
        <v>164</v>
      </c>
      <c r="D89" s="2">
        <v>38139</v>
      </c>
      <c r="E89" t="s">
        <v>33</v>
      </c>
      <c r="F89" s="3">
        <v>0.52083333333333337</v>
      </c>
      <c r="G89" s="3">
        <v>0.53125</v>
      </c>
      <c r="H89">
        <v>20</v>
      </c>
      <c r="I89">
        <v>30</v>
      </c>
      <c r="J89">
        <v>0</v>
      </c>
      <c r="K89">
        <v>3</v>
      </c>
      <c r="L89">
        <v>9</v>
      </c>
      <c r="M89">
        <v>89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  <c r="AI89">
        <f t="shared" si="1"/>
        <v>100</v>
      </c>
      <c r="AJ89" t="s">
        <v>20</v>
      </c>
      <c r="AK89">
        <f>0.01*AC89</f>
        <v>0.01</v>
      </c>
    </row>
    <row r="90" spans="1:37" x14ac:dyDescent="0.35">
      <c r="A90" t="s">
        <v>28</v>
      </c>
      <c r="B90">
        <v>64</v>
      </c>
      <c r="C90" t="s">
        <v>159</v>
      </c>
      <c r="D90" s="2">
        <v>38139</v>
      </c>
      <c r="E90" t="s">
        <v>48</v>
      </c>
      <c r="F90" s="3">
        <v>0.58333333333333337</v>
      </c>
      <c r="G90" s="3">
        <v>0.59375</v>
      </c>
      <c r="H90">
        <v>20.399999999999999</v>
      </c>
      <c r="I90">
        <v>30</v>
      </c>
      <c r="J90">
        <v>0</v>
      </c>
      <c r="K90">
        <v>3</v>
      </c>
      <c r="L90">
        <v>0</v>
      </c>
      <c r="M90">
        <v>10</v>
      </c>
      <c r="N90">
        <v>0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64</v>
      </c>
      <c r="W90">
        <v>0</v>
      </c>
      <c r="X90">
        <v>0</v>
      </c>
      <c r="Y90">
        <v>0</v>
      </c>
      <c r="Z90">
        <v>0</v>
      </c>
      <c r="AA90">
        <v>20</v>
      </c>
      <c r="AB90">
        <v>0</v>
      </c>
      <c r="AC90">
        <v>4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1"/>
        <v>100</v>
      </c>
      <c r="AJ90" t="s">
        <v>20</v>
      </c>
      <c r="AK90">
        <f>0.04*AC90</f>
        <v>0.16</v>
      </c>
    </row>
    <row r="91" spans="1:37" x14ac:dyDescent="0.35">
      <c r="A91" t="s">
        <v>28</v>
      </c>
      <c r="B91">
        <v>61</v>
      </c>
      <c r="C91" t="s">
        <v>165</v>
      </c>
      <c r="D91" s="2">
        <v>38139</v>
      </c>
      <c r="E91">
        <v>0</v>
      </c>
      <c r="F91" s="3">
        <v>0.49305555555555558</v>
      </c>
      <c r="G91" s="3">
        <v>0.50347222222222221</v>
      </c>
      <c r="H91">
        <v>19.3</v>
      </c>
      <c r="I91">
        <v>27</v>
      </c>
      <c r="J91">
        <v>0</v>
      </c>
      <c r="K91">
        <v>3</v>
      </c>
      <c r="L91">
        <v>0</v>
      </c>
      <c r="M91">
        <v>0</v>
      </c>
      <c r="N91">
        <v>0</v>
      </c>
      <c r="O91">
        <v>95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1"/>
        <v>100</v>
      </c>
      <c r="AJ91" t="s">
        <v>12</v>
      </c>
      <c r="AK91">
        <f>0.45*O91</f>
        <v>42.75</v>
      </c>
    </row>
    <row r="92" spans="1:37" x14ac:dyDescent="0.35">
      <c r="A92" t="s">
        <v>28</v>
      </c>
      <c r="B92">
        <v>66</v>
      </c>
      <c r="C92" t="s">
        <v>161</v>
      </c>
      <c r="D92" s="2">
        <v>38139</v>
      </c>
      <c r="E92">
        <v>0</v>
      </c>
      <c r="F92" s="3">
        <v>0.65555555555555556</v>
      </c>
      <c r="G92" s="3">
        <v>0.66597222222222219</v>
      </c>
      <c r="H92">
        <v>20.6</v>
      </c>
      <c r="I92">
        <v>32</v>
      </c>
      <c r="J92">
        <v>0</v>
      </c>
      <c r="K92">
        <v>3</v>
      </c>
      <c r="L92">
        <v>0</v>
      </c>
      <c r="M92">
        <v>0</v>
      </c>
      <c r="N92">
        <v>0</v>
      </c>
      <c r="O92">
        <v>88</v>
      </c>
      <c r="P92">
        <v>0</v>
      </c>
      <c r="Q92">
        <v>0</v>
      </c>
      <c r="R92">
        <v>10</v>
      </c>
      <c r="S92">
        <v>0</v>
      </c>
      <c r="T92">
        <v>0</v>
      </c>
      <c r="U92">
        <v>0</v>
      </c>
      <c r="V92">
        <v>1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f t="shared" si="1"/>
        <v>100</v>
      </c>
      <c r="AJ92" t="s">
        <v>12</v>
      </c>
      <c r="AK92">
        <f>0.5*O92</f>
        <v>44</v>
      </c>
    </row>
    <row r="93" spans="1:37" x14ac:dyDescent="0.35">
      <c r="A93" t="s">
        <v>28</v>
      </c>
      <c r="B93">
        <v>60</v>
      </c>
      <c r="C93" t="s">
        <v>160</v>
      </c>
      <c r="D93" s="2">
        <v>38139</v>
      </c>
      <c r="E93">
        <v>0</v>
      </c>
      <c r="F93" s="3">
        <v>0.47222222222222227</v>
      </c>
      <c r="G93" s="3">
        <v>0.4826388888888889</v>
      </c>
      <c r="H93">
        <v>18.8</v>
      </c>
      <c r="I93">
        <v>31</v>
      </c>
      <c r="J93">
        <v>0</v>
      </c>
      <c r="K93">
        <v>3</v>
      </c>
      <c r="L93">
        <v>20</v>
      </c>
      <c r="M93">
        <v>1</v>
      </c>
      <c r="N93">
        <v>3</v>
      </c>
      <c r="O93">
        <v>0</v>
      </c>
      <c r="P93">
        <v>0</v>
      </c>
      <c r="Q93">
        <v>0</v>
      </c>
      <c r="R93">
        <v>55</v>
      </c>
      <c r="S93">
        <v>0</v>
      </c>
      <c r="T93">
        <v>0</v>
      </c>
      <c r="U93">
        <v>8</v>
      </c>
      <c r="V93">
        <v>10</v>
      </c>
      <c r="W93">
        <v>0</v>
      </c>
      <c r="X93">
        <v>0</v>
      </c>
      <c r="Y93">
        <v>2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1"/>
        <v>100</v>
      </c>
      <c r="AJ93" t="s">
        <v>10</v>
      </c>
      <c r="AK93">
        <f>0.9*M93</f>
        <v>0.9</v>
      </c>
    </row>
    <row r="94" spans="1:37" x14ac:dyDescent="0.35">
      <c r="A94" t="s">
        <v>28</v>
      </c>
      <c r="B94">
        <v>62</v>
      </c>
      <c r="C94" t="s">
        <v>164</v>
      </c>
      <c r="D94" s="2">
        <v>38139</v>
      </c>
      <c r="E94" t="s">
        <v>33</v>
      </c>
      <c r="F94" s="3">
        <v>0.52083333333333337</v>
      </c>
      <c r="G94" s="3">
        <v>0.53125</v>
      </c>
      <c r="H94">
        <v>20</v>
      </c>
      <c r="I94">
        <v>30</v>
      </c>
      <c r="J94">
        <v>0</v>
      </c>
      <c r="K94">
        <v>3</v>
      </c>
      <c r="L94">
        <v>9</v>
      </c>
      <c r="M94">
        <v>89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1"/>
        <v>100</v>
      </c>
      <c r="AJ94" t="s">
        <v>10</v>
      </c>
      <c r="AK94">
        <f>0.9*M94</f>
        <v>80.100000000000009</v>
      </c>
    </row>
    <row r="95" spans="1:37" x14ac:dyDescent="0.35">
      <c r="A95" t="s">
        <v>28</v>
      </c>
      <c r="B95">
        <v>63</v>
      </c>
      <c r="C95" t="s">
        <v>163</v>
      </c>
      <c r="D95" s="2">
        <v>38139</v>
      </c>
      <c r="E95" t="s">
        <v>46</v>
      </c>
      <c r="F95" s="3">
        <v>0.55902777777777779</v>
      </c>
      <c r="G95" s="3">
        <v>0.56944444444444442</v>
      </c>
      <c r="H95">
        <v>20.2</v>
      </c>
      <c r="I95">
        <v>31</v>
      </c>
      <c r="J95">
        <v>0</v>
      </c>
      <c r="K95">
        <v>3</v>
      </c>
      <c r="L95">
        <v>68</v>
      </c>
      <c r="M95">
        <v>30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1"/>
        <v>100</v>
      </c>
      <c r="AJ95" t="s">
        <v>10</v>
      </c>
      <c r="AK95">
        <f>0.7*M95</f>
        <v>21</v>
      </c>
    </row>
    <row r="96" spans="1:37" x14ac:dyDescent="0.35">
      <c r="A96" t="s">
        <v>28</v>
      </c>
      <c r="B96">
        <v>64</v>
      </c>
      <c r="C96" t="s">
        <v>159</v>
      </c>
      <c r="D96" s="2">
        <v>38139</v>
      </c>
      <c r="E96" t="s">
        <v>48</v>
      </c>
      <c r="F96" s="3">
        <v>0.58333333333333337</v>
      </c>
      <c r="G96" s="3">
        <v>0.59375</v>
      </c>
      <c r="H96">
        <v>20.399999999999999</v>
      </c>
      <c r="I96">
        <v>30</v>
      </c>
      <c r="J96">
        <v>0</v>
      </c>
      <c r="K96">
        <v>3</v>
      </c>
      <c r="L96">
        <v>0</v>
      </c>
      <c r="M96">
        <v>10</v>
      </c>
      <c r="N96">
        <v>0</v>
      </c>
      <c r="O96">
        <v>0</v>
      </c>
      <c r="P96">
        <v>2</v>
      </c>
      <c r="Q96">
        <v>0</v>
      </c>
      <c r="R96">
        <v>0</v>
      </c>
      <c r="S96">
        <v>0</v>
      </c>
      <c r="T96">
        <v>0</v>
      </c>
      <c r="U96">
        <v>0</v>
      </c>
      <c r="V96">
        <v>64</v>
      </c>
      <c r="W96">
        <v>0</v>
      </c>
      <c r="X96">
        <v>0</v>
      </c>
      <c r="Y96">
        <v>0</v>
      </c>
      <c r="Z96">
        <v>0</v>
      </c>
      <c r="AA96">
        <v>20</v>
      </c>
      <c r="AB96">
        <v>0</v>
      </c>
      <c r="AC96">
        <v>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1"/>
        <v>100</v>
      </c>
      <c r="AJ96" t="s">
        <v>10</v>
      </c>
      <c r="AK96">
        <f>0.8*M96</f>
        <v>8</v>
      </c>
    </row>
    <row r="97" spans="1:37" x14ac:dyDescent="0.35">
      <c r="A97" t="s">
        <v>28</v>
      </c>
      <c r="B97">
        <v>65</v>
      </c>
      <c r="C97" t="s">
        <v>162</v>
      </c>
      <c r="D97" s="2">
        <v>38139</v>
      </c>
      <c r="E97">
        <v>0</v>
      </c>
      <c r="F97" s="3">
        <v>0.60416666666666663</v>
      </c>
      <c r="G97" s="3">
        <v>0.61458333333333337</v>
      </c>
      <c r="H97">
        <v>19.899999999999999</v>
      </c>
      <c r="I97">
        <v>25</v>
      </c>
      <c r="J97">
        <v>0</v>
      </c>
      <c r="K97">
        <v>3</v>
      </c>
      <c r="L97">
        <v>25</v>
      </c>
      <c r="M97">
        <v>25</v>
      </c>
      <c r="N97">
        <v>0</v>
      </c>
      <c r="O97">
        <v>0</v>
      </c>
      <c r="P97">
        <v>0</v>
      </c>
      <c r="Q97">
        <v>0</v>
      </c>
      <c r="R97">
        <v>40</v>
      </c>
      <c r="S97">
        <v>0</v>
      </c>
      <c r="T97">
        <v>0</v>
      </c>
      <c r="U97">
        <v>0</v>
      </c>
      <c r="V97">
        <v>3</v>
      </c>
      <c r="W97">
        <v>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1"/>
        <v>100</v>
      </c>
      <c r="AJ97" t="s">
        <v>10</v>
      </c>
      <c r="AK97">
        <f>0.85*M97</f>
        <v>21.25</v>
      </c>
    </row>
    <row r="98" spans="1:37" x14ac:dyDescent="0.35">
      <c r="A98" t="s">
        <v>28</v>
      </c>
      <c r="B98">
        <v>68</v>
      </c>
      <c r="C98" t="s">
        <v>166</v>
      </c>
      <c r="D98" s="2">
        <v>38140</v>
      </c>
      <c r="E98" t="s">
        <v>34</v>
      </c>
      <c r="F98" s="3">
        <v>0.3888888888888889</v>
      </c>
      <c r="G98" s="3">
        <v>0.39930555555555558</v>
      </c>
      <c r="H98">
        <v>18.8</v>
      </c>
      <c r="I98">
        <v>42</v>
      </c>
      <c r="J98">
        <v>0</v>
      </c>
      <c r="K98">
        <v>2</v>
      </c>
      <c r="L98">
        <v>25</v>
      </c>
      <c r="M98">
        <v>2</v>
      </c>
      <c r="N98">
        <v>0</v>
      </c>
      <c r="O98">
        <v>0</v>
      </c>
      <c r="P98">
        <v>0</v>
      </c>
      <c r="Q98">
        <v>0</v>
      </c>
      <c r="R98">
        <v>8</v>
      </c>
      <c r="S98">
        <v>7</v>
      </c>
      <c r="T98">
        <v>0</v>
      </c>
      <c r="U98">
        <v>10</v>
      </c>
      <c r="V98">
        <v>48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 t="shared" si="1"/>
        <v>100</v>
      </c>
      <c r="AJ98" t="s">
        <v>16</v>
      </c>
      <c r="AK98">
        <f>0.1*U98</f>
        <v>1</v>
      </c>
    </row>
    <row r="99" spans="1:37" x14ac:dyDescent="0.35">
      <c r="A99" t="s">
        <v>28</v>
      </c>
      <c r="B99">
        <v>71</v>
      </c>
      <c r="C99" t="s">
        <v>167</v>
      </c>
      <c r="D99" s="2">
        <v>38140</v>
      </c>
      <c r="E99" t="s">
        <v>48</v>
      </c>
      <c r="F99" s="3">
        <v>0.47083333333333338</v>
      </c>
      <c r="G99" s="3">
        <v>0.48125000000000001</v>
      </c>
      <c r="H99">
        <v>20</v>
      </c>
      <c r="I99">
        <v>29</v>
      </c>
      <c r="J99">
        <v>0</v>
      </c>
      <c r="K99">
        <v>2</v>
      </c>
      <c r="L99">
        <v>20</v>
      </c>
      <c r="M99">
        <v>10</v>
      </c>
      <c r="N99">
        <v>0</v>
      </c>
      <c r="O99">
        <v>0</v>
      </c>
      <c r="P99">
        <v>0</v>
      </c>
      <c r="Q99">
        <v>0</v>
      </c>
      <c r="R99">
        <v>68</v>
      </c>
      <c r="S99">
        <v>0</v>
      </c>
      <c r="T99">
        <v>0</v>
      </c>
      <c r="U99">
        <v>0</v>
      </c>
      <c r="V99">
        <v>2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1"/>
        <v>100</v>
      </c>
      <c r="AJ99" t="s">
        <v>83</v>
      </c>
      <c r="AK99">
        <f>0.05*R99</f>
        <v>3.4000000000000004</v>
      </c>
    </row>
    <row r="100" spans="1:37" x14ac:dyDescent="0.35">
      <c r="A100" t="s">
        <v>28</v>
      </c>
      <c r="B100">
        <v>71</v>
      </c>
      <c r="C100" t="s">
        <v>167</v>
      </c>
      <c r="D100" s="2">
        <v>38140</v>
      </c>
      <c r="E100" t="s">
        <v>48</v>
      </c>
      <c r="F100" s="3">
        <v>0.47083333333333338</v>
      </c>
      <c r="G100" s="3">
        <v>0.48125000000000001</v>
      </c>
      <c r="H100">
        <v>20</v>
      </c>
      <c r="I100">
        <v>29</v>
      </c>
      <c r="J100">
        <v>0</v>
      </c>
      <c r="K100">
        <v>2</v>
      </c>
      <c r="L100">
        <v>20</v>
      </c>
      <c r="M100">
        <v>10</v>
      </c>
      <c r="N100">
        <v>0</v>
      </c>
      <c r="O100">
        <v>0</v>
      </c>
      <c r="P100">
        <v>0</v>
      </c>
      <c r="Q100">
        <v>0</v>
      </c>
      <c r="R100">
        <v>68</v>
      </c>
      <c r="S100">
        <v>0</v>
      </c>
      <c r="T100">
        <v>0</v>
      </c>
      <c r="U100">
        <v>0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1"/>
        <v>100</v>
      </c>
      <c r="AJ100" t="s">
        <v>83</v>
      </c>
      <c r="AK100">
        <f>0.05*R100</f>
        <v>3.4000000000000004</v>
      </c>
    </row>
    <row r="101" spans="1:37" x14ac:dyDescent="0.35">
      <c r="A101" t="s">
        <v>28</v>
      </c>
      <c r="B101">
        <v>67</v>
      </c>
      <c r="C101" t="s">
        <v>168</v>
      </c>
      <c r="D101" s="2">
        <v>38140</v>
      </c>
      <c r="E101">
        <v>0</v>
      </c>
      <c r="F101" s="3">
        <v>0.3743055555555555</v>
      </c>
      <c r="G101" s="3">
        <v>0.38472222222222219</v>
      </c>
      <c r="H101">
        <v>18.399999999999999</v>
      </c>
      <c r="I101">
        <v>37</v>
      </c>
      <c r="J101">
        <v>0</v>
      </c>
      <c r="K101">
        <v>3</v>
      </c>
      <c r="L101">
        <v>0</v>
      </c>
      <c r="M101">
        <v>0</v>
      </c>
      <c r="N101">
        <v>0</v>
      </c>
      <c r="O101">
        <v>98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1"/>
        <v>100</v>
      </c>
      <c r="AJ101" t="s">
        <v>20</v>
      </c>
      <c r="AK101">
        <f>(3/5)*AC101</f>
        <v>0.6</v>
      </c>
    </row>
    <row r="102" spans="1:37" x14ac:dyDescent="0.35">
      <c r="A102" t="s">
        <v>28</v>
      </c>
      <c r="B102">
        <v>70</v>
      </c>
      <c r="C102" t="s">
        <v>169</v>
      </c>
      <c r="D102" s="2">
        <v>38140</v>
      </c>
      <c r="E102" t="s">
        <v>34</v>
      </c>
      <c r="F102" s="3">
        <v>0.44027777777777777</v>
      </c>
      <c r="G102" s="3">
        <v>0.45069444444444445</v>
      </c>
      <c r="H102">
        <v>19.5</v>
      </c>
      <c r="I102">
        <v>28</v>
      </c>
      <c r="J102">
        <v>0</v>
      </c>
      <c r="K102">
        <v>2</v>
      </c>
      <c r="L102">
        <v>55</v>
      </c>
      <c r="M102">
        <v>10</v>
      </c>
      <c r="N102">
        <v>8</v>
      </c>
      <c r="O102">
        <v>0</v>
      </c>
      <c r="P102">
        <v>0</v>
      </c>
      <c r="Q102">
        <v>0</v>
      </c>
      <c r="R102">
        <v>7</v>
      </c>
      <c r="S102">
        <v>7</v>
      </c>
      <c r="T102">
        <v>0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8</v>
      </c>
      <c r="AD102">
        <v>0</v>
      </c>
      <c r="AE102">
        <v>0</v>
      </c>
      <c r="AF102">
        <v>1</v>
      </c>
      <c r="AG102">
        <v>0</v>
      </c>
      <c r="AH102">
        <v>0</v>
      </c>
      <c r="AI102">
        <f t="shared" si="1"/>
        <v>100</v>
      </c>
      <c r="AJ102" t="s">
        <v>20</v>
      </c>
      <c r="AK102">
        <f>0.5*AC102</f>
        <v>4</v>
      </c>
    </row>
    <row r="103" spans="1:37" x14ac:dyDescent="0.35">
      <c r="A103" t="s">
        <v>28</v>
      </c>
      <c r="B103">
        <v>67</v>
      </c>
      <c r="C103" t="s">
        <v>168</v>
      </c>
      <c r="D103" s="2">
        <v>38140</v>
      </c>
      <c r="E103">
        <v>0</v>
      </c>
      <c r="F103" s="3">
        <v>0.3743055555555555</v>
      </c>
      <c r="G103" s="3">
        <v>0.38472222222222219</v>
      </c>
      <c r="H103">
        <v>18.399999999999999</v>
      </c>
      <c r="I103">
        <v>37</v>
      </c>
      <c r="J103">
        <v>0</v>
      </c>
      <c r="K103">
        <v>3</v>
      </c>
      <c r="L103">
        <v>0</v>
      </c>
      <c r="M103">
        <v>0</v>
      </c>
      <c r="N103">
        <v>0</v>
      </c>
      <c r="O103">
        <v>98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f t="shared" si="1"/>
        <v>100</v>
      </c>
      <c r="AJ103" t="s">
        <v>12</v>
      </c>
      <c r="AK103">
        <f>0.35*O103</f>
        <v>34.299999999999997</v>
      </c>
    </row>
    <row r="104" spans="1:37" x14ac:dyDescent="0.35">
      <c r="A104" t="s">
        <v>28</v>
      </c>
      <c r="B104">
        <v>68</v>
      </c>
      <c r="C104" t="s">
        <v>166</v>
      </c>
      <c r="D104" s="2">
        <v>38140</v>
      </c>
      <c r="E104" t="s">
        <v>34</v>
      </c>
      <c r="F104" s="3">
        <v>0.3888888888888889</v>
      </c>
      <c r="G104" s="3">
        <v>0.39930555555555558</v>
      </c>
      <c r="H104">
        <v>18.8</v>
      </c>
      <c r="I104">
        <v>42</v>
      </c>
      <c r="J104">
        <v>0</v>
      </c>
      <c r="K104">
        <v>2</v>
      </c>
      <c r="L104">
        <v>25</v>
      </c>
      <c r="M104">
        <v>2</v>
      </c>
      <c r="N104">
        <v>0</v>
      </c>
      <c r="O104">
        <v>0</v>
      </c>
      <c r="P104">
        <v>0</v>
      </c>
      <c r="Q104">
        <v>0</v>
      </c>
      <c r="R104">
        <v>8</v>
      </c>
      <c r="S104">
        <v>7</v>
      </c>
      <c r="T104">
        <v>0</v>
      </c>
      <c r="U104">
        <v>10</v>
      </c>
      <c r="V104">
        <v>48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1"/>
        <v>100</v>
      </c>
      <c r="AJ104" t="s">
        <v>10</v>
      </c>
      <c r="AK104">
        <f>0.1*M104</f>
        <v>0.2</v>
      </c>
    </row>
    <row r="105" spans="1:37" x14ac:dyDescent="0.35">
      <c r="A105" t="s">
        <v>28</v>
      </c>
      <c r="B105">
        <v>69</v>
      </c>
      <c r="C105" t="s">
        <v>170</v>
      </c>
      <c r="D105" s="2">
        <v>38140</v>
      </c>
      <c r="E105" t="s">
        <v>31</v>
      </c>
      <c r="F105" s="3">
        <v>0.4152777777777778</v>
      </c>
      <c r="G105" s="3">
        <v>0.42569444444444443</v>
      </c>
      <c r="H105">
        <v>19.100000000000001</v>
      </c>
      <c r="I105">
        <v>30</v>
      </c>
      <c r="J105">
        <v>0</v>
      </c>
      <c r="K105">
        <v>3</v>
      </c>
      <c r="L105">
        <v>32</v>
      </c>
      <c r="M105">
        <v>32</v>
      </c>
      <c r="N105">
        <v>32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f t="shared" si="1"/>
        <v>100</v>
      </c>
      <c r="AJ105" t="s">
        <v>10</v>
      </c>
      <c r="AK105">
        <f>0.8*M105</f>
        <v>25.6</v>
      </c>
    </row>
    <row r="106" spans="1:37" x14ac:dyDescent="0.35">
      <c r="A106" t="s">
        <v>28</v>
      </c>
      <c r="B106">
        <v>70</v>
      </c>
      <c r="C106" t="s">
        <v>169</v>
      </c>
      <c r="D106" s="2">
        <v>38140</v>
      </c>
      <c r="E106" t="s">
        <v>34</v>
      </c>
      <c r="F106" s="3">
        <v>0.44027777777777777</v>
      </c>
      <c r="G106" s="3">
        <v>0.45069444444444445</v>
      </c>
      <c r="H106">
        <v>19.5</v>
      </c>
      <c r="I106">
        <v>28</v>
      </c>
      <c r="J106">
        <v>0</v>
      </c>
      <c r="K106">
        <v>2</v>
      </c>
      <c r="L106">
        <v>55</v>
      </c>
      <c r="M106">
        <v>10</v>
      </c>
      <c r="N106">
        <v>8</v>
      </c>
      <c r="O106">
        <v>0</v>
      </c>
      <c r="P106">
        <v>0</v>
      </c>
      <c r="Q106">
        <v>0</v>
      </c>
      <c r="R106">
        <v>7</v>
      </c>
      <c r="S106">
        <v>7</v>
      </c>
      <c r="T106">
        <v>0</v>
      </c>
      <c r="U106">
        <v>0</v>
      </c>
      <c r="V106">
        <v>0</v>
      </c>
      <c r="W106">
        <v>4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8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f t="shared" si="1"/>
        <v>100</v>
      </c>
      <c r="AJ106" t="s">
        <v>10</v>
      </c>
      <c r="AK106">
        <f>0.5*AC106+0.85*M106</f>
        <v>12.5</v>
      </c>
    </row>
    <row r="107" spans="1:37" x14ac:dyDescent="0.35">
      <c r="A107" t="s">
        <v>28</v>
      </c>
      <c r="B107">
        <v>70</v>
      </c>
      <c r="C107" t="s">
        <v>169</v>
      </c>
      <c r="D107" s="2">
        <v>38140</v>
      </c>
      <c r="E107" t="s">
        <v>34</v>
      </c>
      <c r="F107" s="3">
        <v>0.44027777777777777</v>
      </c>
      <c r="G107" s="3">
        <v>0.45069444444444445</v>
      </c>
      <c r="H107">
        <v>19.5</v>
      </c>
      <c r="I107">
        <v>28</v>
      </c>
      <c r="J107">
        <v>0</v>
      </c>
      <c r="K107">
        <v>2</v>
      </c>
      <c r="L107">
        <v>55</v>
      </c>
      <c r="M107">
        <v>10</v>
      </c>
      <c r="N107">
        <v>8</v>
      </c>
      <c r="O107">
        <v>0</v>
      </c>
      <c r="P107">
        <v>0</v>
      </c>
      <c r="Q107">
        <v>0</v>
      </c>
      <c r="R107">
        <v>7</v>
      </c>
      <c r="S107">
        <v>7</v>
      </c>
      <c r="T107">
        <v>0</v>
      </c>
      <c r="U107">
        <v>0</v>
      </c>
      <c r="V107">
        <v>0</v>
      </c>
      <c r="W107">
        <v>4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8</v>
      </c>
      <c r="AD107">
        <v>0</v>
      </c>
      <c r="AE107">
        <v>0</v>
      </c>
      <c r="AF107">
        <v>1</v>
      </c>
      <c r="AG107">
        <v>0</v>
      </c>
      <c r="AH107">
        <v>0</v>
      </c>
      <c r="AI107">
        <f t="shared" si="1"/>
        <v>100</v>
      </c>
      <c r="AJ107" t="s">
        <v>10</v>
      </c>
      <c r="AK107">
        <f>0.85*M107</f>
        <v>8.5</v>
      </c>
    </row>
    <row r="108" spans="1:37" x14ac:dyDescent="0.35">
      <c r="A108" t="s">
        <v>28</v>
      </c>
      <c r="B108">
        <v>71</v>
      </c>
      <c r="C108" t="s">
        <v>167</v>
      </c>
      <c r="D108" s="2">
        <v>38140</v>
      </c>
      <c r="E108" t="s">
        <v>48</v>
      </c>
      <c r="F108" s="3">
        <v>0.47083333333333338</v>
      </c>
      <c r="G108" s="3">
        <v>0.48125000000000001</v>
      </c>
      <c r="H108">
        <v>20</v>
      </c>
      <c r="I108">
        <v>29</v>
      </c>
      <c r="J108">
        <v>0</v>
      </c>
      <c r="K108">
        <v>2</v>
      </c>
      <c r="L108">
        <v>20</v>
      </c>
      <c r="M108">
        <v>10</v>
      </c>
      <c r="N108">
        <v>0</v>
      </c>
      <c r="O108">
        <v>0</v>
      </c>
      <c r="P108">
        <v>0</v>
      </c>
      <c r="Q108">
        <v>0</v>
      </c>
      <c r="R108">
        <v>68</v>
      </c>
      <c r="S108">
        <v>0</v>
      </c>
      <c r="T108">
        <v>0</v>
      </c>
      <c r="U108">
        <v>0</v>
      </c>
      <c r="V108">
        <v>2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1"/>
        <v>100</v>
      </c>
      <c r="AJ108" t="s">
        <v>10</v>
      </c>
      <c r="AK108">
        <f>0.9*M108</f>
        <v>9</v>
      </c>
    </row>
    <row r="109" spans="1:37" x14ac:dyDescent="0.35">
      <c r="A109" t="s">
        <v>28</v>
      </c>
      <c r="B109">
        <v>71</v>
      </c>
      <c r="C109" t="s">
        <v>167</v>
      </c>
      <c r="D109" s="2">
        <v>38140</v>
      </c>
      <c r="E109" t="s">
        <v>48</v>
      </c>
      <c r="F109" s="3">
        <v>0.47083333333333338</v>
      </c>
      <c r="G109" s="3">
        <v>0.48125000000000001</v>
      </c>
      <c r="H109">
        <v>20</v>
      </c>
      <c r="I109">
        <v>29</v>
      </c>
      <c r="J109">
        <v>0</v>
      </c>
      <c r="K109">
        <v>2</v>
      </c>
      <c r="L109">
        <v>20</v>
      </c>
      <c r="M109">
        <v>10</v>
      </c>
      <c r="N109">
        <v>0</v>
      </c>
      <c r="O109">
        <v>0</v>
      </c>
      <c r="P109">
        <v>0</v>
      </c>
      <c r="Q109">
        <v>0</v>
      </c>
      <c r="R109">
        <v>68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f t="shared" si="1"/>
        <v>100</v>
      </c>
      <c r="AJ109" t="s">
        <v>10</v>
      </c>
      <c r="AK109">
        <f>0.9*M109</f>
        <v>9</v>
      </c>
    </row>
    <row r="110" spans="1:37" x14ac:dyDescent="0.35">
      <c r="A110" t="s">
        <v>28</v>
      </c>
      <c r="B110">
        <v>75</v>
      </c>
      <c r="C110" t="s">
        <v>171</v>
      </c>
      <c r="D110" s="2">
        <v>38141</v>
      </c>
      <c r="E110" t="s">
        <v>47</v>
      </c>
      <c r="F110" s="3">
        <v>0.61111111111111105</v>
      </c>
      <c r="G110" s="3">
        <v>0.62152777777777779</v>
      </c>
      <c r="H110">
        <v>23.3</v>
      </c>
      <c r="I110">
        <v>20</v>
      </c>
      <c r="J110">
        <v>0</v>
      </c>
      <c r="K110">
        <v>1</v>
      </c>
      <c r="L110">
        <v>0</v>
      </c>
      <c r="M110">
        <v>8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60</v>
      </c>
      <c r="W110">
        <v>0</v>
      </c>
      <c r="X110">
        <v>0</v>
      </c>
      <c r="Y110">
        <v>0</v>
      </c>
      <c r="Z110">
        <v>0</v>
      </c>
      <c r="AA110">
        <v>30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f t="shared" si="1"/>
        <v>100</v>
      </c>
      <c r="AJ110" t="s">
        <v>19</v>
      </c>
      <c r="AK110">
        <f>0.2*AA110</f>
        <v>6</v>
      </c>
    </row>
    <row r="111" spans="1:37" x14ac:dyDescent="0.35">
      <c r="A111" t="s">
        <v>28</v>
      </c>
      <c r="B111">
        <v>72</v>
      </c>
      <c r="C111" t="s">
        <v>172</v>
      </c>
      <c r="D111" s="2">
        <v>38141</v>
      </c>
      <c r="E111" t="s">
        <v>34</v>
      </c>
      <c r="F111" s="3">
        <v>0.54652777777777783</v>
      </c>
      <c r="G111" s="3">
        <v>0.55694444444444446</v>
      </c>
      <c r="H111">
        <v>22.4</v>
      </c>
      <c r="I111">
        <v>27</v>
      </c>
      <c r="J111">
        <v>0</v>
      </c>
      <c r="K111">
        <v>1</v>
      </c>
      <c r="L111">
        <v>40</v>
      </c>
      <c r="M111">
        <v>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8</v>
      </c>
      <c r="V111">
        <v>50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1"/>
        <v>100</v>
      </c>
      <c r="AJ111" t="s">
        <v>16</v>
      </c>
      <c r="AK111">
        <f>0.1*U111</f>
        <v>0.8</v>
      </c>
    </row>
    <row r="112" spans="1:37" x14ac:dyDescent="0.35">
      <c r="A112" t="s">
        <v>28</v>
      </c>
      <c r="B112">
        <v>74</v>
      </c>
      <c r="C112" t="s">
        <v>173</v>
      </c>
      <c r="D112" s="2">
        <v>38141</v>
      </c>
      <c r="E112" t="s">
        <v>33</v>
      </c>
      <c r="F112" s="3">
        <v>0.5854166666666667</v>
      </c>
      <c r="G112" s="3">
        <v>0.59583333333333333</v>
      </c>
      <c r="H112">
        <v>23.8</v>
      </c>
      <c r="I112">
        <v>18</v>
      </c>
      <c r="J112">
        <v>0</v>
      </c>
      <c r="K112">
        <v>1</v>
      </c>
      <c r="L112">
        <v>43</v>
      </c>
      <c r="M112">
        <v>40</v>
      </c>
      <c r="N112">
        <v>10</v>
      </c>
      <c r="O112">
        <v>0</v>
      </c>
      <c r="P112">
        <v>0</v>
      </c>
      <c r="Q112">
        <v>0</v>
      </c>
      <c r="R112">
        <v>3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4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100</v>
      </c>
      <c r="AJ112" t="s">
        <v>84</v>
      </c>
      <c r="AK112">
        <f>0.05*R112</f>
        <v>0.15000000000000002</v>
      </c>
    </row>
    <row r="113" spans="1:37" x14ac:dyDescent="0.35">
      <c r="A113" t="s">
        <v>28</v>
      </c>
      <c r="B113">
        <v>76</v>
      </c>
      <c r="C113" t="s">
        <v>174</v>
      </c>
      <c r="D113" s="2">
        <v>38141</v>
      </c>
      <c r="E113">
        <v>0</v>
      </c>
      <c r="F113" s="3">
        <v>0.65486111111111112</v>
      </c>
      <c r="G113" s="3">
        <v>0.66527777777777775</v>
      </c>
      <c r="H113">
        <v>24.1</v>
      </c>
      <c r="I113">
        <v>26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90</v>
      </c>
      <c r="P113">
        <v>0</v>
      </c>
      <c r="Q113">
        <v>0</v>
      </c>
      <c r="R113">
        <v>5</v>
      </c>
      <c r="S113">
        <v>0</v>
      </c>
      <c r="T113">
        <v>0</v>
      </c>
      <c r="U113">
        <v>0</v>
      </c>
      <c r="V113">
        <v>3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1"/>
        <v>100</v>
      </c>
      <c r="AJ113" t="s">
        <v>83</v>
      </c>
      <c r="AK113">
        <f>0.15*R113</f>
        <v>0.75</v>
      </c>
    </row>
    <row r="114" spans="1:37" x14ac:dyDescent="0.35">
      <c r="A114" t="s">
        <v>28</v>
      </c>
      <c r="B114">
        <v>73</v>
      </c>
      <c r="C114" t="s">
        <v>175</v>
      </c>
      <c r="D114" s="2">
        <v>38141</v>
      </c>
      <c r="E114" t="s">
        <v>33</v>
      </c>
      <c r="F114" s="3">
        <v>0.56458333333333333</v>
      </c>
      <c r="G114" s="3">
        <v>0.57499999999999996</v>
      </c>
      <c r="H114">
        <v>23.9</v>
      </c>
      <c r="I114">
        <v>18</v>
      </c>
      <c r="J114">
        <v>0</v>
      </c>
      <c r="K114">
        <v>1</v>
      </c>
      <c r="L114">
        <v>44</v>
      </c>
      <c r="M114">
        <v>4</v>
      </c>
      <c r="N114">
        <v>15</v>
      </c>
      <c r="O114">
        <v>0</v>
      </c>
      <c r="P114">
        <v>0</v>
      </c>
      <c r="Q114">
        <v>0</v>
      </c>
      <c r="R114">
        <v>0</v>
      </c>
      <c r="S114">
        <v>20</v>
      </c>
      <c r="T114">
        <v>0</v>
      </c>
      <c r="U114">
        <v>0</v>
      </c>
      <c r="V114">
        <v>0</v>
      </c>
      <c r="W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15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f t="shared" si="1"/>
        <v>100</v>
      </c>
      <c r="AJ114" t="s">
        <v>20</v>
      </c>
      <c r="AK114">
        <f>0.5*AC114</f>
        <v>7.5</v>
      </c>
    </row>
    <row r="115" spans="1:37" x14ac:dyDescent="0.35">
      <c r="A115" t="s">
        <v>28</v>
      </c>
      <c r="B115">
        <v>74</v>
      </c>
      <c r="C115" t="s">
        <v>173</v>
      </c>
      <c r="D115" s="2">
        <v>38141</v>
      </c>
      <c r="E115" t="s">
        <v>33</v>
      </c>
      <c r="F115" s="3">
        <v>0.5854166666666667</v>
      </c>
      <c r="G115" s="3">
        <v>0.59583333333333333</v>
      </c>
      <c r="H115">
        <v>23.8</v>
      </c>
      <c r="I115">
        <v>18</v>
      </c>
      <c r="J115">
        <v>0</v>
      </c>
      <c r="K115">
        <v>1</v>
      </c>
      <c r="L115">
        <v>43</v>
      </c>
      <c r="M115">
        <v>40</v>
      </c>
      <c r="N115">
        <v>10</v>
      </c>
      <c r="O115">
        <v>0</v>
      </c>
      <c r="P115">
        <v>0</v>
      </c>
      <c r="Q115">
        <v>0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f t="shared" si="1"/>
        <v>100</v>
      </c>
      <c r="AJ115" t="s">
        <v>20</v>
      </c>
      <c r="AK115">
        <f>0.5*AC115</f>
        <v>2</v>
      </c>
    </row>
    <row r="116" spans="1:37" x14ac:dyDescent="0.35">
      <c r="A116" t="s">
        <v>28</v>
      </c>
      <c r="B116">
        <v>76</v>
      </c>
      <c r="C116" t="s">
        <v>174</v>
      </c>
      <c r="D116" s="2">
        <v>38141</v>
      </c>
      <c r="E116">
        <v>0</v>
      </c>
      <c r="F116" s="3">
        <v>0.65486111111111112</v>
      </c>
      <c r="G116" s="3">
        <v>0.66527777777777775</v>
      </c>
      <c r="H116">
        <v>24.1</v>
      </c>
      <c r="I116">
        <v>26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90</v>
      </c>
      <c r="P116">
        <v>0</v>
      </c>
      <c r="Q116">
        <v>0</v>
      </c>
      <c r="R116">
        <v>5</v>
      </c>
      <c r="S116">
        <v>0</v>
      </c>
      <c r="T116">
        <v>0</v>
      </c>
      <c r="U116">
        <v>0</v>
      </c>
      <c r="V116">
        <v>3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f t="shared" si="1"/>
        <v>100</v>
      </c>
      <c r="AJ116" t="s">
        <v>12</v>
      </c>
      <c r="AK116">
        <f>0.25*O116</f>
        <v>22.5</v>
      </c>
    </row>
    <row r="117" spans="1:37" x14ac:dyDescent="0.35">
      <c r="A117" t="s">
        <v>28</v>
      </c>
      <c r="B117">
        <v>72</v>
      </c>
      <c r="C117" t="s">
        <v>172</v>
      </c>
      <c r="D117" s="2">
        <v>38141</v>
      </c>
      <c r="E117" t="s">
        <v>34</v>
      </c>
      <c r="F117" s="3">
        <v>0.54652777777777783</v>
      </c>
      <c r="G117" s="3">
        <v>0.55694444444444446</v>
      </c>
      <c r="H117">
        <v>22.4</v>
      </c>
      <c r="I117">
        <v>27</v>
      </c>
      <c r="J117">
        <v>0</v>
      </c>
      <c r="K117">
        <v>1</v>
      </c>
      <c r="L117">
        <v>40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8</v>
      </c>
      <c r="V117">
        <v>50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1"/>
        <v>100</v>
      </c>
      <c r="AJ117" t="s">
        <v>10</v>
      </c>
      <c r="AK117">
        <f>0.1*M117</f>
        <v>0.2</v>
      </c>
    </row>
    <row r="118" spans="1:37" x14ac:dyDescent="0.35">
      <c r="A118" t="s">
        <v>28</v>
      </c>
      <c r="B118">
        <v>73</v>
      </c>
      <c r="C118" t="s">
        <v>175</v>
      </c>
      <c r="D118" s="2">
        <v>38141</v>
      </c>
      <c r="E118" t="s">
        <v>33</v>
      </c>
      <c r="F118" s="3">
        <v>0.56458333333333333</v>
      </c>
      <c r="G118" s="3">
        <v>0.57499999999999996</v>
      </c>
      <c r="H118">
        <v>23.9</v>
      </c>
      <c r="I118">
        <v>18</v>
      </c>
      <c r="J118">
        <v>0</v>
      </c>
      <c r="K118">
        <v>1</v>
      </c>
      <c r="L118">
        <v>44</v>
      </c>
      <c r="M118">
        <v>4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20</v>
      </c>
      <c r="T118">
        <v>0</v>
      </c>
      <c r="U118">
        <v>0</v>
      </c>
      <c r="V118">
        <v>0</v>
      </c>
      <c r="W118">
        <v>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f t="shared" si="1"/>
        <v>100</v>
      </c>
      <c r="AJ118" t="s">
        <v>10</v>
      </c>
      <c r="AK118">
        <f>0.6*M118</f>
        <v>2.4</v>
      </c>
    </row>
    <row r="119" spans="1:37" x14ac:dyDescent="0.35">
      <c r="A119" t="s">
        <v>28</v>
      </c>
      <c r="B119">
        <v>74</v>
      </c>
      <c r="C119" t="s">
        <v>173</v>
      </c>
      <c r="D119" s="2">
        <v>38141</v>
      </c>
      <c r="E119" t="s">
        <v>33</v>
      </c>
      <c r="F119" s="3">
        <v>0.5854166666666667</v>
      </c>
      <c r="G119" s="3">
        <v>0.59583333333333333</v>
      </c>
      <c r="H119">
        <v>23.8</v>
      </c>
      <c r="I119">
        <v>18</v>
      </c>
      <c r="J119">
        <v>0</v>
      </c>
      <c r="K119">
        <v>1</v>
      </c>
      <c r="L119">
        <v>43</v>
      </c>
      <c r="M119">
        <v>40</v>
      </c>
      <c r="N119">
        <v>10</v>
      </c>
      <c r="O119">
        <v>0</v>
      </c>
      <c r="P119">
        <v>0</v>
      </c>
      <c r="Q119">
        <v>0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 t="shared" si="1"/>
        <v>100</v>
      </c>
      <c r="AJ119" t="s">
        <v>10</v>
      </c>
      <c r="AK119">
        <f>0.8*M119</f>
        <v>32</v>
      </c>
    </row>
    <row r="120" spans="1:37" x14ac:dyDescent="0.35">
      <c r="A120" t="s">
        <v>28</v>
      </c>
      <c r="B120">
        <v>78</v>
      </c>
      <c r="C120" t="s">
        <v>176</v>
      </c>
      <c r="D120" s="2">
        <v>38146</v>
      </c>
      <c r="E120" t="s">
        <v>46</v>
      </c>
      <c r="F120" s="3">
        <v>0.4368055555555555</v>
      </c>
      <c r="G120" s="3">
        <v>0.44722222222222219</v>
      </c>
      <c r="H120">
        <v>17.2</v>
      </c>
      <c r="I120">
        <v>62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</v>
      </c>
      <c r="T120">
        <v>0</v>
      </c>
      <c r="U120">
        <v>0</v>
      </c>
      <c r="V120">
        <v>73</v>
      </c>
      <c r="W120">
        <v>10</v>
      </c>
      <c r="X120">
        <v>0</v>
      </c>
      <c r="Y120">
        <v>10</v>
      </c>
      <c r="Z120">
        <v>0</v>
      </c>
      <c r="AA120">
        <v>2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1"/>
        <v>100</v>
      </c>
      <c r="AJ120" t="s">
        <v>19</v>
      </c>
      <c r="AK120">
        <f>0.15*AA120</f>
        <v>0.3</v>
      </c>
    </row>
    <row r="121" spans="1:37" x14ac:dyDescent="0.35">
      <c r="A121" t="s">
        <v>28</v>
      </c>
      <c r="B121">
        <v>79</v>
      </c>
      <c r="C121" t="s">
        <v>177</v>
      </c>
      <c r="D121" s="2">
        <v>38146</v>
      </c>
      <c r="E121" t="s">
        <v>47</v>
      </c>
      <c r="F121" s="3">
        <v>0.45763888888888887</v>
      </c>
      <c r="G121" s="3">
        <v>0.4680555555555555</v>
      </c>
      <c r="H121">
        <v>18.399999999999999</v>
      </c>
      <c r="I121">
        <v>39</v>
      </c>
      <c r="J121">
        <v>2</v>
      </c>
      <c r="K121">
        <v>3</v>
      </c>
      <c r="L121">
        <v>82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</v>
      </c>
      <c r="W121">
        <v>0</v>
      </c>
      <c r="X121">
        <v>0</v>
      </c>
      <c r="Y121">
        <v>1</v>
      </c>
      <c r="Z121">
        <v>0</v>
      </c>
      <c r="AA121">
        <v>10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1"/>
        <v>100</v>
      </c>
      <c r="AJ121" t="s">
        <v>19</v>
      </c>
      <c r="AK121">
        <f>0.1*AA121</f>
        <v>1</v>
      </c>
    </row>
    <row r="122" spans="1:37" x14ac:dyDescent="0.35">
      <c r="A122" t="s">
        <v>28</v>
      </c>
      <c r="B122">
        <v>80</v>
      </c>
      <c r="C122" t="s">
        <v>178</v>
      </c>
      <c r="D122" s="2">
        <v>38146</v>
      </c>
      <c r="E122" t="s">
        <v>36</v>
      </c>
      <c r="F122" s="3">
        <v>0.47291666666666665</v>
      </c>
      <c r="G122" s="3">
        <v>0.48333333333333334</v>
      </c>
      <c r="H122">
        <v>18.399999999999999</v>
      </c>
      <c r="I122">
        <v>39</v>
      </c>
      <c r="J122">
        <v>2</v>
      </c>
      <c r="K122">
        <v>2</v>
      </c>
      <c r="L122">
        <v>34</v>
      </c>
      <c r="M122">
        <v>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</v>
      </c>
      <c r="T122">
        <v>6</v>
      </c>
      <c r="U122">
        <v>0</v>
      </c>
      <c r="V122">
        <v>22</v>
      </c>
      <c r="W122">
        <v>0</v>
      </c>
      <c r="X122">
        <v>0</v>
      </c>
      <c r="Y122">
        <v>0</v>
      </c>
      <c r="Z122">
        <v>0</v>
      </c>
      <c r="AA122">
        <v>20</v>
      </c>
      <c r="AB122">
        <v>0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v>0</v>
      </c>
      <c r="AI122">
        <f t="shared" si="1"/>
        <v>100</v>
      </c>
      <c r="AJ122" t="s">
        <v>19</v>
      </c>
      <c r="AK122">
        <f>0.3*AA122</f>
        <v>6</v>
      </c>
    </row>
    <row r="123" spans="1:37" x14ac:dyDescent="0.35">
      <c r="A123" t="s">
        <v>28</v>
      </c>
      <c r="B123">
        <v>81</v>
      </c>
      <c r="C123" t="s">
        <v>179</v>
      </c>
      <c r="D123" s="2">
        <v>38146</v>
      </c>
      <c r="E123" t="s">
        <v>33</v>
      </c>
      <c r="F123" s="3">
        <v>0.49791666666666662</v>
      </c>
      <c r="G123" s="3">
        <v>0.5083333333333333</v>
      </c>
      <c r="H123">
        <v>17.8</v>
      </c>
      <c r="I123">
        <v>64</v>
      </c>
      <c r="J123">
        <v>2</v>
      </c>
      <c r="K123">
        <v>3</v>
      </c>
      <c r="L123">
        <v>47</v>
      </c>
      <c r="M123">
        <v>10</v>
      </c>
      <c r="N123">
        <v>20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20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1"/>
        <v>100</v>
      </c>
      <c r="AJ123" t="s">
        <v>19</v>
      </c>
      <c r="AK123">
        <f>0.1*AA123</f>
        <v>0.1</v>
      </c>
    </row>
    <row r="124" spans="1:37" x14ac:dyDescent="0.35">
      <c r="A124" t="s">
        <v>28</v>
      </c>
      <c r="B124">
        <v>78</v>
      </c>
      <c r="C124" t="s">
        <v>176</v>
      </c>
      <c r="D124" s="2">
        <v>38146</v>
      </c>
      <c r="E124" t="s">
        <v>46</v>
      </c>
      <c r="F124" s="3">
        <v>0.4368055555555555</v>
      </c>
      <c r="G124" s="3">
        <v>0.44722222222222219</v>
      </c>
      <c r="H124">
        <v>17.2</v>
      </c>
      <c r="I124">
        <v>62</v>
      </c>
      <c r="J124">
        <v>2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</v>
      </c>
      <c r="T124">
        <v>0</v>
      </c>
      <c r="U124">
        <v>0</v>
      </c>
      <c r="V124">
        <v>73</v>
      </c>
      <c r="W124">
        <v>10</v>
      </c>
      <c r="X124">
        <v>0</v>
      </c>
      <c r="Y124">
        <v>10</v>
      </c>
      <c r="Z124">
        <v>0</v>
      </c>
      <c r="AA124">
        <v>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1"/>
        <v>100</v>
      </c>
      <c r="AJ124" t="s">
        <v>86</v>
      </c>
      <c r="AK124">
        <f>0.5*Y124</f>
        <v>5</v>
      </c>
    </row>
    <row r="125" spans="1:37" x14ac:dyDescent="0.35">
      <c r="A125" t="s">
        <v>28</v>
      </c>
      <c r="B125">
        <v>82</v>
      </c>
      <c r="C125" t="s">
        <v>180</v>
      </c>
      <c r="D125" s="2">
        <v>38146</v>
      </c>
      <c r="E125">
        <v>0</v>
      </c>
      <c r="F125" s="3">
        <v>0.52083333333333337</v>
      </c>
      <c r="G125" s="3">
        <v>0.53125</v>
      </c>
      <c r="H125">
        <v>17.8</v>
      </c>
      <c r="I125">
        <v>64</v>
      </c>
      <c r="J125">
        <v>2</v>
      </c>
      <c r="K125">
        <v>3</v>
      </c>
      <c r="L125">
        <v>20</v>
      </c>
      <c r="M125">
        <v>1</v>
      </c>
      <c r="N125">
        <v>3</v>
      </c>
      <c r="O125">
        <v>0</v>
      </c>
      <c r="P125">
        <v>0</v>
      </c>
      <c r="Q125">
        <v>0</v>
      </c>
      <c r="R125">
        <v>55</v>
      </c>
      <c r="S125">
        <v>0</v>
      </c>
      <c r="T125">
        <v>0</v>
      </c>
      <c r="U125">
        <v>8</v>
      </c>
      <c r="V125">
        <v>10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f t="shared" si="1"/>
        <v>100</v>
      </c>
      <c r="AJ125" t="s">
        <v>16</v>
      </c>
      <c r="AK125">
        <f>0.2*U125</f>
        <v>1.6</v>
      </c>
    </row>
    <row r="126" spans="1:37" x14ac:dyDescent="0.35">
      <c r="A126" t="s">
        <v>28</v>
      </c>
      <c r="B126">
        <v>77</v>
      </c>
      <c r="C126" t="s">
        <v>181</v>
      </c>
      <c r="D126" s="2">
        <v>38146</v>
      </c>
      <c r="E126" t="s">
        <v>34</v>
      </c>
      <c r="F126" s="3">
        <v>0.38611111111111113</v>
      </c>
      <c r="G126" s="3">
        <v>0.39652777777777781</v>
      </c>
      <c r="H126">
        <v>15.9</v>
      </c>
      <c r="I126">
        <v>66</v>
      </c>
      <c r="J126">
        <v>2</v>
      </c>
      <c r="K126">
        <v>3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90</v>
      </c>
      <c r="S126">
        <v>0</v>
      </c>
      <c r="T126">
        <v>0</v>
      </c>
      <c r="U126">
        <v>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 t="shared" si="1"/>
        <v>100</v>
      </c>
      <c r="AJ126" t="s">
        <v>83</v>
      </c>
      <c r="AK126">
        <f>0.1*R126</f>
        <v>9</v>
      </c>
    </row>
    <row r="127" spans="1:37" x14ac:dyDescent="0.35">
      <c r="A127" t="s">
        <v>28</v>
      </c>
      <c r="B127">
        <v>79</v>
      </c>
      <c r="C127" t="s">
        <v>177</v>
      </c>
      <c r="D127" s="2">
        <v>38146</v>
      </c>
      <c r="E127" t="s">
        <v>47</v>
      </c>
      <c r="F127" s="3">
        <v>0.45763888888888887</v>
      </c>
      <c r="G127" s="3">
        <v>0.4680555555555555</v>
      </c>
      <c r="H127">
        <v>18.399999999999999</v>
      </c>
      <c r="I127">
        <v>39</v>
      </c>
      <c r="J127">
        <v>2</v>
      </c>
      <c r="K127">
        <v>3</v>
      </c>
      <c r="L127">
        <v>82</v>
      </c>
      <c r="M127">
        <v>2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</v>
      </c>
      <c r="W127">
        <v>0</v>
      </c>
      <c r="X127">
        <v>0</v>
      </c>
      <c r="Y127">
        <v>1</v>
      </c>
      <c r="Z127">
        <v>0</v>
      </c>
      <c r="AA127">
        <v>10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1"/>
        <v>100</v>
      </c>
      <c r="AJ127" t="s">
        <v>93</v>
      </c>
      <c r="AK127">
        <f>1*Y127</f>
        <v>1</v>
      </c>
    </row>
    <row r="128" spans="1:37" x14ac:dyDescent="0.35">
      <c r="A128" t="s">
        <v>28</v>
      </c>
      <c r="B128">
        <v>81</v>
      </c>
      <c r="C128" t="s">
        <v>179</v>
      </c>
      <c r="D128" s="2">
        <v>38146</v>
      </c>
      <c r="E128" t="s">
        <v>33</v>
      </c>
      <c r="F128" s="3">
        <v>0.49791666666666662</v>
      </c>
      <c r="G128" s="3">
        <v>0.5083333333333333</v>
      </c>
      <c r="H128">
        <v>17.8</v>
      </c>
      <c r="I128">
        <v>64</v>
      </c>
      <c r="J128">
        <v>2</v>
      </c>
      <c r="K128">
        <v>3</v>
      </c>
      <c r="L128">
        <v>47</v>
      </c>
      <c r="M128">
        <v>10</v>
      </c>
      <c r="N128">
        <v>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20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1"/>
        <v>100</v>
      </c>
      <c r="AJ128" t="s">
        <v>20</v>
      </c>
      <c r="AK128">
        <f>0.2*AC128</f>
        <v>4</v>
      </c>
    </row>
    <row r="129" spans="1:37" x14ac:dyDescent="0.35">
      <c r="A129" t="s">
        <v>28</v>
      </c>
      <c r="B129">
        <v>82</v>
      </c>
      <c r="C129" t="s">
        <v>180</v>
      </c>
      <c r="D129" s="2">
        <v>38146</v>
      </c>
      <c r="E129">
        <v>0</v>
      </c>
      <c r="F129" s="3">
        <v>0.52083333333333337</v>
      </c>
      <c r="G129" s="3">
        <v>0.53125</v>
      </c>
      <c r="H129">
        <v>17.8</v>
      </c>
      <c r="I129">
        <v>64</v>
      </c>
      <c r="J129">
        <v>2</v>
      </c>
      <c r="K129">
        <v>3</v>
      </c>
      <c r="L129">
        <v>20</v>
      </c>
      <c r="M129">
        <v>1</v>
      </c>
      <c r="N129">
        <v>3</v>
      </c>
      <c r="O129">
        <v>0</v>
      </c>
      <c r="P129">
        <v>0</v>
      </c>
      <c r="Q129">
        <v>0</v>
      </c>
      <c r="R129">
        <v>55</v>
      </c>
      <c r="S129">
        <v>0</v>
      </c>
      <c r="T129">
        <v>0</v>
      </c>
      <c r="U129">
        <v>8</v>
      </c>
      <c r="V129">
        <v>10</v>
      </c>
      <c r="W129">
        <v>0</v>
      </c>
      <c r="X129">
        <v>0</v>
      </c>
      <c r="Y129">
        <v>2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1"/>
        <v>100</v>
      </c>
      <c r="AJ129" t="s">
        <v>20</v>
      </c>
      <c r="AK129">
        <f>0.1*AC129</f>
        <v>0.1</v>
      </c>
    </row>
    <row r="130" spans="1:37" x14ac:dyDescent="0.35">
      <c r="A130" t="s">
        <v>28</v>
      </c>
      <c r="B130">
        <v>83</v>
      </c>
      <c r="C130" t="s">
        <v>182</v>
      </c>
      <c r="D130" s="2">
        <v>38146</v>
      </c>
      <c r="E130">
        <v>0</v>
      </c>
      <c r="F130" s="3">
        <v>0.53749999999999998</v>
      </c>
      <c r="G130" s="3">
        <v>0.54791666666666672</v>
      </c>
      <c r="H130">
        <v>17.5</v>
      </c>
      <c r="I130">
        <v>48</v>
      </c>
      <c r="J130">
        <v>2</v>
      </c>
      <c r="K130">
        <v>3</v>
      </c>
      <c r="L130">
        <v>0</v>
      </c>
      <c r="M130">
        <v>0</v>
      </c>
      <c r="N130">
        <v>0</v>
      </c>
      <c r="O130">
        <v>95</v>
      </c>
      <c r="P130">
        <v>0</v>
      </c>
      <c r="Q130">
        <v>0</v>
      </c>
      <c r="R130">
        <v>5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ref="AI130:AI193" si="2">SUM(L130:AH130)</f>
        <v>100</v>
      </c>
      <c r="AJ130" t="s">
        <v>12</v>
      </c>
      <c r="AK130">
        <f>0.03*O130</f>
        <v>2.85</v>
      </c>
    </row>
    <row r="131" spans="1:37" x14ac:dyDescent="0.35">
      <c r="A131" t="s">
        <v>28</v>
      </c>
      <c r="B131">
        <v>79</v>
      </c>
      <c r="C131" t="s">
        <v>177</v>
      </c>
      <c r="D131" s="2">
        <v>38146</v>
      </c>
      <c r="E131" t="s">
        <v>47</v>
      </c>
      <c r="F131" s="3">
        <v>0.45763888888888887</v>
      </c>
      <c r="G131" s="3">
        <v>0.4680555555555555</v>
      </c>
      <c r="H131">
        <v>18.399999999999999</v>
      </c>
      <c r="I131">
        <v>39</v>
      </c>
      <c r="J131">
        <v>2</v>
      </c>
      <c r="K131">
        <v>3</v>
      </c>
      <c r="L131">
        <v>82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0</v>
      </c>
      <c r="X131">
        <v>0</v>
      </c>
      <c r="Y131">
        <v>1</v>
      </c>
      <c r="Z131">
        <v>0</v>
      </c>
      <c r="AA131">
        <v>10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f t="shared" si="2"/>
        <v>100</v>
      </c>
      <c r="AJ131" t="s">
        <v>10</v>
      </c>
      <c r="AK131">
        <f>0.1*M131</f>
        <v>0.2</v>
      </c>
    </row>
    <row r="132" spans="1:37" x14ac:dyDescent="0.35">
      <c r="A132" t="s">
        <v>28</v>
      </c>
      <c r="B132">
        <v>80</v>
      </c>
      <c r="C132" t="s">
        <v>178</v>
      </c>
      <c r="D132" s="2">
        <v>38146</v>
      </c>
      <c r="E132" t="s">
        <v>36</v>
      </c>
      <c r="F132" s="3">
        <v>0.47291666666666665</v>
      </c>
      <c r="G132" s="3">
        <v>0.48333333333333334</v>
      </c>
      <c r="H132">
        <v>18.399999999999999</v>
      </c>
      <c r="I132">
        <v>39</v>
      </c>
      <c r="J132">
        <v>2</v>
      </c>
      <c r="K132">
        <v>2</v>
      </c>
      <c r="L132">
        <v>34</v>
      </c>
      <c r="M132">
        <v>10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</v>
      </c>
      <c r="T132">
        <v>6</v>
      </c>
      <c r="U132">
        <v>0</v>
      </c>
      <c r="V132">
        <v>22</v>
      </c>
      <c r="W132">
        <v>0</v>
      </c>
      <c r="X132">
        <v>0</v>
      </c>
      <c r="Y132">
        <v>0</v>
      </c>
      <c r="Z132">
        <v>0</v>
      </c>
      <c r="AA132">
        <v>20</v>
      </c>
      <c r="AB132">
        <v>0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v>0</v>
      </c>
      <c r="AI132">
        <f t="shared" si="2"/>
        <v>100</v>
      </c>
      <c r="AJ132" t="s">
        <v>10</v>
      </c>
      <c r="AK132">
        <f>0.2*M132</f>
        <v>2</v>
      </c>
    </row>
    <row r="133" spans="1:37" x14ac:dyDescent="0.35">
      <c r="A133" t="s">
        <v>28</v>
      </c>
      <c r="B133">
        <v>81</v>
      </c>
      <c r="C133" t="s">
        <v>179</v>
      </c>
      <c r="D133" s="2">
        <v>38146</v>
      </c>
      <c r="E133" t="s">
        <v>33</v>
      </c>
      <c r="F133" s="3">
        <v>0.49791666666666662</v>
      </c>
      <c r="G133" s="3">
        <v>0.5083333333333333</v>
      </c>
      <c r="H133">
        <v>17.8</v>
      </c>
      <c r="I133">
        <v>64</v>
      </c>
      <c r="J133">
        <v>2</v>
      </c>
      <c r="K133">
        <v>3</v>
      </c>
      <c r="L133">
        <v>47</v>
      </c>
      <c r="M133">
        <v>10</v>
      </c>
      <c r="N133">
        <v>20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20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100</v>
      </c>
      <c r="AJ133" t="s">
        <v>10</v>
      </c>
      <c r="AK133">
        <f>0.7*M133</f>
        <v>7</v>
      </c>
    </row>
    <row r="134" spans="1:37" x14ac:dyDescent="0.35">
      <c r="A134" t="s">
        <v>28</v>
      </c>
      <c r="B134">
        <v>82</v>
      </c>
      <c r="C134" t="s">
        <v>180</v>
      </c>
      <c r="D134" s="2">
        <v>38146</v>
      </c>
      <c r="E134">
        <v>0</v>
      </c>
      <c r="F134" s="3">
        <v>0.52083333333333337</v>
      </c>
      <c r="G134" s="3">
        <v>0.53125</v>
      </c>
      <c r="H134">
        <v>17.8</v>
      </c>
      <c r="I134">
        <v>64</v>
      </c>
      <c r="J134">
        <v>2</v>
      </c>
      <c r="K134">
        <v>3</v>
      </c>
      <c r="L134">
        <v>20</v>
      </c>
      <c r="M134">
        <v>1</v>
      </c>
      <c r="N134">
        <v>3</v>
      </c>
      <c r="O134">
        <v>0</v>
      </c>
      <c r="P134">
        <v>0</v>
      </c>
      <c r="Q134">
        <v>0</v>
      </c>
      <c r="R134">
        <v>55</v>
      </c>
      <c r="S134">
        <v>0</v>
      </c>
      <c r="T134">
        <v>0</v>
      </c>
      <c r="U134">
        <v>8</v>
      </c>
      <c r="V134">
        <v>10</v>
      </c>
      <c r="W134">
        <v>0</v>
      </c>
      <c r="X134">
        <v>0</v>
      </c>
      <c r="Y134">
        <v>2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100</v>
      </c>
      <c r="AJ134" t="s">
        <v>10</v>
      </c>
      <c r="AK134">
        <f>0.7*M134</f>
        <v>0.7</v>
      </c>
    </row>
    <row r="135" spans="1:37" x14ac:dyDescent="0.35">
      <c r="A135" t="s">
        <v>28</v>
      </c>
      <c r="B135">
        <v>86</v>
      </c>
      <c r="C135" t="s">
        <v>183</v>
      </c>
      <c r="D135" s="2">
        <v>38148</v>
      </c>
      <c r="E135" t="s">
        <v>33</v>
      </c>
      <c r="F135" s="3">
        <v>0.59722222222222221</v>
      </c>
      <c r="G135" s="3">
        <v>0.60763888888888895</v>
      </c>
      <c r="H135">
        <v>23.2</v>
      </c>
      <c r="I135">
        <v>28</v>
      </c>
      <c r="J135">
        <v>1</v>
      </c>
      <c r="K135">
        <v>2</v>
      </c>
      <c r="L135">
        <v>68</v>
      </c>
      <c r="M135">
        <v>2</v>
      </c>
      <c r="N135">
        <v>10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12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100</v>
      </c>
      <c r="AJ135" t="s">
        <v>19</v>
      </c>
      <c r="AK135">
        <f>0.5*AA135</f>
        <v>0.5</v>
      </c>
    </row>
    <row r="136" spans="1:37" x14ac:dyDescent="0.35">
      <c r="A136" t="s">
        <v>28</v>
      </c>
      <c r="B136">
        <v>87</v>
      </c>
      <c r="C136" t="s">
        <v>184</v>
      </c>
      <c r="D136" s="2">
        <v>38148</v>
      </c>
      <c r="E136" t="s">
        <v>46</v>
      </c>
      <c r="F136" s="3">
        <v>0.61944444444444446</v>
      </c>
      <c r="G136" s="3">
        <v>0.62986111111111109</v>
      </c>
      <c r="H136">
        <v>24.1</v>
      </c>
      <c r="I136">
        <v>28</v>
      </c>
      <c r="J136">
        <v>1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>
        <v>0</v>
      </c>
      <c r="U136">
        <v>0</v>
      </c>
      <c r="V136">
        <v>64</v>
      </c>
      <c r="W136">
        <v>0</v>
      </c>
      <c r="X136">
        <v>0</v>
      </c>
      <c r="Y136">
        <v>1</v>
      </c>
      <c r="Z136">
        <v>0</v>
      </c>
      <c r="AA136">
        <v>30</v>
      </c>
      <c r="AB136">
        <v>0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v>0</v>
      </c>
      <c r="AI136">
        <f t="shared" si="2"/>
        <v>100</v>
      </c>
      <c r="AJ136" t="s">
        <v>19</v>
      </c>
      <c r="AK136">
        <f>0.3*AA136</f>
        <v>9</v>
      </c>
    </row>
    <row r="137" spans="1:37" x14ac:dyDescent="0.35">
      <c r="A137" t="s">
        <v>28</v>
      </c>
      <c r="B137">
        <v>84</v>
      </c>
      <c r="C137" t="s">
        <v>185</v>
      </c>
      <c r="D137" s="2">
        <v>38148</v>
      </c>
      <c r="E137" t="s">
        <v>34</v>
      </c>
      <c r="F137" s="3">
        <v>0.56666666666666665</v>
      </c>
      <c r="G137" s="3">
        <v>0.57708333333333328</v>
      </c>
      <c r="H137">
        <v>23.3</v>
      </c>
      <c r="I137">
        <v>28</v>
      </c>
      <c r="J137">
        <v>1</v>
      </c>
      <c r="K137">
        <v>3</v>
      </c>
      <c r="L137">
        <v>67</v>
      </c>
      <c r="M137">
        <v>2</v>
      </c>
      <c r="N137">
        <v>0</v>
      </c>
      <c r="O137">
        <v>0</v>
      </c>
      <c r="P137">
        <v>0</v>
      </c>
      <c r="Q137">
        <v>0</v>
      </c>
      <c r="R137">
        <v>3</v>
      </c>
      <c r="S137">
        <v>0</v>
      </c>
      <c r="T137">
        <v>0</v>
      </c>
      <c r="U137">
        <v>20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100</v>
      </c>
      <c r="AJ137" t="s">
        <v>16</v>
      </c>
      <c r="AK137">
        <f>0.35*U137</f>
        <v>7</v>
      </c>
    </row>
    <row r="138" spans="1:37" x14ac:dyDescent="0.35">
      <c r="A138" t="s">
        <v>28</v>
      </c>
      <c r="B138">
        <v>86</v>
      </c>
      <c r="C138" t="s">
        <v>183</v>
      </c>
      <c r="D138" s="2">
        <v>38148</v>
      </c>
      <c r="E138" t="s">
        <v>33</v>
      </c>
      <c r="F138" s="3">
        <v>0.59722222222222221</v>
      </c>
      <c r="G138" s="3">
        <v>0.60763888888888895</v>
      </c>
      <c r="H138">
        <v>23.2</v>
      </c>
      <c r="I138">
        <v>28</v>
      </c>
      <c r="J138">
        <v>1</v>
      </c>
      <c r="K138">
        <v>2</v>
      </c>
      <c r="L138">
        <v>68</v>
      </c>
      <c r="M138">
        <v>2</v>
      </c>
      <c r="N138">
        <v>10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12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f t="shared" si="2"/>
        <v>100</v>
      </c>
      <c r="AJ138" t="s">
        <v>20</v>
      </c>
      <c r="AK138">
        <f>0.45*AC138</f>
        <v>5.4</v>
      </c>
    </row>
    <row r="139" spans="1:37" x14ac:dyDescent="0.35">
      <c r="A139" t="s">
        <v>28</v>
      </c>
      <c r="B139">
        <v>88</v>
      </c>
      <c r="C139" t="s">
        <v>186</v>
      </c>
      <c r="D139" s="2">
        <v>38148</v>
      </c>
      <c r="E139">
        <v>0</v>
      </c>
      <c r="F139" s="3">
        <v>0.65625</v>
      </c>
      <c r="G139" s="3">
        <v>0.66666666666666663</v>
      </c>
      <c r="H139">
        <v>23.9</v>
      </c>
      <c r="I139">
        <v>27</v>
      </c>
      <c r="J139">
        <v>1</v>
      </c>
      <c r="K139">
        <v>2</v>
      </c>
      <c r="L139">
        <v>0</v>
      </c>
      <c r="M139">
        <v>5</v>
      </c>
      <c r="N139">
        <v>0</v>
      </c>
      <c r="O139">
        <v>92</v>
      </c>
      <c r="P139">
        <v>0</v>
      </c>
      <c r="Q139">
        <v>0</v>
      </c>
      <c r="R139">
        <v>3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 t="shared" si="2"/>
        <v>100</v>
      </c>
      <c r="AJ139" t="s">
        <v>12</v>
      </c>
      <c r="AK139">
        <f>0.01*O139</f>
        <v>0.92</v>
      </c>
    </row>
    <row r="140" spans="1:37" x14ac:dyDescent="0.35">
      <c r="A140" t="s">
        <v>28</v>
      </c>
      <c r="B140">
        <v>84</v>
      </c>
      <c r="C140" t="s">
        <v>185</v>
      </c>
      <c r="D140" s="2">
        <v>38148</v>
      </c>
      <c r="E140" t="s">
        <v>34</v>
      </c>
      <c r="F140" s="3">
        <v>0.56666666666666665</v>
      </c>
      <c r="G140" s="3">
        <v>0.57708333333333328</v>
      </c>
      <c r="H140">
        <v>23.3</v>
      </c>
      <c r="I140">
        <v>28</v>
      </c>
      <c r="J140">
        <v>1</v>
      </c>
      <c r="K140">
        <v>3</v>
      </c>
      <c r="L140">
        <v>67</v>
      </c>
      <c r="M140">
        <v>2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0</v>
      </c>
      <c r="T140">
        <v>0</v>
      </c>
      <c r="U140">
        <v>20</v>
      </c>
      <c r="V140">
        <v>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100</v>
      </c>
      <c r="AJ140" t="s">
        <v>10</v>
      </c>
      <c r="AK140">
        <f>0.2*M140</f>
        <v>0.4</v>
      </c>
    </row>
    <row r="141" spans="1:37" x14ac:dyDescent="0.35">
      <c r="A141" t="s">
        <v>28</v>
      </c>
      <c r="B141">
        <v>85</v>
      </c>
      <c r="C141" t="s">
        <v>187</v>
      </c>
      <c r="D141" s="2">
        <v>38148</v>
      </c>
      <c r="E141" t="s">
        <v>33</v>
      </c>
      <c r="F141" s="3">
        <v>0.58333333333333337</v>
      </c>
      <c r="G141" s="3">
        <v>0.59375</v>
      </c>
      <c r="H141">
        <v>23.5</v>
      </c>
      <c r="I141">
        <v>28</v>
      </c>
      <c r="J141">
        <v>1</v>
      </c>
      <c r="K141">
        <v>2</v>
      </c>
      <c r="L141">
        <v>49</v>
      </c>
      <c r="M141">
        <v>35</v>
      </c>
      <c r="N141">
        <v>2</v>
      </c>
      <c r="O141">
        <v>0</v>
      </c>
      <c r="P141">
        <v>0</v>
      </c>
      <c r="Q141">
        <v>0</v>
      </c>
      <c r="R141">
        <v>0</v>
      </c>
      <c r="S141">
        <v>10</v>
      </c>
      <c r="T141">
        <v>0</v>
      </c>
      <c r="U141">
        <v>0</v>
      </c>
      <c r="V141">
        <v>0</v>
      </c>
      <c r="W141">
        <v>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2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100</v>
      </c>
      <c r="AJ141" t="s">
        <v>10</v>
      </c>
      <c r="AK141">
        <f>0.4*M141</f>
        <v>14</v>
      </c>
    </row>
    <row r="142" spans="1:37" x14ac:dyDescent="0.35">
      <c r="A142" t="s">
        <v>28</v>
      </c>
      <c r="B142">
        <v>86</v>
      </c>
      <c r="C142" t="s">
        <v>183</v>
      </c>
      <c r="D142" s="2">
        <v>38148</v>
      </c>
      <c r="E142" t="s">
        <v>33</v>
      </c>
      <c r="F142" s="3">
        <v>0.59722222222222221</v>
      </c>
      <c r="G142" s="3">
        <v>0.60763888888888895</v>
      </c>
      <c r="H142">
        <v>23.2</v>
      </c>
      <c r="I142">
        <v>28</v>
      </c>
      <c r="J142">
        <v>1</v>
      </c>
      <c r="K142">
        <v>2</v>
      </c>
      <c r="L142">
        <v>68</v>
      </c>
      <c r="M142">
        <v>2</v>
      </c>
      <c r="N142">
        <v>10</v>
      </c>
      <c r="O142">
        <v>0</v>
      </c>
      <c r="P142">
        <v>0</v>
      </c>
      <c r="Q142">
        <v>0</v>
      </c>
      <c r="R142">
        <v>0</v>
      </c>
      <c r="S142">
        <v>5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12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100</v>
      </c>
      <c r="AJ142" t="s">
        <v>10</v>
      </c>
      <c r="AK142">
        <f>0.2*M142</f>
        <v>0.4</v>
      </c>
    </row>
    <row r="143" spans="1:37" x14ac:dyDescent="0.35">
      <c r="A143" t="s">
        <v>28</v>
      </c>
      <c r="B143">
        <v>88</v>
      </c>
      <c r="C143" t="s">
        <v>186</v>
      </c>
      <c r="D143" s="2">
        <v>38148</v>
      </c>
      <c r="E143">
        <v>0</v>
      </c>
      <c r="F143" s="3">
        <v>0.65625</v>
      </c>
      <c r="G143" s="3">
        <v>0.66666666666666663</v>
      </c>
      <c r="H143">
        <v>23.9</v>
      </c>
      <c r="I143">
        <v>27</v>
      </c>
      <c r="J143">
        <v>1</v>
      </c>
      <c r="K143">
        <v>2</v>
      </c>
      <c r="L143">
        <v>0</v>
      </c>
      <c r="M143">
        <v>5</v>
      </c>
      <c r="N143">
        <v>0</v>
      </c>
      <c r="O143">
        <v>92</v>
      </c>
      <c r="P143">
        <v>0</v>
      </c>
      <c r="Q143">
        <v>0</v>
      </c>
      <c r="R143">
        <v>3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100</v>
      </c>
      <c r="AJ143" t="s">
        <v>10</v>
      </c>
      <c r="AK143">
        <f>0.4*M143</f>
        <v>2</v>
      </c>
    </row>
    <row r="144" spans="1:37" x14ac:dyDescent="0.35">
      <c r="A144" t="s">
        <v>28</v>
      </c>
      <c r="B144">
        <v>89</v>
      </c>
      <c r="C144" t="s">
        <v>188</v>
      </c>
      <c r="D144" s="2">
        <v>38157</v>
      </c>
      <c r="E144" t="s">
        <v>33</v>
      </c>
      <c r="F144" s="3">
        <v>0.44513888888888892</v>
      </c>
      <c r="G144" s="3">
        <v>0.46597222222222223</v>
      </c>
      <c r="J144">
        <v>3</v>
      </c>
      <c r="K144">
        <v>3</v>
      </c>
      <c r="L144">
        <v>0</v>
      </c>
      <c r="M144">
        <v>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</v>
      </c>
      <c r="AE144">
        <v>0</v>
      </c>
      <c r="AF144">
        <v>20</v>
      </c>
      <c r="AG144">
        <v>0</v>
      </c>
      <c r="AH144">
        <v>0</v>
      </c>
      <c r="AI144">
        <f t="shared" si="2"/>
        <v>100</v>
      </c>
      <c r="AJ144" t="s">
        <v>21</v>
      </c>
      <c r="AK144">
        <f>0.2*AD144</f>
        <v>1</v>
      </c>
    </row>
    <row r="145" spans="1:37" x14ac:dyDescent="0.35">
      <c r="A145" t="s">
        <v>28</v>
      </c>
      <c r="B145" t="s">
        <v>58</v>
      </c>
      <c r="C145" t="s">
        <v>189</v>
      </c>
      <c r="D145" s="2">
        <v>38157</v>
      </c>
      <c r="E145" t="s">
        <v>33</v>
      </c>
      <c r="F145" s="3">
        <v>0.48333333333333334</v>
      </c>
      <c r="G145" s="3">
        <v>0.49375000000000002</v>
      </c>
      <c r="J145">
        <v>3</v>
      </c>
      <c r="K145">
        <v>3</v>
      </c>
      <c r="L145">
        <v>0</v>
      </c>
      <c r="M145">
        <v>30</v>
      </c>
      <c r="N145">
        <v>0</v>
      </c>
      <c r="O145">
        <v>0</v>
      </c>
      <c r="P145">
        <v>0</v>
      </c>
      <c r="Q145">
        <v>0</v>
      </c>
      <c r="R145">
        <v>10</v>
      </c>
      <c r="S145">
        <v>10</v>
      </c>
      <c r="T145">
        <v>0</v>
      </c>
      <c r="U145">
        <v>0</v>
      </c>
      <c r="V145">
        <v>50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 t="shared" si="2"/>
        <v>100</v>
      </c>
      <c r="AJ145" t="s">
        <v>10</v>
      </c>
      <c r="AK145">
        <f>0.1*M145</f>
        <v>3</v>
      </c>
    </row>
    <row r="146" spans="1:37" x14ac:dyDescent="0.35">
      <c r="A146" t="s">
        <v>28</v>
      </c>
      <c r="B146" t="s">
        <v>59</v>
      </c>
      <c r="C146" t="s">
        <v>190</v>
      </c>
      <c r="D146" s="2">
        <v>38157</v>
      </c>
      <c r="E146" t="s">
        <v>33</v>
      </c>
      <c r="F146" s="3">
        <v>0.49375000000000002</v>
      </c>
      <c r="G146" s="3">
        <v>0.50416666666666665</v>
      </c>
      <c r="J146">
        <v>3</v>
      </c>
      <c r="K146">
        <v>3</v>
      </c>
      <c r="L146">
        <v>0</v>
      </c>
      <c r="M146">
        <v>30</v>
      </c>
      <c r="N146">
        <v>0</v>
      </c>
      <c r="O146">
        <v>0</v>
      </c>
      <c r="P146">
        <v>0</v>
      </c>
      <c r="Q146">
        <v>0</v>
      </c>
      <c r="R146">
        <v>10</v>
      </c>
      <c r="S146">
        <v>10</v>
      </c>
      <c r="T146">
        <v>0</v>
      </c>
      <c r="U146">
        <v>0</v>
      </c>
      <c r="V146">
        <v>50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100</v>
      </c>
      <c r="AJ146" t="s">
        <v>10</v>
      </c>
      <c r="AK146">
        <f>0.1*M146</f>
        <v>3</v>
      </c>
    </row>
    <row r="147" spans="1:37" x14ac:dyDescent="0.35">
      <c r="A147" t="s">
        <v>28</v>
      </c>
      <c r="B147">
        <v>91</v>
      </c>
      <c r="C147" t="s">
        <v>191</v>
      </c>
      <c r="D147" s="2">
        <v>38165</v>
      </c>
      <c r="E147" t="s">
        <v>33</v>
      </c>
      <c r="F147" s="3">
        <v>0.44444444444444442</v>
      </c>
      <c r="G147" s="3">
        <v>0.4548611111111111</v>
      </c>
      <c r="H147">
        <v>14.9</v>
      </c>
      <c r="I147">
        <v>63</v>
      </c>
      <c r="J147">
        <v>5</v>
      </c>
      <c r="K147">
        <v>1</v>
      </c>
      <c r="L147">
        <v>10</v>
      </c>
      <c r="M147">
        <v>15</v>
      </c>
      <c r="N147">
        <v>5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70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 t="shared" si="2"/>
        <v>100</v>
      </c>
      <c r="AJ147" t="s">
        <v>15</v>
      </c>
      <c r="AK147">
        <f>0.1*T147</f>
        <v>7</v>
      </c>
    </row>
    <row r="148" spans="1:37" x14ac:dyDescent="0.35">
      <c r="A148" t="s">
        <v>28</v>
      </c>
      <c r="B148">
        <v>93</v>
      </c>
      <c r="C148" t="s">
        <v>192</v>
      </c>
      <c r="D148" s="2">
        <v>38165</v>
      </c>
      <c r="E148">
        <v>0</v>
      </c>
      <c r="F148" s="3">
        <v>0.4770833333333333</v>
      </c>
      <c r="G148" s="3">
        <v>0.48819444444444443</v>
      </c>
      <c r="H148">
        <v>14.9</v>
      </c>
      <c r="I148">
        <v>59</v>
      </c>
      <c r="J148">
        <v>5</v>
      </c>
      <c r="K148">
        <v>2</v>
      </c>
      <c r="L148">
        <v>25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4</v>
      </c>
      <c r="S148">
        <v>5</v>
      </c>
      <c r="T148">
        <v>65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100</v>
      </c>
      <c r="AJ148" t="s">
        <v>15</v>
      </c>
      <c r="AK148">
        <f>0.01*T148</f>
        <v>0.65</v>
      </c>
    </row>
    <row r="149" spans="1:37" x14ac:dyDescent="0.35">
      <c r="A149" t="s">
        <v>28</v>
      </c>
      <c r="B149">
        <v>92</v>
      </c>
      <c r="C149" t="s">
        <v>193</v>
      </c>
      <c r="D149" s="2">
        <v>38165</v>
      </c>
      <c r="E149" t="s">
        <v>33</v>
      </c>
      <c r="F149" s="3">
        <v>0.45763888888888887</v>
      </c>
      <c r="G149" s="3">
        <v>0.4680555555555555</v>
      </c>
      <c r="H149">
        <v>16.3</v>
      </c>
      <c r="I149">
        <v>66</v>
      </c>
      <c r="J149">
        <v>5</v>
      </c>
      <c r="K149">
        <v>1</v>
      </c>
      <c r="L149">
        <v>39</v>
      </c>
      <c r="M149">
        <v>25</v>
      </c>
      <c r="N149">
        <v>35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f t="shared" si="2"/>
        <v>100</v>
      </c>
      <c r="AJ149" t="s">
        <v>21</v>
      </c>
      <c r="AK149">
        <f>0.65*AD149</f>
        <v>0.65</v>
      </c>
    </row>
    <row r="150" spans="1:37" x14ac:dyDescent="0.35">
      <c r="A150" t="s">
        <v>28</v>
      </c>
      <c r="B150">
        <v>94</v>
      </c>
      <c r="C150" t="s">
        <v>194</v>
      </c>
      <c r="D150" s="2">
        <v>38165</v>
      </c>
      <c r="E150">
        <v>0</v>
      </c>
      <c r="F150" s="3">
        <v>0.4826388888888889</v>
      </c>
      <c r="G150" s="3">
        <v>0.49305555555555558</v>
      </c>
      <c r="H150">
        <v>14.5</v>
      </c>
      <c r="I150">
        <v>62</v>
      </c>
      <c r="J150">
        <v>5</v>
      </c>
      <c r="K150">
        <v>1</v>
      </c>
      <c r="L150">
        <v>31</v>
      </c>
      <c r="M150">
        <v>15</v>
      </c>
      <c r="N150">
        <v>0</v>
      </c>
      <c r="O150">
        <v>0</v>
      </c>
      <c r="P150">
        <v>0</v>
      </c>
      <c r="Q150">
        <v>0</v>
      </c>
      <c r="R150">
        <v>20</v>
      </c>
      <c r="S150">
        <v>30</v>
      </c>
      <c r="T150">
        <v>0</v>
      </c>
      <c r="U150">
        <v>0</v>
      </c>
      <c r="V150">
        <v>0</v>
      </c>
      <c r="W150">
        <v>1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3</v>
      </c>
      <c r="AE150">
        <v>0</v>
      </c>
      <c r="AF150">
        <v>0</v>
      </c>
      <c r="AG150">
        <v>0</v>
      </c>
      <c r="AH150">
        <v>0</v>
      </c>
      <c r="AI150">
        <f t="shared" si="2"/>
        <v>100</v>
      </c>
      <c r="AJ150" t="s">
        <v>21</v>
      </c>
      <c r="AK150">
        <f>0.15*AD150</f>
        <v>0.44999999999999996</v>
      </c>
    </row>
    <row r="151" spans="1:37" x14ac:dyDescent="0.35">
      <c r="A151" t="s">
        <v>28</v>
      </c>
      <c r="B151">
        <v>95</v>
      </c>
      <c r="C151" t="s">
        <v>195</v>
      </c>
      <c r="D151" s="2">
        <v>38167</v>
      </c>
      <c r="E151">
        <v>0</v>
      </c>
      <c r="F151" s="3">
        <v>0.5493055555555556</v>
      </c>
      <c r="G151" s="3">
        <v>0.55972222222222223</v>
      </c>
      <c r="H151">
        <v>14.5</v>
      </c>
      <c r="I151">
        <v>64</v>
      </c>
      <c r="J151">
        <v>5</v>
      </c>
      <c r="K151">
        <v>4</v>
      </c>
      <c r="L151">
        <v>25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4</v>
      </c>
      <c r="S151">
        <v>5</v>
      </c>
      <c r="T151">
        <v>65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2"/>
        <v>100</v>
      </c>
      <c r="AJ151" t="s">
        <v>15</v>
      </c>
      <c r="AK151">
        <f>0.1*T151</f>
        <v>6.5</v>
      </c>
    </row>
    <row r="152" spans="1:37" x14ac:dyDescent="0.35">
      <c r="A152" t="s">
        <v>28</v>
      </c>
      <c r="B152">
        <v>96</v>
      </c>
      <c r="C152" t="s">
        <v>196</v>
      </c>
      <c r="D152" s="2">
        <v>38168</v>
      </c>
      <c r="E152" t="s">
        <v>33</v>
      </c>
      <c r="F152" s="3">
        <v>0.51111111111111118</v>
      </c>
      <c r="G152" s="3">
        <v>0.52152777777777781</v>
      </c>
      <c r="H152">
        <v>21</v>
      </c>
      <c r="I152">
        <v>45</v>
      </c>
      <c r="J152">
        <v>2</v>
      </c>
      <c r="K152">
        <v>2</v>
      </c>
      <c r="L152">
        <v>4</v>
      </c>
      <c r="M152">
        <v>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91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2"/>
        <v>100</v>
      </c>
      <c r="AJ152" t="s">
        <v>15</v>
      </c>
      <c r="AK152">
        <f>0.15*T152</f>
        <v>13.65</v>
      </c>
    </row>
    <row r="153" spans="1:37" x14ac:dyDescent="0.35">
      <c r="A153" t="s">
        <v>28</v>
      </c>
      <c r="B153">
        <v>101</v>
      </c>
      <c r="C153" t="s">
        <v>197</v>
      </c>
      <c r="D153" s="2">
        <v>38168</v>
      </c>
      <c r="E153">
        <v>0</v>
      </c>
      <c r="F153" s="3">
        <v>0.59166666666666667</v>
      </c>
      <c r="G153" s="3">
        <v>0.6020833333333333</v>
      </c>
      <c r="H153">
        <v>19.3</v>
      </c>
      <c r="I153">
        <v>55</v>
      </c>
      <c r="J153">
        <v>5</v>
      </c>
      <c r="K153">
        <v>3</v>
      </c>
      <c r="L153">
        <v>25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4</v>
      </c>
      <c r="S153">
        <v>5</v>
      </c>
      <c r="T153">
        <v>65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2"/>
        <v>100</v>
      </c>
      <c r="AJ153" t="s">
        <v>15</v>
      </c>
      <c r="AK153">
        <f>0.15*T153</f>
        <v>9.75</v>
      </c>
    </row>
    <row r="154" spans="1:37" x14ac:dyDescent="0.35">
      <c r="A154" t="s">
        <v>28</v>
      </c>
      <c r="B154">
        <v>99</v>
      </c>
      <c r="C154" t="s">
        <v>198</v>
      </c>
      <c r="D154" s="2">
        <v>38168</v>
      </c>
      <c r="E154">
        <v>0</v>
      </c>
      <c r="F154" s="3">
        <v>0.56319444444444444</v>
      </c>
      <c r="G154" s="3">
        <v>0.57361111111111118</v>
      </c>
      <c r="H154">
        <v>20</v>
      </c>
      <c r="I154">
        <v>35</v>
      </c>
      <c r="J154">
        <v>5</v>
      </c>
      <c r="K154">
        <v>3</v>
      </c>
      <c r="L154">
        <v>25</v>
      </c>
      <c r="M154">
        <v>35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10</v>
      </c>
      <c r="T154">
        <v>0</v>
      </c>
      <c r="U154">
        <v>0</v>
      </c>
      <c r="V154">
        <v>17</v>
      </c>
      <c r="W154">
        <v>10</v>
      </c>
      <c r="X154">
        <v>0</v>
      </c>
      <c r="Y154">
        <v>0</v>
      </c>
      <c r="Z154">
        <v>0</v>
      </c>
      <c r="AA154">
        <v>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2"/>
        <v>100</v>
      </c>
      <c r="AJ154" t="s">
        <v>19</v>
      </c>
      <c r="AK154">
        <f>0.4*AA154</f>
        <v>0.8</v>
      </c>
    </row>
    <row r="155" spans="1:37" x14ac:dyDescent="0.35">
      <c r="A155" t="s">
        <v>28</v>
      </c>
      <c r="B155">
        <v>98</v>
      </c>
      <c r="C155" t="s">
        <v>199</v>
      </c>
      <c r="D155" s="2">
        <v>38168</v>
      </c>
      <c r="E155">
        <v>0</v>
      </c>
      <c r="F155" s="3">
        <v>0.54861111111111105</v>
      </c>
      <c r="G155" s="3">
        <v>0.55902777777777779</v>
      </c>
      <c r="H155">
        <v>21.2</v>
      </c>
      <c r="I155">
        <v>39</v>
      </c>
      <c r="J155">
        <v>3</v>
      </c>
      <c r="K155">
        <v>2</v>
      </c>
      <c r="L155">
        <v>20</v>
      </c>
      <c r="M155">
        <v>1</v>
      </c>
      <c r="N155">
        <v>3</v>
      </c>
      <c r="O155">
        <v>0</v>
      </c>
      <c r="P155">
        <v>0</v>
      </c>
      <c r="Q155">
        <v>0</v>
      </c>
      <c r="R155">
        <v>55</v>
      </c>
      <c r="S155">
        <v>0</v>
      </c>
      <c r="T155">
        <v>0</v>
      </c>
      <c r="U155">
        <v>8</v>
      </c>
      <c r="V155">
        <v>10</v>
      </c>
      <c r="W155">
        <v>0</v>
      </c>
      <c r="X155">
        <v>0</v>
      </c>
      <c r="Y155">
        <v>2</v>
      </c>
      <c r="Z155">
        <v>0</v>
      </c>
      <c r="AA155">
        <v>0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2"/>
        <v>100</v>
      </c>
      <c r="AJ155" t="s">
        <v>16</v>
      </c>
      <c r="AK155">
        <f>0.1*U155</f>
        <v>0.8</v>
      </c>
    </row>
    <row r="156" spans="1:37" x14ac:dyDescent="0.35">
      <c r="A156" t="s">
        <v>28</v>
      </c>
      <c r="B156">
        <v>97</v>
      </c>
      <c r="C156" t="s">
        <v>200</v>
      </c>
      <c r="D156" s="2">
        <v>38168</v>
      </c>
      <c r="E156" t="s">
        <v>33</v>
      </c>
      <c r="F156" s="3">
        <v>0.52986111111111112</v>
      </c>
      <c r="G156" s="3">
        <v>0.54027777777777775</v>
      </c>
      <c r="H156">
        <v>21.6</v>
      </c>
      <c r="I156">
        <v>41</v>
      </c>
      <c r="J156">
        <v>2</v>
      </c>
      <c r="K156">
        <v>2</v>
      </c>
      <c r="L156">
        <v>46</v>
      </c>
      <c r="M156">
        <v>35</v>
      </c>
      <c r="N156">
        <v>15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</v>
      </c>
      <c r="AE156">
        <v>0</v>
      </c>
      <c r="AF156">
        <v>0</v>
      </c>
      <c r="AG156">
        <v>0</v>
      </c>
      <c r="AH156">
        <v>0</v>
      </c>
      <c r="AI156">
        <f t="shared" si="2"/>
        <v>100</v>
      </c>
      <c r="AJ156" t="s">
        <v>21</v>
      </c>
      <c r="AK156">
        <f>0.5*AD156</f>
        <v>1</v>
      </c>
    </row>
    <row r="157" spans="1:37" x14ac:dyDescent="0.35">
      <c r="A157" t="s">
        <v>28</v>
      </c>
      <c r="B157">
        <v>100</v>
      </c>
      <c r="C157" t="s">
        <v>201</v>
      </c>
      <c r="D157" s="2">
        <v>38168</v>
      </c>
      <c r="E157">
        <v>0</v>
      </c>
      <c r="F157" s="3">
        <v>0.57777777777777783</v>
      </c>
      <c r="G157" s="3">
        <v>0.58819444444444446</v>
      </c>
      <c r="H157">
        <v>19.3</v>
      </c>
      <c r="I157">
        <v>44</v>
      </c>
      <c r="J157">
        <v>5</v>
      </c>
      <c r="K157">
        <v>3</v>
      </c>
      <c r="L157">
        <v>30</v>
      </c>
      <c r="M157">
        <v>10</v>
      </c>
      <c r="N157">
        <v>0</v>
      </c>
      <c r="O157">
        <v>0</v>
      </c>
      <c r="P157">
        <v>0</v>
      </c>
      <c r="Q157">
        <v>0</v>
      </c>
      <c r="R157">
        <v>35</v>
      </c>
      <c r="S157">
        <v>3</v>
      </c>
      <c r="T157">
        <v>0</v>
      </c>
      <c r="U157">
        <v>0</v>
      </c>
      <c r="V157">
        <v>17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5</v>
      </c>
      <c r="AE157">
        <v>0</v>
      </c>
      <c r="AF157">
        <v>0</v>
      </c>
      <c r="AG157">
        <v>0</v>
      </c>
      <c r="AH157">
        <v>0</v>
      </c>
      <c r="AI157">
        <f t="shared" si="2"/>
        <v>100</v>
      </c>
      <c r="AJ157" t="s">
        <v>21</v>
      </c>
      <c r="AK157">
        <f>0.07*AD157</f>
        <v>0.35000000000000003</v>
      </c>
    </row>
    <row r="158" spans="1:37" x14ac:dyDescent="0.35">
      <c r="A158" t="s">
        <v>28</v>
      </c>
      <c r="B158">
        <v>99</v>
      </c>
      <c r="C158" t="s">
        <v>198</v>
      </c>
      <c r="D158" s="2">
        <v>38168</v>
      </c>
      <c r="E158">
        <v>0</v>
      </c>
      <c r="F158" s="3">
        <v>0.56319444444444444</v>
      </c>
      <c r="G158" s="3">
        <v>0.57361111111111118</v>
      </c>
      <c r="H158">
        <v>20</v>
      </c>
      <c r="I158">
        <v>35</v>
      </c>
      <c r="J158">
        <v>5</v>
      </c>
      <c r="K158">
        <v>3</v>
      </c>
      <c r="L158">
        <v>25</v>
      </c>
      <c r="M158">
        <v>35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10</v>
      </c>
      <c r="T158">
        <v>0</v>
      </c>
      <c r="U158">
        <v>0</v>
      </c>
      <c r="V158">
        <v>17</v>
      </c>
      <c r="W158">
        <v>10</v>
      </c>
      <c r="X158">
        <v>0</v>
      </c>
      <c r="Y158">
        <v>0</v>
      </c>
      <c r="Z158">
        <v>0</v>
      </c>
      <c r="AA158">
        <v>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f t="shared" si="2"/>
        <v>100</v>
      </c>
      <c r="AJ158" t="s">
        <v>10</v>
      </c>
      <c r="AK158">
        <f>0.05*M158</f>
        <v>1.75</v>
      </c>
    </row>
    <row r="159" spans="1:37" x14ac:dyDescent="0.35">
      <c r="A159" t="s">
        <v>28</v>
      </c>
      <c r="B159">
        <v>103</v>
      </c>
      <c r="C159" t="s">
        <v>202</v>
      </c>
      <c r="D159" s="2">
        <v>38169</v>
      </c>
      <c r="E159" t="s">
        <v>33</v>
      </c>
      <c r="F159" s="3">
        <v>0.6020833333333333</v>
      </c>
      <c r="G159" s="3">
        <v>0.61319444444444449</v>
      </c>
      <c r="H159">
        <v>18.3</v>
      </c>
      <c r="I159">
        <v>48</v>
      </c>
      <c r="J159">
        <v>5</v>
      </c>
      <c r="K159">
        <v>3</v>
      </c>
      <c r="L159">
        <v>10</v>
      </c>
      <c r="M159">
        <v>15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70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 t="shared" si="2"/>
        <v>100</v>
      </c>
      <c r="AJ159" t="s">
        <v>15</v>
      </c>
      <c r="AK159">
        <f>0.65*T159</f>
        <v>45.5</v>
      </c>
    </row>
    <row r="160" spans="1:37" x14ac:dyDescent="0.35">
      <c r="A160" t="s">
        <v>28</v>
      </c>
      <c r="B160">
        <v>102</v>
      </c>
      <c r="C160" t="s">
        <v>203</v>
      </c>
      <c r="D160" s="2">
        <v>38169</v>
      </c>
      <c r="E160" t="s">
        <v>33</v>
      </c>
      <c r="F160" s="3">
        <v>0.57708333333333328</v>
      </c>
      <c r="G160" s="3">
        <v>0.58750000000000002</v>
      </c>
      <c r="H160">
        <v>20.100000000000001</v>
      </c>
      <c r="I160">
        <v>45</v>
      </c>
      <c r="J160">
        <v>3</v>
      </c>
      <c r="K160">
        <v>3</v>
      </c>
      <c r="L160">
        <v>57</v>
      </c>
      <c r="M160">
        <v>25</v>
      </c>
      <c r="N160">
        <v>5</v>
      </c>
      <c r="O160">
        <v>0</v>
      </c>
      <c r="P160">
        <v>0</v>
      </c>
      <c r="Q160">
        <v>0</v>
      </c>
      <c r="R160">
        <v>0</v>
      </c>
      <c r="S160">
        <v>10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3</v>
      </c>
      <c r="AE160">
        <v>0</v>
      </c>
      <c r="AF160">
        <v>0</v>
      </c>
      <c r="AG160">
        <v>0</v>
      </c>
      <c r="AH160">
        <v>0</v>
      </c>
      <c r="AI160">
        <f t="shared" si="2"/>
        <v>100</v>
      </c>
      <c r="AJ160" t="s">
        <v>21</v>
      </c>
      <c r="AK160">
        <f>0.9*AD160</f>
        <v>2.7</v>
      </c>
    </row>
    <row r="161" spans="1:37" x14ac:dyDescent="0.35">
      <c r="A161" t="s">
        <v>28</v>
      </c>
      <c r="B161">
        <v>104</v>
      </c>
      <c r="C161" t="s">
        <v>204</v>
      </c>
      <c r="D161" s="2">
        <v>38169</v>
      </c>
      <c r="E161">
        <v>0</v>
      </c>
      <c r="F161" s="3">
        <v>0.6333333333333333</v>
      </c>
      <c r="G161" s="3">
        <v>0.64375000000000004</v>
      </c>
      <c r="H161">
        <v>18</v>
      </c>
      <c r="I161">
        <v>52</v>
      </c>
      <c r="J161">
        <v>4</v>
      </c>
      <c r="K161">
        <v>3</v>
      </c>
      <c r="L161">
        <v>31</v>
      </c>
      <c r="M161">
        <v>15</v>
      </c>
      <c r="N161">
        <v>0</v>
      </c>
      <c r="O161">
        <v>0</v>
      </c>
      <c r="P161">
        <v>0</v>
      </c>
      <c r="Q161">
        <v>0</v>
      </c>
      <c r="R161">
        <v>20</v>
      </c>
      <c r="S161">
        <v>30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3</v>
      </c>
      <c r="AE161">
        <v>0</v>
      </c>
      <c r="AF161">
        <v>0</v>
      </c>
      <c r="AG161">
        <v>0</v>
      </c>
      <c r="AH161">
        <v>0</v>
      </c>
      <c r="AI161">
        <f t="shared" si="2"/>
        <v>100</v>
      </c>
      <c r="AJ161" t="s">
        <v>21</v>
      </c>
      <c r="AK161">
        <f>0.2*AD161</f>
        <v>0.60000000000000009</v>
      </c>
    </row>
    <row r="162" spans="1:37" x14ac:dyDescent="0.35">
      <c r="A162" t="s">
        <v>28</v>
      </c>
      <c r="B162">
        <v>105</v>
      </c>
      <c r="C162" t="s">
        <v>205</v>
      </c>
      <c r="D162" s="2">
        <v>38170</v>
      </c>
      <c r="E162" t="s">
        <v>33</v>
      </c>
      <c r="F162" s="3">
        <v>0.43263888888888885</v>
      </c>
      <c r="G162" s="3">
        <v>0.44305555555555554</v>
      </c>
      <c r="H162">
        <v>16.3</v>
      </c>
      <c r="I162">
        <v>63</v>
      </c>
      <c r="J162">
        <v>4</v>
      </c>
      <c r="K162">
        <v>2</v>
      </c>
      <c r="L162">
        <v>10</v>
      </c>
      <c r="M162">
        <v>15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70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2"/>
        <v>100</v>
      </c>
      <c r="AJ162" t="s">
        <v>15</v>
      </c>
      <c r="AK162">
        <f>0.65*T162</f>
        <v>45.5</v>
      </c>
    </row>
    <row r="163" spans="1:37" x14ac:dyDescent="0.35">
      <c r="A163" t="s">
        <v>28</v>
      </c>
      <c r="B163">
        <v>108</v>
      </c>
      <c r="C163" t="s">
        <v>206</v>
      </c>
      <c r="D163" s="2">
        <v>38170</v>
      </c>
      <c r="E163" t="s">
        <v>48</v>
      </c>
      <c r="F163" s="3">
        <v>0.52847222222222223</v>
      </c>
      <c r="G163" s="3">
        <v>0.53888888888888886</v>
      </c>
      <c r="H163">
        <v>17.2</v>
      </c>
      <c r="I163">
        <v>78</v>
      </c>
      <c r="J163">
        <v>2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</v>
      </c>
      <c r="S163">
        <v>42</v>
      </c>
      <c r="T163">
        <v>20</v>
      </c>
      <c r="U163">
        <v>30</v>
      </c>
      <c r="V163">
        <v>3</v>
      </c>
      <c r="W163">
        <v>0</v>
      </c>
      <c r="X163">
        <v>0</v>
      </c>
      <c r="Y163">
        <v>0</v>
      </c>
      <c r="Z163">
        <v>0</v>
      </c>
      <c r="AA163" t="s">
        <v>87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f t="shared" si="2"/>
        <v>100</v>
      </c>
      <c r="AJ163" t="s">
        <v>15</v>
      </c>
      <c r="AK163">
        <f>0.4*T163</f>
        <v>8</v>
      </c>
    </row>
    <row r="164" spans="1:37" x14ac:dyDescent="0.35">
      <c r="A164" t="s">
        <v>28</v>
      </c>
      <c r="B164">
        <v>109</v>
      </c>
      <c r="C164" t="s">
        <v>207</v>
      </c>
      <c r="D164" s="2">
        <v>38170</v>
      </c>
      <c r="E164" t="s">
        <v>48</v>
      </c>
      <c r="F164" s="3">
        <v>0.54513888888888895</v>
      </c>
      <c r="G164" s="3">
        <v>0.55555555555555558</v>
      </c>
      <c r="H164">
        <v>17.5</v>
      </c>
      <c r="I164">
        <v>78</v>
      </c>
      <c r="J164">
        <v>2</v>
      </c>
      <c r="K164">
        <v>2</v>
      </c>
      <c r="L164">
        <v>10</v>
      </c>
      <c r="M164">
        <v>4</v>
      </c>
      <c r="N164">
        <v>0</v>
      </c>
      <c r="O164">
        <v>0</v>
      </c>
      <c r="P164">
        <v>0</v>
      </c>
      <c r="Q164">
        <v>0</v>
      </c>
      <c r="R164">
        <v>43</v>
      </c>
      <c r="S164">
        <v>0</v>
      </c>
      <c r="T164">
        <v>2</v>
      </c>
      <c r="U164">
        <v>27</v>
      </c>
      <c r="V164">
        <v>8</v>
      </c>
      <c r="W164">
        <v>0</v>
      </c>
      <c r="X164">
        <v>0</v>
      </c>
      <c r="Y164">
        <v>0</v>
      </c>
      <c r="Z164">
        <v>0</v>
      </c>
      <c r="AA164" t="s">
        <v>87</v>
      </c>
      <c r="AB164">
        <v>0</v>
      </c>
      <c r="AC164">
        <v>0</v>
      </c>
      <c r="AD164">
        <v>0</v>
      </c>
      <c r="AE164">
        <v>0</v>
      </c>
      <c r="AF164">
        <v>6</v>
      </c>
      <c r="AG164">
        <v>0</v>
      </c>
      <c r="AH164">
        <v>0</v>
      </c>
      <c r="AI164">
        <f t="shared" si="2"/>
        <v>100</v>
      </c>
      <c r="AJ164" t="s">
        <v>15</v>
      </c>
      <c r="AK164">
        <f>0.7*T164</f>
        <v>1.4</v>
      </c>
    </row>
    <row r="165" spans="1:37" x14ac:dyDescent="0.35">
      <c r="A165" t="s">
        <v>28</v>
      </c>
      <c r="B165">
        <v>106</v>
      </c>
      <c r="C165" t="s">
        <v>208</v>
      </c>
      <c r="D165" s="2">
        <v>38170</v>
      </c>
      <c r="E165" t="s">
        <v>33</v>
      </c>
      <c r="F165" s="3">
        <v>0.4548611111111111</v>
      </c>
      <c r="G165" s="3">
        <v>0.46527777777777773</v>
      </c>
      <c r="H165">
        <v>16.600000000000001</v>
      </c>
      <c r="I165">
        <v>64</v>
      </c>
      <c r="J165">
        <v>5</v>
      </c>
      <c r="K165">
        <v>2</v>
      </c>
      <c r="L165">
        <v>50</v>
      </c>
      <c r="M165">
        <v>4</v>
      </c>
      <c r="N165">
        <v>4</v>
      </c>
      <c r="O165">
        <v>0</v>
      </c>
      <c r="P165">
        <v>0</v>
      </c>
      <c r="Q165">
        <v>0</v>
      </c>
      <c r="R165">
        <v>1</v>
      </c>
      <c r="S165">
        <v>10</v>
      </c>
      <c r="T165">
        <v>0</v>
      </c>
      <c r="U165">
        <v>0</v>
      </c>
      <c r="V165">
        <v>6</v>
      </c>
      <c r="W165">
        <v>2</v>
      </c>
      <c r="X165">
        <v>0</v>
      </c>
      <c r="Y165">
        <v>0</v>
      </c>
      <c r="Z165">
        <v>0</v>
      </c>
      <c r="AA165">
        <v>20</v>
      </c>
      <c r="AB165">
        <v>0</v>
      </c>
      <c r="AC165">
        <v>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f t="shared" si="2"/>
        <v>100</v>
      </c>
      <c r="AJ165" t="s">
        <v>19</v>
      </c>
      <c r="AK165">
        <f>0.5*AA165</f>
        <v>10</v>
      </c>
    </row>
    <row r="166" spans="1:37" x14ac:dyDescent="0.35">
      <c r="A166" t="s">
        <v>28</v>
      </c>
      <c r="B166">
        <v>108</v>
      </c>
      <c r="C166" t="s">
        <v>206</v>
      </c>
      <c r="D166" s="2">
        <v>38170</v>
      </c>
      <c r="E166" t="s">
        <v>48</v>
      </c>
      <c r="F166" s="3">
        <v>0.52847222222222223</v>
      </c>
      <c r="G166" s="3">
        <v>0.53888888888888886</v>
      </c>
      <c r="H166">
        <v>17.2</v>
      </c>
      <c r="I166">
        <v>78</v>
      </c>
      <c r="J166">
        <v>2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4</v>
      </c>
      <c r="S166">
        <v>42</v>
      </c>
      <c r="T166">
        <v>20</v>
      </c>
      <c r="U166">
        <v>30</v>
      </c>
      <c r="V166">
        <v>3</v>
      </c>
      <c r="W166">
        <v>0</v>
      </c>
      <c r="X166">
        <v>0</v>
      </c>
      <c r="Y166">
        <v>0</v>
      </c>
      <c r="Z166">
        <v>0</v>
      </c>
      <c r="AA166" t="s">
        <v>87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  <c r="AI166">
        <f t="shared" si="2"/>
        <v>100</v>
      </c>
      <c r="AJ166" t="s">
        <v>19</v>
      </c>
      <c r="AK166">
        <f>0.5*0.1</f>
        <v>0.05</v>
      </c>
    </row>
    <row r="167" spans="1:37" x14ac:dyDescent="0.35">
      <c r="A167" t="s">
        <v>28</v>
      </c>
      <c r="B167">
        <v>109</v>
      </c>
      <c r="C167" t="s">
        <v>207</v>
      </c>
      <c r="D167" s="2">
        <v>38170</v>
      </c>
      <c r="E167" t="s">
        <v>48</v>
      </c>
      <c r="F167" s="3">
        <v>0.54513888888888895</v>
      </c>
      <c r="G167" s="3">
        <v>0.55555555555555558</v>
      </c>
      <c r="H167">
        <v>17.5</v>
      </c>
      <c r="I167">
        <v>78</v>
      </c>
      <c r="J167">
        <v>2</v>
      </c>
      <c r="K167">
        <v>2</v>
      </c>
      <c r="L167">
        <v>10</v>
      </c>
      <c r="M167">
        <v>4</v>
      </c>
      <c r="N167">
        <v>0</v>
      </c>
      <c r="O167">
        <v>0</v>
      </c>
      <c r="P167">
        <v>0</v>
      </c>
      <c r="Q167">
        <v>0</v>
      </c>
      <c r="R167">
        <v>43</v>
      </c>
      <c r="S167">
        <v>0</v>
      </c>
      <c r="T167">
        <v>2</v>
      </c>
      <c r="U167">
        <v>27</v>
      </c>
      <c r="V167">
        <v>8</v>
      </c>
      <c r="W167">
        <v>0</v>
      </c>
      <c r="X167">
        <v>0</v>
      </c>
      <c r="Y167">
        <v>0</v>
      </c>
      <c r="Z167">
        <v>0</v>
      </c>
      <c r="AA167" t="s">
        <v>87</v>
      </c>
      <c r="AB167">
        <v>0</v>
      </c>
      <c r="AC167">
        <v>0</v>
      </c>
      <c r="AD167">
        <v>0</v>
      </c>
      <c r="AE167">
        <v>0</v>
      </c>
      <c r="AF167">
        <v>6</v>
      </c>
      <c r="AG167">
        <v>0</v>
      </c>
      <c r="AH167">
        <v>0</v>
      </c>
      <c r="AI167">
        <f t="shared" si="2"/>
        <v>100</v>
      </c>
      <c r="AJ167" t="s">
        <v>19</v>
      </c>
      <c r="AK167">
        <f>0.5*0.1</f>
        <v>0.05</v>
      </c>
    </row>
    <row r="168" spans="1:37" x14ac:dyDescent="0.35">
      <c r="A168" t="s">
        <v>28</v>
      </c>
      <c r="B168">
        <v>108</v>
      </c>
      <c r="C168" t="s">
        <v>206</v>
      </c>
      <c r="D168" s="2">
        <v>38170</v>
      </c>
      <c r="E168" t="s">
        <v>48</v>
      </c>
      <c r="F168" s="3">
        <v>0.52847222222222223</v>
      </c>
      <c r="G168" s="3">
        <v>0.53888888888888886</v>
      </c>
      <c r="H168">
        <v>17.2</v>
      </c>
      <c r="I168">
        <v>78</v>
      </c>
      <c r="J168">
        <v>2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4</v>
      </c>
      <c r="S168">
        <v>42</v>
      </c>
      <c r="T168">
        <v>20</v>
      </c>
      <c r="U168">
        <v>30</v>
      </c>
      <c r="V168">
        <v>3</v>
      </c>
      <c r="W168">
        <v>0</v>
      </c>
      <c r="X168">
        <v>0</v>
      </c>
      <c r="Y168">
        <v>0</v>
      </c>
      <c r="Z168">
        <v>0</v>
      </c>
      <c r="AA168" t="s">
        <v>87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0</v>
      </c>
      <c r="AH168">
        <v>0</v>
      </c>
      <c r="AI168">
        <f t="shared" si="2"/>
        <v>100</v>
      </c>
      <c r="AJ168" t="s">
        <v>16</v>
      </c>
      <c r="AK168">
        <f>0.1*U168+0.4*T168</f>
        <v>11</v>
      </c>
    </row>
    <row r="169" spans="1:37" x14ac:dyDescent="0.35">
      <c r="A169" t="s">
        <v>28</v>
      </c>
      <c r="B169">
        <v>109</v>
      </c>
      <c r="C169" t="s">
        <v>207</v>
      </c>
      <c r="D169" s="2">
        <v>38170</v>
      </c>
      <c r="E169" t="s">
        <v>48</v>
      </c>
      <c r="F169" s="3">
        <v>0.54513888888888895</v>
      </c>
      <c r="G169" s="3">
        <v>0.55555555555555558</v>
      </c>
      <c r="H169">
        <v>17.5</v>
      </c>
      <c r="I169">
        <v>78</v>
      </c>
      <c r="J169">
        <v>2</v>
      </c>
      <c r="K169">
        <v>2</v>
      </c>
      <c r="L169">
        <v>10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43</v>
      </c>
      <c r="S169">
        <v>0</v>
      </c>
      <c r="T169">
        <v>2</v>
      </c>
      <c r="U169">
        <v>27</v>
      </c>
      <c r="V169">
        <v>8</v>
      </c>
      <c r="W169">
        <v>0</v>
      </c>
      <c r="X169">
        <v>0</v>
      </c>
      <c r="Y169">
        <v>0</v>
      </c>
      <c r="Z169">
        <v>0</v>
      </c>
      <c r="AA169" t="s">
        <v>87</v>
      </c>
      <c r="AB169">
        <v>0</v>
      </c>
      <c r="AC169">
        <v>0</v>
      </c>
      <c r="AD169">
        <v>0</v>
      </c>
      <c r="AE169">
        <v>0</v>
      </c>
      <c r="AF169">
        <v>6</v>
      </c>
      <c r="AG169">
        <v>0</v>
      </c>
      <c r="AH169">
        <v>0</v>
      </c>
      <c r="AI169">
        <f t="shared" si="2"/>
        <v>100</v>
      </c>
      <c r="AJ169" t="s">
        <v>16</v>
      </c>
      <c r="AK169">
        <f>0.1*U169</f>
        <v>2.7</v>
      </c>
    </row>
    <row r="170" spans="1:37" x14ac:dyDescent="0.35">
      <c r="A170" t="s">
        <v>28</v>
      </c>
      <c r="B170">
        <v>107</v>
      </c>
      <c r="C170" t="s">
        <v>209</v>
      </c>
      <c r="D170" s="2">
        <v>38170</v>
      </c>
      <c r="E170">
        <v>0</v>
      </c>
      <c r="F170" s="3">
        <v>0.47361111111111115</v>
      </c>
      <c r="G170" s="3">
        <v>0.48402777777777778</v>
      </c>
      <c r="H170">
        <v>17</v>
      </c>
      <c r="I170">
        <v>70</v>
      </c>
      <c r="J170">
        <v>2</v>
      </c>
      <c r="K170">
        <v>2</v>
      </c>
      <c r="L170">
        <v>5</v>
      </c>
      <c r="M170">
        <v>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75</v>
      </c>
      <c r="T170">
        <v>0</v>
      </c>
      <c r="U170">
        <v>0</v>
      </c>
      <c r="V170">
        <v>0</v>
      </c>
      <c r="W170">
        <v>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4</v>
      </c>
      <c r="AE170">
        <v>0</v>
      </c>
      <c r="AF170">
        <v>2</v>
      </c>
      <c r="AG170">
        <v>0</v>
      </c>
      <c r="AH170">
        <v>0</v>
      </c>
      <c r="AI170">
        <f t="shared" si="2"/>
        <v>100</v>
      </c>
      <c r="AJ170" t="s">
        <v>21</v>
      </c>
      <c r="AK170">
        <f>0.08*AD170</f>
        <v>0.32</v>
      </c>
    </row>
    <row r="171" spans="1:37" x14ac:dyDescent="0.35">
      <c r="A171" t="s">
        <v>28</v>
      </c>
      <c r="B171">
        <v>106</v>
      </c>
      <c r="C171" t="s">
        <v>208</v>
      </c>
      <c r="D171" s="2">
        <v>38170</v>
      </c>
      <c r="E171" t="s">
        <v>33</v>
      </c>
      <c r="F171" s="3">
        <v>0.4548611111111111</v>
      </c>
      <c r="G171" s="3">
        <v>0.46527777777777773</v>
      </c>
      <c r="H171">
        <v>16.600000000000001</v>
      </c>
      <c r="I171">
        <v>64</v>
      </c>
      <c r="J171">
        <v>5</v>
      </c>
      <c r="K171">
        <v>2</v>
      </c>
      <c r="L171">
        <v>50</v>
      </c>
      <c r="M171">
        <v>4</v>
      </c>
      <c r="N171">
        <v>4</v>
      </c>
      <c r="O171">
        <v>0</v>
      </c>
      <c r="P171">
        <v>0</v>
      </c>
      <c r="Q171">
        <v>0</v>
      </c>
      <c r="R171">
        <v>1</v>
      </c>
      <c r="S171">
        <v>10</v>
      </c>
      <c r="T171">
        <v>0</v>
      </c>
      <c r="U171">
        <v>0</v>
      </c>
      <c r="V171">
        <v>6</v>
      </c>
      <c r="W171">
        <v>2</v>
      </c>
      <c r="X171">
        <v>0</v>
      </c>
      <c r="Y171">
        <v>0</v>
      </c>
      <c r="Z171">
        <v>0</v>
      </c>
      <c r="AA171">
        <v>20</v>
      </c>
      <c r="AB171">
        <v>0</v>
      </c>
      <c r="AC171">
        <v>3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f t="shared" si="2"/>
        <v>100</v>
      </c>
      <c r="AJ171" t="s">
        <v>20</v>
      </c>
      <c r="AK171">
        <f>0.005*AC171</f>
        <v>1.4999999999999999E-2</v>
      </c>
    </row>
    <row r="172" spans="1:37" x14ac:dyDescent="0.35">
      <c r="A172" t="s">
        <v>28</v>
      </c>
      <c r="B172">
        <v>112</v>
      </c>
      <c r="C172" t="s">
        <v>210</v>
      </c>
      <c r="D172" s="2">
        <v>38173</v>
      </c>
      <c r="E172" t="s">
        <v>33</v>
      </c>
      <c r="F172" s="3">
        <v>0.67847222222222225</v>
      </c>
      <c r="G172" s="3">
        <v>0.68888888888888899</v>
      </c>
      <c r="H172">
        <v>18.2</v>
      </c>
      <c r="I172">
        <v>49</v>
      </c>
      <c r="J172">
        <v>3</v>
      </c>
      <c r="K172">
        <v>3</v>
      </c>
      <c r="L172">
        <v>65</v>
      </c>
      <c r="M172">
        <v>3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7</v>
      </c>
      <c r="T172">
        <v>25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2"/>
        <v>100</v>
      </c>
      <c r="AJ172" t="s">
        <v>15</v>
      </c>
      <c r="AK172">
        <f>0.7*T172</f>
        <v>17.5</v>
      </c>
    </row>
    <row r="173" spans="1:37" x14ac:dyDescent="0.35">
      <c r="A173" t="s">
        <v>28</v>
      </c>
      <c r="B173">
        <v>110</v>
      </c>
      <c r="C173" t="s">
        <v>211</v>
      </c>
      <c r="D173" s="2">
        <v>38173</v>
      </c>
      <c r="E173" t="s">
        <v>33</v>
      </c>
      <c r="F173" s="3">
        <v>0.61041666666666672</v>
      </c>
      <c r="G173" s="3">
        <v>0.62083333333333335</v>
      </c>
      <c r="H173">
        <v>18.3</v>
      </c>
      <c r="I173">
        <v>58</v>
      </c>
      <c r="J173">
        <v>2</v>
      </c>
      <c r="K173">
        <v>3</v>
      </c>
      <c r="L173">
        <v>62</v>
      </c>
      <c r="M173">
        <v>4</v>
      </c>
      <c r="N173">
        <v>0</v>
      </c>
      <c r="O173">
        <v>0</v>
      </c>
      <c r="P173">
        <v>0</v>
      </c>
      <c r="Q173">
        <v>0</v>
      </c>
      <c r="R173">
        <v>20</v>
      </c>
      <c r="S173">
        <v>0</v>
      </c>
      <c r="T173">
        <v>0</v>
      </c>
      <c r="U173">
        <v>4</v>
      </c>
      <c r="V173">
        <v>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5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f t="shared" si="2"/>
        <v>100</v>
      </c>
      <c r="AJ173" t="s">
        <v>16</v>
      </c>
      <c r="AK173">
        <f>0.15*U173</f>
        <v>0.6</v>
      </c>
    </row>
    <row r="174" spans="1:37" x14ac:dyDescent="0.35">
      <c r="A174" t="s">
        <v>28</v>
      </c>
      <c r="B174">
        <v>111</v>
      </c>
      <c r="C174" t="s">
        <v>212</v>
      </c>
      <c r="D174" s="2">
        <v>38173</v>
      </c>
      <c r="E174">
        <v>0</v>
      </c>
      <c r="F174" s="3">
        <v>0.65277777777777779</v>
      </c>
      <c r="G174" s="3">
        <v>0.66319444444444442</v>
      </c>
      <c r="H174">
        <v>17.3</v>
      </c>
      <c r="I174">
        <v>68</v>
      </c>
      <c r="J174">
        <v>4</v>
      </c>
      <c r="K174">
        <v>4</v>
      </c>
      <c r="L174">
        <v>30</v>
      </c>
      <c r="M174">
        <v>5</v>
      </c>
      <c r="N174">
        <v>0</v>
      </c>
      <c r="O174">
        <v>0</v>
      </c>
      <c r="P174">
        <v>0</v>
      </c>
      <c r="Q174">
        <v>0</v>
      </c>
      <c r="R174">
        <v>30</v>
      </c>
      <c r="S174">
        <v>5</v>
      </c>
      <c r="T174">
        <v>0</v>
      </c>
      <c r="U174">
        <v>0</v>
      </c>
      <c r="V174">
        <v>23</v>
      </c>
      <c r="W174">
        <v>2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5</v>
      </c>
      <c r="AE174">
        <v>0</v>
      </c>
      <c r="AF174">
        <v>0</v>
      </c>
      <c r="AG174">
        <v>0</v>
      </c>
      <c r="AH174">
        <v>0</v>
      </c>
      <c r="AI174">
        <f t="shared" si="2"/>
        <v>100</v>
      </c>
      <c r="AJ174" t="s">
        <v>21</v>
      </c>
      <c r="AK174">
        <f>0.75*AD174</f>
        <v>3.75</v>
      </c>
    </row>
    <row r="175" spans="1:37" x14ac:dyDescent="0.35">
      <c r="A175" t="s">
        <v>28</v>
      </c>
      <c r="B175">
        <v>113</v>
      </c>
      <c r="C175" t="s">
        <v>213</v>
      </c>
      <c r="D175" s="2">
        <v>38175</v>
      </c>
      <c r="E175" t="s">
        <v>33</v>
      </c>
      <c r="F175" s="3">
        <v>0.36805555555555558</v>
      </c>
      <c r="G175" s="3">
        <v>0.37847222222222227</v>
      </c>
      <c r="H175">
        <v>16</v>
      </c>
      <c r="I175">
        <v>46</v>
      </c>
      <c r="J175">
        <v>1</v>
      </c>
      <c r="K175">
        <v>3</v>
      </c>
      <c r="L175">
        <v>10</v>
      </c>
      <c r="M175">
        <v>15</v>
      </c>
      <c r="N175">
        <v>5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70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2"/>
        <v>100</v>
      </c>
      <c r="AJ175" t="s">
        <v>15</v>
      </c>
      <c r="AK175">
        <f>0.45*T175</f>
        <v>31.5</v>
      </c>
    </row>
    <row r="176" spans="1:37" x14ac:dyDescent="0.35">
      <c r="A176" t="s">
        <v>28</v>
      </c>
      <c r="B176">
        <v>118</v>
      </c>
      <c r="C176" t="s">
        <v>214</v>
      </c>
      <c r="D176" s="2">
        <v>38175</v>
      </c>
      <c r="E176">
        <v>0</v>
      </c>
      <c r="F176" s="3">
        <v>0.47916666666666669</v>
      </c>
      <c r="G176" s="3">
        <v>0.48958333333333331</v>
      </c>
      <c r="H176">
        <v>17.899999999999999</v>
      </c>
      <c r="I176">
        <v>52</v>
      </c>
      <c r="J176">
        <v>2</v>
      </c>
      <c r="K176">
        <v>2</v>
      </c>
      <c r="L176">
        <v>25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4</v>
      </c>
      <c r="S176">
        <v>5</v>
      </c>
      <c r="T176">
        <v>65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2"/>
        <v>100</v>
      </c>
      <c r="AJ176" t="s">
        <v>15</v>
      </c>
      <c r="AK176">
        <f>0.5*T176</f>
        <v>32.5</v>
      </c>
    </row>
    <row r="177" spans="1:37" x14ac:dyDescent="0.35">
      <c r="A177" t="s">
        <v>28</v>
      </c>
      <c r="B177">
        <v>114</v>
      </c>
      <c r="C177" t="s">
        <v>215</v>
      </c>
      <c r="D177" s="2">
        <v>38175</v>
      </c>
      <c r="E177" t="s">
        <v>48</v>
      </c>
      <c r="F177" s="3">
        <v>0.3972222222222222</v>
      </c>
      <c r="G177" s="3">
        <v>0.40763888888888888</v>
      </c>
      <c r="H177">
        <v>15.2</v>
      </c>
      <c r="I177">
        <v>50</v>
      </c>
      <c r="J177">
        <v>2</v>
      </c>
      <c r="K177">
        <v>3</v>
      </c>
      <c r="L177">
        <v>15</v>
      </c>
      <c r="M177">
        <v>15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55</v>
      </c>
      <c r="W177">
        <v>0</v>
      </c>
      <c r="X177">
        <v>0</v>
      </c>
      <c r="Y177">
        <v>0</v>
      </c>
      <c r="Z177">
        <v>0</v>
      </c>
      <c r="AA177">
        <v>15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f t="shared" si="2"/>
        <v>100</v>
      </c>
      <c r="AJ177" t="s">
        <v>19</v>
      </c>
      <c r="AK177">
        <f>0.3*AA177</f>
        <v>4.5</v>
      </c>
    </row>
    <row r="178" spans="1:37" x14ac:dyDescent="0.35">
      <c r="A178" t="s">
        <v>28</v>
      </c>
      <c r="B178">
        <v>115</v>
      </c>
      <c r="C178" t="s">
        <v>216</v>
      </c>
      <c r="D178" s="2">
        <v>38175</v>
      </c>
      <c r="E178" t="s">
        <v>49</v>
      </c>
      <c r="F178" s="3">
        <v>0.41388888888888892</v>
      </c>
      <c r="G178" s="3">
        <v>0.42638888888888887</v>
      </c>
      <c r="H178">
        <v>16.600000000000001</v>
      </c>
      <c r="I178">
        <v>52</v>
      </c>
      <c r="J178">
        <v>3</v>
      </c>
      <c r="K178">
        <v>3</v>
      </c>
      <c r="L178">
        <v>58</v>
      </c>
      <c r="M178">
        <v>0</v>
      </c>
      <c r="N178">
        <v>12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  <c r="U178">
        <v>0</v>
      </c>
      <c r="V178">
        <v>10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</v>
      </c>
      <c r="AE178">
        <v>0</v>
      </c>
      <c r="AF178">
        <v>0</v>
      </c>
      <c r="AG178">
        <v>0</v>
      </c>
      <c r="AH178">
        <v>0</v>
      </c>
      <c r="AI178">
        <f t="shared" si="2"/>
        <v>100</v>
      </c>
      <c r="AJ178" t="s">
        <v>19</v>
      </c>
      <c r="AK178">
        <f>0.1*AA178</f>
        <v>0.1</v>
      </c>
    </row>
    <row r="179" spans="1:37" x14ac:dyDescent="0.35">
      <c r="A179" t="s">
        <v>28</v>
      </c>
      <c r="B179">
        <v>117</v>
      </c>
      <c r="C179" t="s">
        <v>217</v>
      </c>
      <c r="D179" s="2">
        <v>38175</v>
      </c>
      <c r="E179" t="s">
        <v>61</v>
      </c>
      <c r="F179" s="3">
        <v>0.46458333333333335</v>
      </c>
      <c r="G179" s="3">
        <v>0.47499999999999998</v>
      </c>
      <c r="H179">
        <v>17.7</v>
      </c>
      <c r="I179">
        <v>57</v>
      </c>
      <c r="J179">
        <v>2</v>
      </c>
      <c r="K179">
        <v>3</v>
      </c>
      <c r="L179">
        <v>0</v>
      </c>
      <c r="M179">
        <v>6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40</v>
      </c>
      <c r="T179">
        <v>0</v>
      </c>
      <c r="U179">
        <v>0</v>
      </c>
      <c r="V179">
        <v>40</v>
      </c>
      <c r="W179">
        <v>0</v>
      </c>
      <c r="X179">
        <v>0</v>
      </c>
      <c r="Y179">
        <v>10</v>
      </c>
      <c r="Z179">
        <v>0</v>
      </c>
      <c r="AA179">
        <v>4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si="2"/>
        <v>100</v>
      </c>
      <c r="AJ179" t="s">
        <v>17</v>
      </c>
      <c r="AK179">
        <f>9/25*Y179</f>
        <v>3.5999999999999996</v>
      </c>
    </row>
    <row r="180" spans="1:37" x14ac:dyDescent="0.35">
      <c r="A180" t="s">
        <v>28</v>
      </c>
      <c r="B180">
        <v>116</v>
      </c>
      <c r="C180" t="s">
        <v>218</v>
      </c>
      <c r="D180" s="2">
        <v>38175</v>
      </c>
      <c r="E180" t="s">
        <v>48</v>
      </c>
      <c r="F180" s="3">
        <v>0.4375</v>
      </c>
      <c r="G180" s="3">
        <v>0.44791666666666669</v>
      </c>
      <c r="H180">
        <v>15.4</v>
      </c>
      <c r="I180">
        <v>48</v>
      </c>
      <c r="J180">
        <v>3</v>
      </c>
      <c r="K180">
        <v>3</v>
      </c>
      <c r="L180">
        <v>17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25</v>
      </c>
      <c r="S180">
        <v>0</v>
      </c>
      <c r="T180">
        <v>0</v>
      </c>
      <c r="U180">
        <v>45</v>
      </c>
      <c r="V180">
        <v>10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</v>
      </c>
      <c r="AG180">
        <v>0</v>
      </c>
      <c r="AH180">
        <v>0</v>
      </c>
      <c r="AI180">
        <f t="shared" si="2"/>
        <v>100</v>
      </c>
      <c r="AJ180" t="s">
        <v>16</v>
      </c>
      <c r="AK180">
        <f>0.1*U180</f>
        <v>4.5</v>
      </c>
    </row>
    <row r="181" spans="1:37" x14ac:dyDescent="0.35">
      <c r="A181" t="s">
        <v>28</v>
      </c>
      <c r="B181">
        <v>115</v>
      </c>
      <c r="C181" t="s">
        <v>216</v>
      </c>
      <c r="D181" s="2">
        <v>38175</v>
      </c>
      <c r="E181" t="s">
        <v>49</v>
      </c>
      <c r="F181" s="3">
        <v>0.41388888888888892</v>
      </c>
      <c r="G181" s="3">
        <v>0.42638888888888887</v>
      </c>
      <c r="H181">
        <v>16.600000000000001</v>
      </c>
      <c r="I181">
        <v>52</v>
      </c>
      <c r="J181">
        <v>3</v>
      </c>
      <c r="K181">
        <v>3</v>
      </c>
      <c r="L181">
        <v>58</v>
      </c>
      <c r="M181">
        <v>0</v>
      </c>
      <c r="N181">
        <v>12</v>
      </c>
      <c r="O181">
        <v>0</v>
      </c>
      <c r="P181">
        <v>0</v>
      </c>
      <c r="Q181">
        <v>0</v>
      </c>
      <c r="R181">
        <v>0</v>
      </c>
      <c r="S181">
        <v>15</v>
      </c>
      <c r="T181">
        <v>0</v>
      </c>
      <c r="U181">
        <v>0</v>
      </c>
      <c r="V181">
        <v>10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4</v>
      </c>
      <c r="AE181">
        <v>0</v>
      </c>
      <c r="AF181">
        <v>0</v>
      </c>
      <c r="AG181">
        <v>0</v>
      </c>
      <c r="AH181">
        <v>0</v>
      </c>
      <c r="AI181">
        <f t="shared" si="2"/>
        <v>100</v>
      </c>
      <c r="AJ181" t="s">
        <v>21</v>
      </c>
      <c r="AK181">
        <f>0.45*AD181</f>
        <v>1.8</v>
      </c>
    </row>
    <row r="182" spans="1:37" x14ac:dyDescent="0.35">
      <c r="A182" t="s">
        <v>28</v>
      </c>
      <c r="B182">
        <v>119</v>
      </c>
      <c r="C182" t="s">
        <v>219</v>
      </c>
      <c r="D182" s="2">
        <v>38175</v>
      </c>
      <c r="E182">
        <v>0</v>
      </c>
      <c r="F182" s="3">
        <v>0.4916666666666667</v>
      </c>
      <c r="G182" s="3">
        <v>0.50208333333333333</v>
      </c>
      <c r="H182">
        <v>18.5</v>
      </c>
      <c r="I182">
        <v>36</v>
      </c>
      <c r="J182">
        <v>2</v>
      </c>
      <c r="K182">
        <v>2</v>
      </c>
      <c r="L182">
        <v>30</v>
      </c>
      <c r="M182">
        <v>5</v>
      </c>
      <c r="N182">
        <v>0</v>
      </c>
      <c r="O182">
        <v>0</v>
      </c>
      <c r="P182">
        <v>0</v>
      </c>
      <c r="Q182">
        <v>0</v>
      </c>
      <c r="R182">
        <v>30</v>
      </c>
      <c r="S182">
        <v>5</v>
      </c>
      <c r="T182">
        <v>0</v>
      </c>
      <c r="U182">
        <v>0</v>
      </c>
      <c r="V182">
        <v>23</v>
      </c>
      <c r="W182">
        <v>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</v>
      </c>
      <c r="AE182">
        <v>0</v>
      </c>
      <c r="AF182">
        <v>0</v>
      </c>
      <c r="AG182">
        <v>0</v>
      </c>
      <c r="AH182">
        <v>0</v>
      </c>
      <c r="AI182">
        <f t="shared" si="2"/>
        <v>100</v>
      </c>
      <c r="AJ182" t="s">
        <v>21</v>
      </c>
      <c r="AK182">
        <f>0.8*AD182</f>
        <v>4</v>
      </c>
    </row>
    <row r="183" spans="1:37" x14ac:dyDescent="0.35">
      <c r="A183" t="s">
        <v>28</v>
      </c>
      <c r="B183">
        <v>122</v>
      </c>
      <c r="C183" t="s">
        <v>220</v>
      </c>
      <c r="D183" s="2">
        <v>38183</v>
      </c>
      <c r="E183" t="s">
        <v>33</v>
      </c>
      <c r="F183" s="3">
        <v>0.62569444444444444</v>
      </c>
      <c r="G183" s="3">
        <v>0.63611111111111118</v>
      </c>
      <c r="H183">
        <v>15.7</v>
      </c>
      <c r="I183">
        <v>65</v>
      </c>
      <c r="J183">
        <v>5</v>
      </c>
      <c r="K183">
        <v>3</v>
      </c>
      <c r="L183">
        <v>10</v>
      </c>
      <c r="M183">
        <v>15</v>
      </c>
      <c r="N183">
        <v>5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70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2"/>
        <v>100</v>
      </c>
      <c r="AJ183" t="s">
        <v>15</v>
      </c>
      <c r="AK183">
        <f>0.2*T183</f>
        <v>14</v>
      </c>
    </row>
    <row r="184" spans="1:37" x14ac:dyDescent="0.35">
      <c r="A184" t="s">
        <v>28</v>
      </c>
      <c r="B184">
        <v>123</v>
      </c>
      <c r="C184" t="s">
        <v>221</v>
      </c>
      <c r="D184" s="2">
        <v>38183</v>
      </c>
      <c r="E184" t="s">
        <v>33</v>
      </c>
      <c r="F184" s="3">
        <v>0.63749999999999996</v>
      </c>
      <c r="G184" s="3">
        <v>0.6479166666666667</v>
      </c>
      <c r="H184">
        <v>16.399999999999999</v>
      </c>
      <c r="I184">
        <v>62</v>
      </c>
      <c r="J184">
        <v>4</v>
      </c>
      <c r="K184">
        <v>3</v>
      </c>
      <c r="L184">
        <v>65</v>
      </c>
      <c r="M184">
        <v>3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7</v>
      </c>
      <c r="T184">
        <v>25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2"/>
        <v>100</v>
      </c>
      <c r="AJ184" t="s">
        <v>15</v>
      </c>
      <c r="AK184">
        <f>0.2*T184</f>
        <v>5</v>
      </c>
    </row>
    <row r="185" spans="1:37" x14ac:dyDescent="0.35">
      <c r="A185" t="s">
        <v>28</v>
      </c>
      <c r="B185">
        <v>120</v>
      </c>
      <c r="C185" t="s">
        <v>222</v>
      </c>
      <c r="D185" s="2">
        <v>38183</v>
      </c>
      <c r="E185" t="s">
        <v>54</v>
      </c>
      <c r="F185" s="3">
        <v>0.57638888888888895</v>
      </c>
      <c r="G185" s="3">
        <v>0.58680555555555558</v>
      </c>
      <c r="H185">
        <v>16.100000000000001</v>
      </c>
      <c r="I185">
        <v>63</v>
      </c>
      <c r="J185">
        <v>5</v>
      </c>
      <c r="K185">
        <v>3</v>
      </c>
      <c r="L185">
        <v>0</v>
      </c>
      <c r="M185">
        <v>3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40</v>
      </c>
      <c r="T185">
        <v>0</v>
      </c>
      <c r="U185">
        <v>0</v>
      </c>
      <c r="V185">
        <v>45</v>
      </c>
      <c r="W185">
        <v>0</v>
      </c>
      <c r="X185">
        <v>0</v>
      </c>
      <c r="Y185">
        <v>10</v>
      </c>
      <c r="Z185">
        <v>0</v>
      </c>
      <c r="AA185">
        <v>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f t="shared" si="2"/>
        <v>100</v>
      </c>
      <c r="AJ185" t="s">
        <v>19</v>
      </c>
      <c r="AK185">
        <f>0.01*AA185</f>
        <v>0.02</v>
      </c>
    </row>
    <row r="186" spans="1:37" x14ac:dyDescent="0.35">
      <c r="A186" t="s">
        <v>28</v>
      </c>
      <c r="B186">
        <v>120</v>
      </c>
      <c r="C186" t="s">
        <v>222</v>
      </c>
      <c r="D186" s="2">
        <v>38183</v>
      </c>
      <c r="E186" t="s">
        <v>54</v>
      </c>
      <c r="F186" s="3">
        <v>0.57638888888888895</v>
      </c>
      <c r="G186" s="3">
        <v>0.58680555555555558</v>
      </c>
      <c r="H186">
        <v>16.100000000000001</v>
      </c>
      <c r="I186">
        <v>63</v>
      </c>
      <c r="J186">
        <v>5</v>
      </c>
      <c r="K186">
        <v>3</v>
      </c>
      <c r="L186">
        <v>0</v>
      </c>
      <c r="M186">
        <v>3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40</v>
      </c>
      <c r="T186">
        <v>0</v>
      </c>
      <c r="U186">
        <v>0</v>
      </c>
      <c r="V186">
        <v>45</v>
      </c>
      <c r="W186">
        <v>0</v>
      </c>
      <c r="X186">
        <v>0</v>
      </c>
      <c r="Y186">
        <v>10</v>
      </c>
      <c r="Z186">
        <v>0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2"/>
        <v>100</v>
      </c>
      <c r="AJ186" t="s">
        <v>17</v>
      </c>
      <c r="AK186">
        <f>0.26*Y186</f>
        <v>2.6</v>
      </c>
    </row>
    <row r="187" spans="1:37" x14ac:dyDescent="0.35">
      <c r="A187" t="s">
        <v>28</v>
      </c>
      <c r="B187">
        <v>121</v>
      </c>
      <c r="C187" t="s">
        <v>223</v>
      </c>
      <c r="D187" s="2">
        <v>38183</v>
      </c>
      <c r="E187" t="s">
        <v>31</v>
      </c>
      <c r="F187" s="3">
        <v>0.60486111111111118</v>
      </c>
      <c r="G187" s="3">
        <v>0.61527777777777781</v>
      </c>
      <c r="H187">
        <v>17.600000000000001</v>
      </c>
      <c r="I187">
        <v>71</v>
      </c>
      <c r="J187">
        <v>5</v>
      </c>
      <c r="K187">
        <v>3</v>
      </c>
      <c r="L187">
        <v>5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75</v>
      </c>
      <c r="T187">
        <v>0</v>
      </c>
      <c r="U187">
        <v>0</v>
      </c>
      <c r="V187">
        <v>0</v>
      </c>
      <c r="W187">
        <v>7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4</v>
      </c>
      <c r="AE187">
        <v>0</v>
      </c>
      <c r="AF187">
        <v>2</v>
      </c>
      <c r="AG187">
        <v>0</v>
      </c>
      <c r="AH187">
        <v>0</v>
      </c>
      <c r="AI187">
        <f t="shared" si="2"/>
        <v>100</v>
      </c>
      <c r="AJ187" t="s">
        <v>21</v>
      </c>
      <c r="AK187">
        <f>0.85*AD187</f>
        <v>3.4</v>
      </c>
    </row>
    <row r="188" spans="1:37" x14ac:dyDescent="0.35">
      <c r="A188" t="s">
        <v>28</v>
      </c>
      <c r="B188">
        <v>125</v>
      </c>
      <c r="C188" t="s">
        <v>224</v>
      </c>
      <c r="D188" s="2">
        <v>38184</v>
      </c>
      <c r="E188" t="s">
        <v>34</v>
      </c>
      <c r="F188" s="3">
        <v>0.3527777777777778</v>
      </c>
      <c r="G188" s="3">
        <v>0.36319444444444443</v>
      </c>
      <c r="H188">
        <v>15.1</v>
      </c>
      <c r="I188">
        <v>63</v>
      </c>
      <c r="J188">
        <v>2</v>
      </c>
      <c r="K188">
        <v>2</v>
      </c>
      <c r="L188">
        <v>20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70</v>
      </c>
      <c r="T188">
        <v>0</v>
      </c>
      <c r="U188">
        <v>0</v>
      </c>
      <c r="V188">
        <v>0</v>
      </c>
      <c r="W188">
        <v>10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2"/>
        <v>100</v>
      </c>
      <c r="AJ188" t="s">
        <v>14</v>
      </c>
      <c r="AK188">
        <f>0.005*S188</f>
        <v>0.35000000000000003</v>
      </c>
    </row>
    <row r="189" spans="1:37" x14ac:dyDescent="0.35">
      <c r="A189" t="s">
        <v>28</v>
      </c>
      <c r="B189">
        <v>124</v>
      </c>
      <c r="C189" t="s">
        <v>225</v>
      </c>
      <c r="D189" s="2">
        <v>38184</v>
      </c>
      <c r="E189" t="s">
        <v>36</v>
      </c>
      <c r="F189" s="3">
        <v>0.33888888888888885</v>
      </c>
      <c r="G189" s="3">
        <v>0.34930555555555554</v>
      </c>
      <c r="H189">
        <v>16.2</v>
      </c>
      <c r="I189">
        <v>62</v>
      </c>
      <c r="J189">
        <v>0</v>
      </c>
      <c r="K189">
        <v>1</v>
      </c>
      <c r="L189">
        <v>5</v>
      </c>
      <c r="M189">
        <v>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89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2"/>
        <v>100</v>
      </c>
      <c r="AJ189" t="s">
        <v>15</v>
      </c>
      <c r="AK189">
        <f>0.2*T189</f>
        <v>17.8</v>
      </c>
    </row>
    <row r="190" spans="1:37" x14ac:dyDescent="0.35">
      <c r="A190" t="s">
        <v>28</v>
      </c>
      <c r="B190">
        <v>129</v>
      </c>
      <c r="C190" t="s">
        <v>226</v>
      </c>
      <c r="D190" s="2">
        <v>38184</v>
      </c>
      <c r="E190">
        <v>0</v>
      </c>
      <c r="F190" s="3">
        <v>0.4284722222222222</v>
      </c>
      <c r="G190" s="3">
        <v>0.43888888888888888</v>
      </c>
      <c r="H190">
        <v>17.3</v>
      </c>
      <c r="I190">
        <v>57</v>
      </c>
      <c r="J190">
        <v>3</v>
      </c>
      <c r="K190">
        <v>2</v>
      </c>
      <c r="L190">
        <v>25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4</v>
      </c>
      <c r="S190">
        <v>5</v>
      </c>
      <c r="T190">
        <v>65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2"/>
        <v>100</v>
      </c>
      <c r="AJ190" t="s">
        <v>15</v>
      </c>
      <c r="AK190">
        <f>0.2*T190</f>
        <v>13</v>
      </c>
    </row>
    <row r="191" spans="1:37" x14ac:dyDescent="0.35">
      <c r="A191" t="s">
        <v>28</v>
      </c>
      <c r="B191">
        <v>127</v>
      </c>
      <c r="C191" t="s">
        <v>227</v>
      </c>
      <c r="D191" s="2">
        <v>38184</v>
      </c>
      <c r="E191" t="s">
        <v>33</v>
      </c>
      <c r="F191" s="3">
        <v>0.39374999999999999</v>
      </c>
      <c r="G191" s="3">
        <v>0.40416666666666662</v>
      </c>
      <c r="H191">
        <v>16.3</v>
      </c>
      <c r="I191">
        <v>53</v>
      </c>
      <c r="J191">
        <v>2</v>
      </c>
      <c r="K191">
        <v>2</v>
      </c>
      <c r="L191">
        <v>46</v>
      </c>
      <c r="M191">
        <v>5</v>
      </c>
      <c r="N191">
        <v>5</v>
      </c>
      <c r="O191">
        <v>0</v>
      </c>
      <c r="P191">
        <v>0</v>
      </c>
      <c r="Q191">
        <v>0</v>
      </c>
      <c r="R191">
        <v>2</v>
      </c>
      <c r="S191">
        <v>10</v>
      </c>
      <c r="T191">
        <v>0</v>
      </c>
      <c r="U191">
        <v>0</v>
      </c>
      <c r="V191">
        <v>5</v>
      </c>
      <c r="W191">
        <v>0</v>
      </c>
      <c r="X191">
        <v>0</v>
      </c>
      <c r="Y191">
        <v>0</v>
      </c>
      <c r="Z191">
        <v>0</v>
      </c>
      <c r="AA191">
        <v>25</v>
      </c>
      <c r="AB191">
        <v>0</v>
      </c>
      <c r="AC191">
        <v>2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f t="shared" si="2"/>
        <v>100</v>
      </c>
      <c r="AJ191" t="s">
        <v>19</v>
      </c>
      <c r="AK191">
        <f>0.25*AA191</f>
        <v>6.25</v>
      </c>
    </row>
    <row r="192" spans="1:37" x14ac:dyDescent="0.35">
      <c r="A192" t="s">
        <v>28</v>
      </c>
      <c r="B192">
        <v>126</v>
      </c>
      <c r="C192" t="s">
        <v>228</v>
      </c>
      <c r="D192" s="2">
        <v>38184</v>
      </c>
      <c r="E192" t="s">
        <v>33</v>
      </c>
      <c r="F192" s="3">
        <v>0.36944444444444446</v>
      </c>
      <c r="G192" s="3">
        <v>0.37986111111111115</v>
      </c>
      <c r="H192">
        <v>16.3</v>
      </c>
      <c r="I192">
        <v>64</v>
      </c>
      <c r="J192">
        <v>2</v>
      </c>
      <c r="K192">
        <v>2</v>
      </c>
      <c r="L192">
        <v>41</v>
      </c>
      <c r="M192">
        <v>7</v>
      </c>
      <c r="N192">
        <v>20</v>
      </c>
      <c r="O192">
        <v>0</v>
      </c>
      <c r="P192">
        <v>10</v>
      </c>
      <c r="Q192">
        <v>0</v>
      </c>
      <c r="R192">
        <v>10</v>
      </c>
      <c r="S192">
        <v>0</v>
      </c>
      <c r="T192">
        <v>0</v>
      </c>
      <c r="U192">
        <v>0</v>
      </c>
      <c r="V192">
        <v>7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5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f t="shared" si="2"/>
        <v>100</v>
      </c>
      <c r="AJ192" t="s">
        <v>13</v>
      </c>
      <c r="AK192">
        <f>0.47*P192</f>
        <v>4.6999999999999993</v>
      </c>
    </row>
    <row r="193" spans="1:37" x14ac:dyDescent="0.35">
      <c r="A193" t="s">
        <v>28</v>
      </c>
      <c r="B193">
        <v>131</v>
      </c>
      <c r="C193" t="s">
        <v>229</v>
      </c>
      <c r="D193" s="2">
        <v>38184</v>
      </c>
      <c r="E193">
        <v>0</v>
      </c>
      <c r="F193" s="3">
        <v>0.47291666666666665</v>
      </c>
      <c r="G193" s="3">
        <v>0.48333333333333334</v>
      </c>
      <c r="H193">
        <v>18.2</v>
      </c>
      <c r="I193">
        <v>56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15</v>
      </c>
      <c r="S193">
        <v>1</v>
      </c>
      <c r="T193">
        <v>0</v>
      </c>
      <c r="U193">
        <v>59</v>
      </c>
      <c r="V193">
        <v>20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</v>
      </c>
      <c r="AG193">
        <v>0</v>
      </c>
      <c r="AH193">
        <v>0</v>
      </c>
      <c r="AI193">
        <f t="shared" si="2"/>
        <v>100</v>
      </c>
      <c r="AJ193" t="s">
        <v>16</v>
      </c>
      <c r="AK193">
        <f>0.1*U193</f>
        <v>5.9</v>
      </c>
    </row>
    <row r="194" spans="1:37" x14ac:dyDescent="0.35">
      <c r="A194" t="s">
        <v>28</v>
      </c>
      <c r="B194">
        <v>128</v>
      </c>
      <c r="C194" t="s">
        <v>230</v>
      </c>
      <c r="D194" s="2">
        <v>38184</v>
      </c>
      <c r="E194">
        <v>0</v>
      </c>
      <c r="F194" s="3">
        <v>0.41319444444444442</v>
      </c>
      <c r="G194" s="3">
        <v>0.4236111111111111</v>
      </c>
      <c r="H194">
        <v>15.4</v>
      </c>
      <c r="I194">
        <v>53</v>
      </c>
      <c r="J194">
        <v>2</v>
      </c>
      <c r="K194">
        <v>2</v>
      </c>
      <c r="L194">
        <v>30</v>
      </c>
      <c r="M194">
        <v>5</v>
      </c>
      <c r="N194">
        <v>0</v>
      </c>
      <c r="O194">
        <v>0</v>
      </c>
      <c r="P194">
        <v>0</v>
      </c>
      <c r="Q194">
        <v>0</v>
      </c>
      <c r="R194">
        <v>30</v>
      </c>
      <c r="S194">
        <v>5</v>
      </c>
      <c r="T194">
        <v>0</v>
      </c>
      <c r="U194">
        <v>0</v>
      </c>
      <c r="V194">
        <v>23</v>
      </c>
      <c r="W194">
        <v>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5</v>
      </c>
      <c r="AE194">
        <v>0</v>
      </c>
      <c r="AF194">
        <v>0</v>
      </c>
      <c r="AG194">
        <v>0</v>
      </c>
      <c r="AH194">
        <v>0</v>
      </c>
      <c r="AI194">
        <f t="shared" ref="AI194:AI257" si="3">SUM(L194:AH194)</f>
        <v>100</v>
      </c>
      <c r="AJ194" t="s">
        <v>21</v>
      </c>
      <c r="AK194">
        <f>0.65*AD194</f>
        <v>3.25</v>
      </c>
    </row>
    <row r="195" spans="1:37" x14ac:dyDescent="0.35">
      <c r="A195" t="s">
        <v>28</v>
      </c>
      <c r="B195">
        <v>130</v>
      </c>
      <c r="C195" t="s">
        <v>231</v>
      </c>
      <c r="D195" s="2">
        <v>38184</v>
      </c>
      <c r="E195">
        <v>0</v>
      </c>
      <c r="F195" s="3">
        <v>0.44374999999999998</v>
      </c>
      <c r="G195" s="3">
        <v>0.45416666666666666</v>
      </c>
      <c r="H195">
        <v>18.8</v>
      </c>
      <c r="I195">
        <v>44</v>
      </c>
      <c r="J195">
        <v>2</v>
      </c>
      <c r="K195">
        <v>2</v>
      </c>
      <c r="L195">
        <v>40</v>
      </c>
      <c r="M195">
        <v>10</v>
      </c>
      <c r="N195">
        <v>10</v>
      </c>
      <c r="O195">
        <v>0</v>
      </c>
      <c r="P195">
        <v>0</v>
      </c>
      <c r="Q195">
        <v>0</v>
      </c>
      <c r="R195">
        <v>25</v>
      </c>
      <c r="S195">
        <v>4</v>
      </c>
      <c r="T195">
        <v>0</v>
      </c>
      <c r="U195">
        <v>0</v>
      </c>
      <c r="V195">
        <v>0</v>
      </c>
      <c r="W195">
        <v>5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5</v>
      </c>
      <c r="AG195">
        <v>0</v>
      </c>
      <c r="AH195">
        <v>0</v>
      </c>
      <c r="AI195">
        <f t="shared" si="3"/>
        <v>100</v>
      </c>
      <c r="AJ195" t="s">
        <v>21</v>
      </c>
      <c r="AK195">
        <f>0.5*AD195</f>
        <v>0.5</v>
      </c>
    </row>
    <row r="196" spans="1:37" x14ac:dyDescent="0.35">
      <c r="A196" t="s">
        <v>28</v>
      </c>
      <c r="B196">
        <v>132</v>
      </c>
      <c r="C196" t="s">
        <v>232</v>
      </c>
      <c r="D196" s="2">
        <v>38187</v>
      </c>
      <c r="E196" t="s">
        <v>33</v>
      </c>
      <c r="F196" s="3">
        <v>0.51041666666666663</v>
      </c>
      <c r="G196" s="3">
        <v>0.52083333333333337</v>
      </c>
      <c r="H196">
        <v>19.399999999999999</v>
      </c>
      <c r="I196">
        <v>59</v>
      </c>
      <c r="J196">
        <v>2</v>
      </c>
      <c r="K196">
        <v>2</v>
      </c>
      <c r="L196">
        <v>10</v>
      </c>
      <c r="M196">
        <v>15</v>
      </c>
      <c r="N196">
        <v>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70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100</v>
      </c>
      <c r="AJ196" t="s">
        <v>15</v>
      </c>
      <c r="AK196">
        <f>0.1*T196</f>
        <v>7</v>
      </c>
    </row>
    <row r="197" spans="1:37" x14ac:dyDescent="0.35">
      <c r="A197" t="s">
        <v>28</v>
      </c>
      <c r="B197">
        <v>135</v>
      </c>
      <c r="C197" t="s">
        <v>233</v>
      </c>
      <c r="D197" s="2">
        <v>38187</v>
      </c>
      <c r="E197" t="s">
        <v>33</v>
      </c>
      <c r="F197" s="3">
        <v>0.59097222222222223</v>
      </c>
      <c r="G197" s="3">
        <v>0.60138888888888886</v>
      </c>
      <c r="H197">
        <v>18.600000000000001</v>
      </c>
      <c r="I197">
        <v>57</v>
      </c>
      <c r="J197">
        <v>4</v>
      </c>
      <c r="K197">
        <v>2</v>
      </c>
      <c r="L197">
        <v>46</v>
      </c>
      <c r="M197">
        <v>5</v>
      </c>
      <c r="N197">
        <v>5</v>
      </c>
      <c r="O197">
        <v>0</v>
      </c>
      <c r="P197">
        <v>0</v>
      </c>
      <c r="Q197">
        <v>0</v>
      </c>
      <c r="R197">
        <v>2</v>
      </c>
      <c r="S197">
        <v>10</v>
      </c>
      <c r="T197">
        <v>0</v>
      </c>
      <c r="U197">
        <v>0</v>
      </c>
      <c r="V197">
        <v>5</v>
      </c>
      <c r="W197">
        <v>0</v>
      </c>
      <c r="X197">
        <v>0</v>
      </c>
      <c r="Y197">
        <v>0</v>
      </c>
      <c r="Z197">
        <v>0</v>
      </c>
      <c r="AA197">
        <v>25</v>
      </c>
      <c r="AB197">
        <v>0</v>
      </c>
      <c r="AC197">
        <v>2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f t="shared" si="3"/>
        <v>100</v>
      </c>
      <c r="AJ197" t="s">
        <v>19</v>
      </c>
      <c r="AK197">
        <f>0.1*AA197</f>
        <v>2.5</v>
      </c>
    </row>
    <row r="198" spans="1:37" x14ac:dyDescent="0.35">
      <c r="A198" t="s">
        <v>28</v>
      </c>
      <c r="B198">
        <v>133</v>
      </c>
      <c r="C198" t="s">
        <v>234</v>
      </c>
      <c r="D198" s="2">
        <v>38187</v>
      </c>
      <c r="E198" t="s">
        <v>33</v>
      </c>
      <c r="F198" s="3">
        <v>0.48819444444444443</v>
      </c>
      <c r="G198" s="3">
        <v>0.49861111111111112</v>
      </c>
      <c r="H198">
        <v>19.2</v>
      </c>
      <c r="I198">
        <v>50</v>
      </c>
      <c r="J198">
        <v>2</v>
      </c>
      <c r="K198">
        <v>2</v>
      </c>
      <c r="L198">
        <v>80</v>
      </c>
      <c r="M198">
        <v>3</v>
      </c>
      <c r="N198">
        <v>0</v>
      </c>
      <c r="O198">
        <v>0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10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5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100</v>
      </c>
      <c r="AJ198" t="s">
        <v>16</v>
      </c>
      <c r="AK198">
        <f>0.12*U198</f>
        <v>1.2</v>
      </c>
    </row>
    <row r="199" spans="1:37" x14ac:dyDescent="0.35">
      <c r="A199" t="s">
        <v>28</v>
      </c>
      <c r="B199">
        <v>134</v>
      </c>
      <c r="C199" t="s">
        <v>235</v>
      </c>
      <c r="D199" s="2">
        <v>38187</v>
      </c>
      <c r="E199" t="s">
        <v>47</v>
      </c>
      <c r="F199" s="3">
        <v>0.57430555555555551</v>
      </c>
      <c r="G199" s="3">
        <v>0.58472222222222225</v>
      </c>
      <c r="H199">
        <v>20.2</v>
      </c>
      <c r="I199">
        <v>65</v>
      </c>
      <c r="J199">
        <v>4</v>
      </c>
      <c r="K199">
        <v>3</v>
      </c>
      <c r="L199">
        <v>33</v>
      </c>
      <c r="M199">
        <v>5</v>
      </c>
      <c r="N199">
        <v>10</v>
      </c>
      <c r="O199">
        <v>0</v>
      </c>
      <c r="P199">
        <v>0</v>
      </c>
      <c r="Q199">
        <v>0</v>
      </c>
      <c r="R199">
        <v>10</v>
      </c>
      <c r="S199">
        <v>40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2</v>
      </c>
      <c r="AE199">
        <v>0</v>
      </c>
      <c r="AF199">
        <v>0</v>
      </c>
      <c r="AG199">
        <v>0</v>
      </c>
      <c r="AH199">
        <v>0</v>
      </c>
      <c r="AI199">
        <f t="shared" si="3"/>
        <v>100</v>
      </c>
      <c r="AJ199" t="s">
        <v>21</v>
      </c>
      <c r="AK199">
        <f>0.75*AD199</f>
        <v>1.5</v>
      </c>
    </row>
    <row r="200" spans="1:37" x14ac:dyDescent="0.35">
      <c r="A200" t="s">
        <v>28</v>
      </c>
      <c r="B200">
        <v>137</v>
      </c>
      <c r="C200" t="s">
        <v>236</v>
      </c>
      <c r="D200" s="2">
        <v>38188</v>
      </c>
      <c r="E200" t="s">
        <v>34</v>
      </c>
      <c r="F200" s="3">
        <v>0.57361111111111118</v>
      </c>
      <c r="G200" s="3">
        <v>0.58402777777777781</v>
      </c>
      <c r="H200">
        <v>22.8</v>
      </c>
      <c r="I200">
        <v>46</v>
      </c>
      <c r="J200">
        <v>3</v>
      </c>
      <c r="K200">
        <v>1</v>
      </c>
      <c r="L200">
        <v>57</v>
      </c>
      <c r="M200">
        <v>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35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f t="shared" si="3"/>
        <v>100</v>
      </c>
      <c r="AJ200" t="s">
        <v>14</v>
      </c>
      <c r="AK200">
        <f>0.1*S200</f>
        <v>3.5</v>
      </c>
    </row>
    <row r="201" spans="1:37" x14ac:dyDescent="0.35">
      <c r="A201" t="s">
        <v>28</v>
      </c>
      <c r="B201">
        <v>140</v>
      </c>
      <c r="C201" t="s">
        <v>237</v>
      </c>
      <c r="D201" s="2">
        <v>38188</v>
      </c>
      <c r="E201" t="s">
        <v>33</v>
      </c>
      <c r="F201" s="3">
        <v>0.65277777777777779</v>
      </c>
      <c r="G201" s="3">
        <v>0.66319444444444442</v>
      </c>
      <c r="H201">
        <v>21.9</v>
      </c>
      <c r="I201">
        <v>52</v>
      </c>
      <c r="J201">
        <v>3</v>
      </c>
      <c r="K201">
        <v>3</v>
      </c>
      <c r="L201">
        <v>0</v>
      </c>
      <c r="M201">
        <v>20</v>
      </c>
      <c r="N201">
        <v>0</v>
      </c>
      <c r="O201">
        <v>0</v>
      </c>
      <c r="P201">
        <v>0</v>
      </c>
      <c r="Q201">
        <v>0</v>
      </c>
      <c r="R201">
        <v>7</v>
      </c>
      <c r="S201">
        <v>70</v>
      </c>
      <c r="T201">
        <v>0</v>
      </c>
      <c r="U201">
        <v>0</v>
      </c>
      <c r="V201">
        <v>3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f t="shared" si="3"/>
        <v>100</v>
      </c>
      <c r="AJ201" t="s">
        <v>14</v>
      </c>
      <c r="AK201">
        <f>0.25*S201</f>
        <v>17.5</v>
      </c>
    </row>
    <row r="202" spans="1:37" x14ac:dyDescent="0.35">
      <c r="A202" t="s">
        <v>28</v>
      </c>
      <c r="B202">
        <v>136</v>
      </c>
      <c r="C202" t="s">
        <v>238</v>
      </c>
      <c r="D202" s="2">
        <v>38188</v>
      </c>
      <c r="E202" t="s">
        <v>33</v>
      </c>
      <c r="F202" s="3">
        <v>0.55902777777777779</v>
      </c>
      <c r="G202" s="3">
        <v>0.56944444444444442</v>
      </c>
      <c r="H202">
        <v>21.8</v>
      </c>
      <c r="I202">
        <v>48</v>
      </c>
      <c r="J202">
        <v>3</v>
      </c>
      <c r="K202">
        <v>2</v>
      </c>
      <c r="L202">
        <v>10</v>
      </c>
      <c r="M202">
        <v>15</v>
      </c>
      <c r="N202">
        <v>5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70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100</v>
      </c>
      <c r="AJ202" t="s">
        <v>15</v>
      </c>
      <c r="AK202">
        <f>0.15*T202</f>
        <v>10.5</v>
      </c>
    </row>
    <row r="203" spans="1:37" x14ac:dyDescent="0.35">
      <c r="A203" t="s">
        <v>28</v>
      </c>
      <c r="B203">
        <v>141</v>
      </c>
      <c r="C203" t="s">
        <v>239</v>
      </c>
      <c r="D203" s="2">
        <v>38188</v>
      </c>
      <c r="E203" t="s">
        <v>45</v>
      </c>
      <c r="F203" s="3">
        <v>0.66666666666666663</v>
      </c>
      <c r="G203" s="3">
        <v>0.67708333333333337</v>
      </c>
      <c r="H203">
        <v>21.6</v>
      </c>
      <c r="I203">
        <v>56</v>
      </c>
      <c r="J203">
        <v>3</v>
      </c>
      <c r="K203">
        <v>3</v>
      </c>
      <c r="L203">
        <v>30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45</v>
      </c>
      <c r="S203">
        <v>0</v>
      </c>
      <c r="T203">
        <v>0</v>
      </c>
      <c r="U203">
        <v>20</v>
      </c>
      <c r="V203">
        <v>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 t="shared" si="3"/>
        <v>100</v>
      </c>
      <c r="AJ203" t="s">
        <v>16</v>
      </c>
      <c r="AK203">
        <f>0.13*U203</f>
        <v>2.6</v>
      </c>
    </row>
    <row r="204" spans="1:37" x14ac:dyDescent="0.35">
      <c r="A204" t="s">
        <v>28</v>
      </c>
      <c r="B204">
        <v>138</v>
      </c>
      <c r="C204" t="s">
        <v>240</v>
      </c>
      <c r="D204" s="2">
        <v>38188</v>
      </c>
      <c r="E204" t="s">
        <v>36</v>
      </c>
      <c r="F204" s="3">
        <v>0.58888888888888891</v>
      </c>
      <c r="G204" s="3">
        <v>0.59930555555555554</v>
      </c>
      <c r="H204">
        <v>21.7</v>
      </c>
      <c r="I204">
        <v>47</v>
      </c>
      <c r="J204">
        <v>5</v>
      </c>
      <c r="K204">
        <v>2</v>
      </c>
      <c r="L204">
        <v>12</v>
      </c>
      <c r="M204">
        <v>15</v>
      </c>
      <c r="N204">
        <v>55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</v>
      </c>
      <c r="W204">
        <v>5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2</v>
      </c>
      <c r="AE204">
        <v>0</v>
      </c>
      <c r="AF204">
        <v>0</v>
      </c>
      <c r="AG204">
        <v>0</v>
      </c>
      <c r="AH204">
        <v>0</v>
      </c>
      <c r="AI204">
        <f t="shared" si="3"/>
        <v>100</v>
      </c>
      <c r="AJ204" t="s">
        <v>21</v>
      </c>
      <c r="AK204">
        <f>0.61*AD204</f>
        <v>1.22</v>
      </c>
    </row>
    <row r="205" spans="1:37" x14ac:dyDescent="0.35">
      <c r="A205" t="s">
        <v>28</v>
      </c>
      <c r="B205">
        <v>139</v>
      </c>
      <c r="C205" t="s">
        <v>241</v>
      </c>
      <c r="D205" s="2">
        <v>38188</v>
      </c>
      <c r="E205" t="s">
        <v>31</v>
      </c>
      <c r="F205" s="3">
        <v>0.62152777777777779</v>
      </c>
      <c r="G205" s="3">
        <v>0.63194444444444442</v>
      </c>
      <c r="H205">
        <v>20.9</v>
      </c>
      <c r="I205">
        <v>51</v>
      </c>
      <c r="J205">
        <v>5</v>
      </c>
      <c r="K205">
        <v>2</v>
      </c>
      <c r="L205">
        <v>5</v>
      </c>
      <c r="M205">
        <v>7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75</v>
      </c>
      <c r="T205">
        <v>0</v>
      </c>
      <c r="U205">
        <v>0</v>
      </c>
      <c r="V205">
        <v>0</v>
      </c>
      <c r="W205">
        <v>7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4</v>
      </c>
      <c r="AE205">
        <v>0</v>
      </c>
      <c r="AF205">
        <v>2</v>
      </c>
      <c r="AG205">
        <v>0</v>
      </c>
      <c r="AH205">
        <v>0</v>
      </c>
      <c r="AI205">
        <f t="shared" si="3"/>
        <v>100</v>
      </c>
      <c r="AJ205" t="s">
        <v>21</v>
      </c>
      <c r="AK205">
        <f>0.5*AD205</f>
        <v>2</v>
      </c>
    </row>
    <row r="206" spans="1:37" x14ac:dyDescent="0.35">
      <c r="A206" t="s">
        <v>28</v>
      </c>
      <c r="B206">
        <v>142</v>
      </c>
      <c r="C206" t="s">
        <v>242</v>
      </c>
      <c r="D206" s="2">
        <v>38189</v>
      </c>
      <c r="E206">
        <v>0</v>
      </c>
      <c r="F206" s="3">
        <v>0.48958333333333331</v>
      </c>
      <c r="G206" s="3">
        <v>0.5</v>
      </c>
      <c r="H206">
        <v>16.399999999999999</v>
      </c>
      <c r="I206">
        <v>64</v>
      </c>
      <c r="J206">
        <v>5</v>
      </c>
      <c r="K206">
        <v>2</v>
      </c>
      <c r="L206">
        <v>25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4</v>
      </c>
      <c r="S206">
        <v>5</v>
      </c>
      <c r="T206">
        <v>65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100</v>
      </c>
      <c r="AJ206" t="s">
        <v>15</v>
      </c>
      <c r="AK206">
        <f>0.05*T206</f>
        <v>3.25</v>
      </c>
    </row>
    <row r="207" spans="1:37" x14ac:dyDescent="0.35">
      <c r="A207" t="s">
        <v>28</v>
      </c>
      <c r="B207">
        <v>147</v>
      </c>
      <c r="C207" t="s">
        <v>243</v>
      </c>
      <c r="D207" s="2">
        <v>38190</v>
      </c>
      <c r="E207" t="s">
        <v>34</v>
      </c>
      <c r="F207" s="3">
        <v>0.62291666666666667</v>
      </c>
      <c r="G207" s="3">
        <v>0.6333333333333333</v>
      </c>
      <c r="H207">
        <v>20.2</v>
      </c>
      <c r="I207">
        <v>64</v>
      </c>
      <c r="J207">
        <v>5</v>
      </c>
      <c r="K207">
        <v>1</v>
      </c>
      <c r="L207">
        <v>40</v>
      </c>
      <c r="M207">
        <v>10</v>
      </c>
      <c r="N207">
        <v>0</v>
      </c>
      <c r="O207">
        <v>0</v>
      </c>
      <c r="P207">
        <v>0</v>
      </c>
      <c r="Q207">
        <v>0</v>
      </c>
      <c r="R207">
        <v>10</v>
      </c>
      <c r="S207">
        <v>35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5</v>
      </c>
      <c r="AG207">
        <v>0</v>
      </c>
      <c r="AH207">
        <v>0</v>
      </c>
      <c r="AI207">
        <f t="shared" si="3"/>
        <v>100</v>
      </c>
      <c r="AJ207" t="s">
        <v>14</v>
      </c>
      <c r="AK207">
        <f>0.5*S207</f>
        <v>17.5</v>
      </c>
    </row>
    <row r="208" spans="1:37" x14ac:dyDescent="0.35">
      <c r="A208" t="s">
        <v>28</v>
      </c>
      <c r="B208">
        <v>143</v>
      </c>
      <c r="C208" t="s">
        <v>244</v>
      </c>
      <c r="D208" s="2">
        <v>38190</v>
      </c>
      <c r="E208" t="s">
        <v>36</v>
      </c>
      <c r="F208" s="3">
        <v>0.52083333333333337</v>
      </c>
      <c r="G208" s="3">
        <v>0.53125</v>
      </c>
      <c r="H208">
        <v>17.600000000000001</v>
      </c>
      <c r="I208">
        <v>65</v>
      </c>
      <c r="J208">
        <v>5</v>
      </c>
      <c r="K208">
        <v>0</v>
      </c>
      <c r="L208">
        <v>5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89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100</v>
      </c>
      <c r="AJ208" t="s">
        <v>15</v>
      </c>
      <c r="AK208">
        <f>0.05*T208</f>
        <v>4.45</v>
      </c>
    </row>
    <row r="209" spans="1:37" x14ac:dyDescent="0.35">
      <c r="A209" t="s">
        <v>28</v>
      </c>
      <c r="B209">
        <v>145</v>
      </c>
      <c r="C209" t="s">
        <v>245</v>
      </c>
      <c r="D209" s="2">
        <v>38190</v>
      </c>
      <c r="E209" t="s">
        <v>49</v>
      </c>
      <c r="F209" s="3">
        <v>0.58888888888888891</v>
      </c>
      <c r="G209" s="3">
        <v>0.59930555555555554</v>
      </c>
      <c r="H209">
        <v>18.899999999999999</v>
      </c>
      <c r="I209">
        <v>62</v>
      </c>
      <c r="J209">
        <v>5</v>
      </c>
      <c r="K209">
        <v>1</v>
      </c>
      <c r="L209">
        <v>12</v>
      </c>
      <c r="M209">
        <v>10</v>
      </c>
      <c r="N209">
        <v>0</v>
      </c>
      <c r="O209">
        <v>0</v>
      </c>
      <c r="P209">
        <v>0</v>
      </c>
      <c r="Q209">
        <v>0</v>
      </c>
      <c r="R209">
        <v>25</v>
      </c>
      <c r="S209">
        <v>32</v>
      </c>
      <c r="T209">
        <v>0</v>
      </c>
      <c r="U209">
        <v>0</v>
      </c>
      <c r="V209">
        <v>0</v>
      </c>
      <c r="W209">
        <v>5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</v>
      </c>
      <c r="AG209">
        <v>0</v>
      </c>
      <c r="AH209">
        <v>0</v>
      </c>
      <c r="AI209">
        <f t="shared" si="3"/>
        <v>100</v>
      </c>
      <c r="AJ209" t="s">
        <v>18</v>
      </c>
      <c r="AK209">
        <f>0.25*Y209</f>
        <v>0.25</v>
      </c>
    </row>
    <row r="210" spans="1:37" x14ac:dyDescent="0.35">
      <c r="A210" t="s">
        <v>28</v>
      </c>
      <c r="B210">
        <v>144</v>
      </c>
      <c r="C210" t="s">
        <v>246</v>
      </c>
      <c r="D210" s="2">
        <v>38190</v>
      </c>
      <c r="E210" t="s">
        <v>46</v>
      </c>
      <c r="F210" s="3">
        <v>0.56597222222222221</v>
      </c>
      <c r="G210" s="3">
        <v>0.57638888888888895</v>
      </c>
      <c r="H210">
        <v>19.3</v>
      </c>
      <c r="I210">
        <v>65</v>
      </c>
      <c r="J210">
        <v>5</v>
      </c>
      <c r="K210">
        <v>0</v>
      </c>
      <c r="L210">
        <v>0</v>
      </c>
      <c r="M210">
        <v>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49</v>
      </c>
      <c r="W210">
        <v>0</v>
      </c>
      <c r="X210">
        <v>0</v>
      </c>
      <c r="Y210">
        <v>10</v>
      </c>
      <c r="Z210">
        <v>0</v>
      </c>
      <c r="AA210">
        <v>20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100</v>
      </c>
      <c r="AJ210" t="s">
        <v>17</v>
      </c>
      <c r="AK210">
        <f>0.2*Y210</f>
        <v>2</v>
      </c>
    </row>
    <row r="211" spans="1:37" x14ac:dyDescent="0.35">
      <c r="A211" t="s">
        <v>28</v>
      </c>
      <c r="B211">
        <v>146</v>
      </c>
      <c r="C211" t="s">
        <v>247</v>
      </c>
      <c r="D211" s="2">
        <v>38190</v>
      </c>
      <c r="E211">
        <v>0</v>
      </c>
      <c r="F211" s="3">
        <v>0.60763888888888895</v>
      </c>
      <c r="G211" s="3">
        <v>0.61805555555555558</v>
      </c>
      <c r="H211">
        <v>20.8</v>
      </c>
      <c r="I211">
        <v>63</v>
      </c>
      <c r="J211">
        <v>4</v>
      </c>
      <c r="K211">
        <v>1</v>
      </c>
      <c r="L211">
        <v>30</v>
      </c>
      <c r="M211">
        <v>5</v>
      </c>
      <c r="N211">
        <v>0</v>
      </c>
      <c r="O211">
        <v>0</v>
      </c>
      <c r="P211">
        <v>0</v>
      </c>
      <c r="Q211">
        <v>0</v>
      </c>
      <c r="R211">
        <v>30</v>
      </c>
      <c r="S211">
        <v>5</v>
      </c>
      <c r="T211">
        <v>0</v>
      </c>
      <c r="U211">
        <v>0</v>
      </c>
      <c r="V211">
        <v>23</v>
      </c>
      <c r="W211">
        <v>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5</v>
      </c>
      <c r="AE211">
        <v>0</v>
      </c>
      <c r="AF211">
        <v>0</v>
      </c>
      <c r="AG211">
        <v>0</v>
      </c>
      <c r="AH211">
        <v>0</v>
      </c>
      <c r="AI211">
        <f t="shared" si="3"/>
        <v>100</v>
      </c>
      <c r="AJ211" t="s">
        <v>21</v>
      </c>
      <c r="AK211">
        <f>0.4*AD211</f>
        <v>2</v>
      </c>
    </row>
    <row r="212" spans="1:37" x14ac:dyDescent="0.35">
      <c r="A212" t="s">
        <v>28</v>
      </c>
      <c r="B212">
        <v>150</v>
      </c>
      <c r="C212" t="s">
        <v>248</v>
      </c>
      <c r="D212" s="2">
        <v>38197</v>
      </c>
      <c r="E212">
        <v>0</v>
      </c>
      <c r="F212" s="3">
        <v>0.49236111111111108</v>
      </c>
      <c r="G212" s="3">
        <v>0.50277777777777777</v>
      </c>
      <c r="H212">
        <v>19.7</v>
      </c>
      <c r="I212">
        <v>64</v>
      </c>
      <c r="J212">
        <v>4</v>
      </c>
      <c r="K212">
        <v>1</v>
      </c>
      <c r="L212">
        <v>20</v>
      </c>
      <c r="M212">
        <v>5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58</v>
      </c>
      <c r="T212">
        <v>0</v>
      </c>
      <c r="U212">
        <v>0</v>
      </c>
      <c r="V212">
        <v>0</v>
      </c>
      <c r="W212">
        <v>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15</v>
      </c>
      <c r="AG212">
        <v>0</v>
      </c>
      <c r="AH212">
        <v>0</v>
      </c>
      <c r="AI212">
        <f t="shared" si="3"/>
        <v>100</v>
      </c>
      <c r="AJ212" t="s">
        <v>14</v>
      </c>
      <c r="AK212">
        <f>0.15*S212</f>
        <v>8.6999999999999993</v>
      </c>
    </row>
    <row r="213" spans="1:37" x14ac:dyDescent="0.35">
      <c r="A213" t="s">
        <v>28</v>
      </c>
      <c r="B213">
        <v>153</v>
      </c>
      <c r="C213" t="s">
        <v>249</v>
      </c>
      <c r="D213" s="2">
        <v>38197</v>
      </c>
      <c r="E213" t="s">
        <v>33</v>
      </c>
      <c r="F213" s="3">
        <v>0.5395833333333333</v>
      </c>
      <c r="G213" s="3">
        <v>0.55000000000000004</v>
      </c>
      <c r="H213">
        <v>19.8</v>
      </c>
      <c r="I213">
        <v>64</v>
      </c>
      <c r="J213">
        <v>5</v>
      </c>
      <c r="K213">
        <v>1</v>
      </c>
      <c r="L213">
        <v>10</v>
      </c>
      <c r="M213">
        <v>15</v>
      </c>
      <c r="N213">
        <v>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70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100</v>
      </c>
      <c r="AJ213" t="s">
        <v>15</v>
      </c>
      <c r="AK213">
        <f>0.05*T213</f>
        <v>3.5</v>
      </c>
    </row>
    <row r="214" spans="1:37" x14ac:dyDescent="0.35">
      <c r="A214" t="s">
        <v>28</v>
      </c>
      <c r="B214">
        <v>149</v>
      </c>
      <c r="C214" t="s">
        <v>250</v>
      </c>
      <c r="D214" s="2">
        <v>38197</v>
      </c>
      <c r="E214" t="s">
        <v>47</v>
      </c>
      <c r="F214" s="3">
        <v>0.47569444444444442</v>
      </c>
      <c r="G214" s="3">
        <v>0.4861111111111111</v>
      </c>
      <c r="H214">
        <v>20.399999999999999</v>
      </c>
      <c r="I214">
        <v>62</v>
      </c>
      <c r="J214">
        <v>2</v>
      </c>
      <c r="K214">
        <v>2</v>
      </c>
      <c r="L214">
        <v>15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8</v>
      </c>
      <c r="S214">
        <v>60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12</v>
      </c>
      <c r="AG214">
        <v>0</v>
      </c>
      <c r="AH214">
        <v>0</v>
      </c>
      <c r="AI214">
        <f t="shared" si="3"/>
        <v>100</v>
      </c>
      <c r="AJ214" t="s">
        <v>18</v>
      </c>
      <c r="AK214">
        <f>2/9*Y214</f>
        <v>0.22222222222222221</v>
      </c>
    </row>
    <row r="215" spans="1:37" x14ac:dyDescent="0.35">
      <c r="A215" t="s">
        <v>28</v>
      </c>
      <c r="B215">
        <v>148</v>
      </c>
      <c r="C215" t="s">
        <v>251</v>
      </c>
      <c r="D215" s="2">
        <v>38197</v>
      </c>
      <c r="E215">
        <v>0</v>
      </c>
      <c r="F215" s="3">
        <v>0.44097222222222227</v>
      </c>
      <c r="G215" s="3">
        <v>0.4513888888888889</v>
      </c>
      <c r="H215">
        <v>19.7</v>
      </c>
      <c r="I215">
        <v>65</v>
      </c>
      <c r="J215">
        <v>2</v>
      </c>
      <c r="K215">
        <v>1</v>
      </c>
      <c r="L215">
        <v>0</v>
      </c>
      <c r="M215">
        <v>20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60</v>
      </c>
      <c r="W215">
        <v>10</v>
      </c>
      <c r="X215">
        <v>0</v>
      </c>
      <c r="Y215">
        <v>3</v>
      </c>
      <c r="Z215">
        <v>0</v>
      </c>
      <c r="AA215">
        <v>2</v>
      </c>
      <c r="AB215">
        <v>0</v>
      </c>
      <c r="AC215">
        <v>0</v>
      </c>
      <c r="AD215">
        <v>0</v>
      </c>
      <c r="AE215">
        <v>5</v>
      </c>
      <c r="AF215">
        <v>0</v>
      </c>
      <c r="AG215">
        <v>0</v>
      </c>
      <c r="AH215">
        <v>0</v>
      </c>
      <c r="AI215">
        <f t="shared" si="3"/>
        <v>100</v>
      </c>
      <c r="AJ215" t="s">
        <v>17</v>
      </c>
      <c r="AK215">
        <f>0.25*Y215</f>
        <v>0.75</v>
      </c>
    </row>
    <row r="216" spans="1:37" x14ac:dyDescent="0.35">
      <c r="A216" t="s">
        <v>28</v>
      </c>
      <c r="B216">
        <v>151</v>
      </c>
      <c r="C216" t="s">
        <v>252</v>
      </c>
      <c r="D216" s="2">
        <v>38197</v>
      </c>
      <c r="E216" t="s">
        <v>34</v>
      </c>
      <c r="F216" s="3">
        <v>0.5083333333333333</v>
      </c>
      <c r="G216" s="3">
        <v>0.51875000000000004</v>
      </c>
      <c r="H216">
        <v>20</v>
      </c>
      <c r="I216">
        <v>60</v>
      </c>
      <c r="J216">
        <v>5</v>
      </c>
      <c r="K216">
        <v>1</v>
      </c>
      <c r="L216">
        <v>10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15</v>
      </c>
      <c r="S216">
        <v>0</v>
      </c>
      <c r="T216">
        <v>0</v>
      </c>
      <c r="U216">
        <v>30</v>
      </c>
      <c r="V216">
        <v>45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f t="shared" si="3"/>
        <v>100</v>
      </c>
      <c r="AJ216" t="s">
        <v>16</v>
      </c>
      <c r="AK216">
        <f>0.1*U216</f>
        <v>3</v>
      </c>
    </row>
    <row r="217" spans="1:37" x14ac:dyDescent="0.35">
      <c r="A217" t="s">
        <v>28</v>
      </c>
      <c r="B217">
        <v>152</v>
      </c>
      <c r="C217" t="s">
        <v>253</v>
      </c>
      <c r="D217" s="2">
        <v>38197</v>
      </c>
      <c r="E217" t="s">
        <v>36</v>
      </c>
      <c r="F217" s="3">
        <v>0.5229166666666667</v>
      </c>
      <c r="G217" s="3">
        <v>0.53333333333333333</v>
      </c>
      <c r="H217">
        <v>19.8</v>
      </c>
      <c r="I217">
        <v>68</v>
      </c>
      <c r="J217">
        <v>5</v>
      </c>
      <c r="K217">
        <v>1</v>
      </c>
      <c r="L217">
        <v>12</v>
      </c>
      <c r="M217">
        <v>15</v>
      </c>
      <c r="N217">
        <v>55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</v>
      </c>
      <c r="W217">
        <v>5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0</v>
      </c>
      <c r="AD217">
        <v>2</v>
      </c>
      <c r="AE217">
        <v>0</v>
      </c>
      <c r="AF217">
        <v>0</v>
      </c>
      <c r="AG217">
        <v>0</v>
      </c>
      <c r="AH217">
        <v>0</v>
      </c>
      <c r="AI217">
        <f t="shared" si="3"/>
        <v>100</v>
      </c>
      <c r="AJ217" t="s">
        <v>21</v>
      </c>
      <c r="AK217">
        <f>0.93*AD217</f>
        <v>1.86</v>
      </c>
    </row>
    <row r="218" spans="1:37" x14ac:dyDescent="0.35">
      <c r="A218" t="s">
        <v>28</v>
      </c>
      <c r="B218">
        <v>155</v>
      </c>
      <c r="C218" t="s">
        <v>254</v>
      </c>
      <c r="D218" s="2">
        <v>38198</v>
      </c>
      <c r="E218" t="s">
        <v>33</v>
      </c>
      <c r="F218" s="3">
        <v>0.56388888888888888</v>
      </c>
      <c r="G218" s="3">
        <v>0.57430555555555551</v>
      </c>
      <c r="H218">
        <v>26.2</v>
      </c>
      <c r="I218">
        <v>46</v>
      </c>
      <c r="J218">
        <v>2</v>
      </c>
      <c r="K218">
        <v>2</v>
      </c>
      <c r="L218">
        <v>35</v>
      </c>
      <c r="M218">
        <v>10</v>
      </c>
      <c r="N218">
        <v>0</v>
      </c>
      <c r="O218">
        <v>0</v>
      </c>
      <c r="P218">
        <v>0</v>
      </c>
      <c r="Q218">
        <v>0</v>
      </c>
      <c r="R218">
        <v>1</v>
      </c>
      <c r="S218">
        <v>45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7</v>
      </c>
      <c r="AG218">
        <v>0</v>
      </c>
      <c r="AH218">
        <v>0</v>
      </c>
      <c r="AI218">
        <f t="shared" si="3"/>
        <v>100</v>
      </c>
      <c r="AJ218" t="s">
        <v>14</v>
      </c>
      <c r="AK218">
        <f>0.45*S218</f>
        <v>20.25</v>
      </c>
    </row>
    <row r="219" spans="1:37" x14ac:dyDescent="0.35">
      <c r="A219" t="s">
        <v>28</v>
      </c>
      <c r="B219">
        <v>157</v>
      </c>
      <c r="C219" t="s">
        <v>255</v>
      </c>
      <c r="D219" s="2">
        <v>38198</v>
      </c>
      <c r="E219" t="s">
        <v>33</v>
      </c>
      <c r="F219" s="3">
        <v>0.60833333333333328</v>
      </c>
      <c r="G219" s="3">
        <v>0.61875000000000002</v>
      </c>
      <c r="H219">
        <v>25.6</v>
      </c>
      <c r="I219">
        <v>41</v>
      </c>
      <c r="J219">
        <v>2</v>
      </c>
      <c r="K219">
        <v>2</v>
      </c>
      <c r="L219">
        <v>45</v>
      </c>
      <c r="M219">
        <v>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3"/>
        <v>100</v>
      </c>
      <c r="AJ219" t="s">
        <v>14</v>
      </c>
      <c r="AK219">
        <f>0.5*S219</f>
        <v>25</v>
      </c>
    </row>
    <row r="220" spans="1:37" x14ac:dyDescent="0.35">
      <c r="A220" t="s">
        <v>28</v>
      </c>
      <c r="B220">
        <v>158</v>
      </c>
      <c r="C220" t="s">
        <v>256</v>
      </c>
      <c r="D220" s="2">
        <v>38198</v>
      </c>
      <c r="E220" t="s">
        <v>33</v>
      </c>
      <c r="F220" s="3">
        <v>0.62777777777777777</v>
      </c>
      <c r="G220" s="3">
        <v>0.6381944444444444</v>
      </c>
      <c r="H220">
        <v>24.9</v>
      </c>
      <c r="I220">
        <v>36</v>
      </c>
      <c r="J220">
        <v>2</v>
      </c>
      <c r="K220">
        <v>2</v>
      </c>
      <c r="L220">
        <v>7</v>
      </c>
      <c r="M220">
        <v>10</v>
      </c>
      <c r="N220">
        <v>3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80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f t="shared" si="3"/>
        <v>100</v>
      </c>
      <c r="AJ220" t="s">
        <v>15</v>
      </c>
      <c r="AK220">
        <f>0.03*T220</f>
        <v>2.4</v>
      </c>
    </row>
    <row r="221" spans="1:37" x14ac:dyDescent="0.35">
      <c r="A221" t="s">
        <v>28</v>
      </c>
      <c r="B221">
        <v>154</v>
      </c>
      <c r="C221" t="s">
        <v>257</v>
      </c>
      <c r="D221" s="2">
        <v>38198</v>
      </c>
      <c r="E221" t="s">
        <v>33</v>
      </c>
      <c r="F221" s="3">
        <v>0.5493055555555556</v>
      </c>
      <c r="G221" s="3">
        <v>0.55972222222222223</v>
      </c>
      <c r="H221">
        <v>24.7</v>
      </c>
      <c r="I221">
        <v>46</v>
      </c>
      <c r="J221">
        <v>2</v>
      </c>
      <c r="K221">
        <v>2</v>
      </c>
      <c r="L221">
        <v>80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5</v>
      </c>
      <c r="S221">
        <v>0</v>
      </c>
      <c r="T221">
        <v>0</v>
      </c>
      <c r="U221">
        <v>10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 t="shared" si="3"/>
        <v>100</v>
      </c>
      <c r="AJ221" t="s">
        <v>16</v>
      </c>
      <c r="AK221">
        <f>0.1*U221</f>
        <v>1</v>
      </c>
    </row>
    <row r="222" spans="1:37" x14ac:dyDescent="0.35">
      <c r="A222" t="s">
        <v>28</v>
      </c>
      <c r="B222">
        <v>156</v>
      </c>
      <c r="C222" t="s">
        <v>258</v>
      </c>
      <c r="D222" s="2">
        <v>38198</v>
      </c>
      <c r="E222" t="s">
        <v>36</v>
      </c>
      <c r="F222" s="3">
        <v>0.58958333333333335</v>
      </c>
      <c r="G222" s="3">
        <v>0.6</v>
      </c>
      <c r="H222">
        <v>23.9</v>
      </c>
      <c r="I222">
        <v>30</v>
      </c>
      <c r="J222">
        <v>2</v>
      </c>
      <c r="K222">
        <v>3</v>
      </c>
      <c r="L222">
        <v>12</v>
      </c>
      <c r="M222">
        <v>15</v>
      </c>
      <c r="N222">
        <v>55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10</v>
      </c>
      <c r="W222">
        <v>5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2</v>
      </c>
      <c r="AE222">
        <v>0</v>
      </c>
      <c r="AF222">
        <v>0</v>
      </c>
      <c r="AG222">
        <v>0</v>
      </c>
      <c r="AH222">
        <v>0</v>
      </c>
      <c r="AI222">
        <f t="shared" si="3"/>
        <v>100</v>
      </c>
      <c r="AJ222" t="s">
        <v>21</v>
      </c>
      <c r="AK222">
        <f>0.75*AD222</f>
        <v>1.5</v>
      </c>
    </row>
    <row r="223" spans="1:37" x14ac:dyDescent="0.35">
      <c r="A223" t="s">
        <v>28</v>
      </c>
      <c r="B223">
        <v>160</v>
      </c>
      <c r="C223" t="s">
        <v>259</v>
      </c>
      <c r="D223" s="2">
        <v>38201</v>
      </c>
      <c r="E223" t="s">
        <v>36</v>
      </c>
      <c r="F223" s="3">
        <v>0.59027777777777779</v>
      </c>
      <c r="G223" s="3">
        <v>0.60069444444444442</v>
      </c>
      <c r="H223">
        <v>26.6</v>
      </c>
      <c r="I223">
        <v>42</v>
      </c>
      <c r="J223">
        <v>2</v>
      </c>
      <c r="K223">
        <v>2</v>
      </c>
      <c r="L223">
        <v>20</v>
      </c>
      <c r="M223">
        <v>3</v>
      </c>
      <c r="N223">
        <v>0</v>
      </c>
      <c r="O223">
        <v>0</v>
      </c>
      <c r="P223">
        <v>0</v>
      </c>
      <c r="Q223">
        <v>0</v>
      </c>
      <c r="R223">
        <v>3</v>
      </c>
      <c r="S223">
        <v>74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f t="shared" si="3"/>
        <v>100</v>
      </c>
      <c r="AJ223" t="s">
        <v>14</v>
      </c>
      <c r="AK223">
        <f>0.2*S223</f>
        <v>14.8</v>
      </c>
    </row>
    <row r="224" spans="1:37" x14ac:dyDescent="0.35">
      <c r="A224" t="s">
        <v>28</v>
      </c>
      <c r="B224">
        <v>163</v>
      </c>
      <c r="C224" t="s">
        <v>260</v>
      </c>
      <c r="D224" s="2">
        <v>38201</v>
      </c>
      <c r="E224" t="s">
        <v>33</v>
      </c>
      <c r="F224" s="3">
        <v>0.65069444444444446</v>
      </c>
      <c r="G224" s="3">
        <v>0.66111111111111109</v>
      </c>
      <c r="H224">
        <v>24.5</v>
      </c>
      <c r="I224">
        <v>44</v>
      </c>
      <c r="J224">
        <v>2</v>
      </c>
      <c r="K224">
        <v>3</v>
      </c>
      <c r="L224">
        <v>8</v>
      </c>
      <c r="M224">
        <v>7</v>
      </c>
      <c r="N224">
        <v>2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83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3"/>
        <v>100</v>
      </c>
      <c r="AJ224" t="s">
        <v>15</v>
      </c>
      <c r="AK224">
        <f>0.05*T224</f>
        <v>4.1500000000000004</v>
      </c>
    </row>
    <row r="225" spans="1:37" x14ac:dyDescent="0.35">
      <c r="A225" t="s">
        <v>28</v>
      </c>
      <c r="B225">
        <v>159</v>
      </c>
      <c r="C225" t="s">
        <v>261</v>
      </c>
      <c r="D225" s="2">
        <v>38201</v>
      </c>
      <c r="E225" t="s">
        <v>49</v>
      </c>
      <c r="F225" s="3">
        <v>0.57222222222222219</v>
      </c>
      <c r="G225" s="3">
        <v>0.58263888888888882</v>
      </c>
      <c r="H225">
        <v>24.2</v>
      </c>
      <c r="I225">
        <v>40</v>
      </c>
      <c r="J225">
        <v>2</v>
      </c>
      <c r="K225">
        <v>2</v>
      </c>
      <c r="L225">
        <v>0</v>
      </c>
      <c r="M225">
        <v>10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54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10</v>
      </c>
      <c r="AG225">
        <v>0</v>
      </c>
      <c r="AH225">
        <v>0</v>
      </c>
      <c r="AI225">
        <f t="shared" si="3"/>
        <v>100</v>
      </c>
      <c r="AJ225" t="s">
        <v>18</v>
      </c>
      <c r="AK225">
        <f>2/7*Y225</f>
        <v>0.2857142857142857</v>
      </c>
    </row>
    <row r="226" spans="1:37" x14ac:dyDescent="0.35">
      <c r="A226" t="s">
        <v>28</v>
      </c>
      <c r="B226">
        <v>161</v>
      </c>
      <c r="C226" t="s">
        <v>262</v>
      </c>
      <c r="D226" s="2">
        <v>38201</v>
      </c>
      <c r="E226" t="s">
        <v>34</v>
      </c>
      <c r="F226" s="3">
        <v>0.62083333333333335</v>
      </c>
      <c r="G226" s="3">
        <v>0.63124999999999998</v>
      </c>
      <c r="H226">
        <v>25.1</v>
      </c>
      <c r="I226">
        <v>43</v>
      </c>
      <c r="J226">
        <v>2</v>
      </c>
      <c r="K226">
        <v>2</v>
      </c>
      <c r="L226">
        <v>49</v>
      </c>
      <c r="M226">
        <v>10</v>
      </c>
      <c r="N226">
        <v>10</v>
      </c>
      <c r="O226">
        <v>0</v>
      </c>
      <c r="P226">
        <v>0</v>
      </c>
      <c r="Q226">
        <v>0</v>
      </c>
      <c r="R226">
        <v>10</v>
      </c>
      <c r="S226">
        <v>0</v>
      </c>
      <c r="T226">
        <v>0</v>
      </c>
      <c r="U226">
        <v>8</v>
      </c>
      <c r="V226">
        <v>1</v>
      </c>
      <c r="W226">
        <v>12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f t="shared" si="3"/>
        <v>100</v>
      </c>
      <c r="AJ226" t="s">
        <v>16</v>
      </c>
      <c r="AK226">
        <f>0.15*U226</f>
        <v>1.2</v>
      </c>
    </row>
    <row r="227" spans="1:37" x14ac:dyDescent="0.35">
      <c r="A227" t="s">
        <v>28</v>
      </c>
      <c r="B227">
        <v>162</v>
      </c>
      <c r="C227" t="s">
        <v>263</v>
      </c>
      <c r="D227" s="2">
        <v>38201</v>
      </c>
      <c r="E227" t="s">
        <v>36</v>
      </c>
      <c r="F227" s="3">
        <v>0.63749999999999996</v>
      </c>
      <c r="G227" s="3">
        <v>0.6479166666666667</v>
      </c>
      <c r="H227">
        <v>24.5</v>
      </c>
      <c r="I227">
        <v>44</v>
      </c>
      <c r="J227">
        <v>2</v>
      </c>
      <c r="K227">
        <v>2</v>
      </c>
      <c r="L227">
        <v>12</v>
      </c>
      <c r="M227">
        <v>15</v>
      </c>
      <c r="N227">
        <v>55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</v>
      </c>
      <c r="W227">
        <v>5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2</v>
      </c>
      <c r="AE227">
        <v>0</v>
      </c>
      <c r="AF227">
        <v>0</v>
      </c>
      <c r="AG227">
        <v>0</v>
      </c>
      <c r="AH227">
        <v>0</v>
      </c>
      <c r="AI227">
        <f t="shared" si="3"/>
        <v>100</v>
      </c>
      <c r="AJ227" t="s">
        <v>21</v>
      </c>
      <c r="AK227">
        <f>0.4*AD227</f>
        <v>0.8</v>
      </c>
    </row>
    <row r="228" spans="1:37" x14ac:dyDescent="0.35">
      <c r="A228" t="s">
        <v>28</v>
      </c>
      <c r="B228">
        <v>164</v>
      </c>
      <c r="C228" t="s">
        <v>264</v>
      </c>
      <c r="D228" s="2">
        <v>38202</v>
      </c>
      <c r="E228">
        <v>0</v>
      </c>
      <c r="F228" s="3">
        <v>0.39305555555555555</v>
      </c>
      <c r="G228" s="3">
        <v>0.40347222222222223</v>
      </c>
      <c r="H228">
        <v>19.3</v>
      </c>
      <c r="I228">
        <v>72</v>
      </c>
      <c r="J228">
        <v>2</v>
      </c>
      <c r="K228">
        <v>2</v>
      </c>
      <c r="L228">
        <v>40</v>
      </c>
      <c r="M228">
        <v>30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25</v>
      </c>
      <c r="T228">
        <v>0</v>
      </c>
      <c r="U228">
        <v>0</v>
      </c>
      <c r="V228">
        <v>0</v>
      </c>
      <c r="W228">
        <v>4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3"/>
        <v>100</v>
      </c>
      <c r="AJ228" t="s">
        <v>14</v>
      </c>
      <c r="AK228">
        <f>0.5*S228</f>
        <v>12.5</v>
      </c>
    </row>
    <row r="229" spans="1:37" x14ac:dyDescent="0.35">
      <c r="A229" t="s">
        <v>28</v>
      </c>
      <c r="B229">
        <v>165</v>
      </c>
      <c r="C229" t="s">
        <v>265</v>
      </c>
      <c r="D229" s="2">
        <v>38202</v>
      </c>
      <c r="E229" t="s">
        <v>33</v>
      </c>
      <c r="F229" s="3">
        <v>0.4201388888888889</v>
      </c>
      <c r="G229" s="3">
        <v>0.43055555555555558</v>
      </c>
      <c r="H229">
        <v>21.8</v>
      </c>
      <c r="I229">
        <v>77</v>
      </c>
      <c r="J229">
        <v>3</v>
      </c>
      <c r="K229">
        <v>2</v>
      </c>
      <c r="L229">
        <v>56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2</v>
      </c>
      <c r="S229">
        <v>10</v>
      </c>
      <c r="T229">
        <v>0</v>
      </c>
      <c r="U229">
        <v>25</v>
      </c>
      <c r="V229">
        <v>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3"/>
        <v>100</v>
      </c>
      <c r="AJ229" t="s">
        <v>14</v>
      </c>
      <c r="AK229">
        <f>0.15*S229</f>
        <v>1.5</v>
      </c>
    </row>
    <row r="230" spans="1:37" x14ac:dyDescent="0.35">
      <c r="A230" t="s">
        <v>28</v>
      </c>
      <c r="B230">
        <v>164</v>
      </c>
      <c r="C230" t="s">
        <v>264</v>
      </c>
      <c r="D230" s="2">
        <v>38202</v>
      </c>
      <c r="E230">
        <v>0</v>
      </c>
      <c r="F230" s="3">
        <v>0.39305555555555555</v>
      </c>
      <c r="G230" s="3">
        <v>0.40347222222222223</v>
      </c>
      <c r="H230">
        <v>19.3</v>
      </c>
      <c r="I230">
        <v>72</v>
      </c>
      <c r="J230">
        <v>2</v>
      </c>
      <c r="K230">
        <v>2</v>
      </c>
      <c r="L230">
        <v>40</v>
      </c>
      <c r="M230">
        <v>30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25</v>
      </c>
      <c r="T230">
        <v>0</v>
      </c>
      <c r="U230">
        <v>0</v>
      </c>
      <c r="V230">
        <v>0</v>
      </c>
      <c r="W230">
        <v>4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3"/>
        <v>100</v>
      </c>
      <c r="AJ230" t="s">
        <v>19</v>
      </c>
      <c r="AK230">
        <f>0.6*AA230</f>
        <v>0.6</v>
      </c>
    </row>
    <row r="231" spans="1:37" x14ac:dyDescent="0.35">
      <c r="A231" t="s">
        <v>28</v>
      </c>
      <c r="B231">
        <v>166</v>
      </c>
      <c r="C231" t="s">
        <v>266</v>
      </c>
      <c r="D231" s="2">
        <v>38202</v>
      </c>
      <c r="E231" t="s">
        <v>49</v>
      </c>
      <c r="F231" s="3">
        <v>0.44166666666666665</v>
      </c>
      <c r="G231" s="3">
        <v>0.45208333333333334</v>
      </c>
      <c r="H231">
        <v>21.3</v>
      </c>
      <c r="I231">
        <v>63</v>
      </c>
      <c r="J231">
        <v>3</v>
      </c>
      <c r="K231">
        <v>2</v>
      </c>
      <c r="L231">
        <v>0</v>
      </c>
      <c r="M231">
        <v>10</v>
      </c>
      <c r="N231">
        <v>0</v>
      </c>
      <c r="O231">
        <v>0</v>
      </c>
      <c r="P231">
        <v>0</v>
      </c>
      <c r="Q231">
        <v>0</v>
      </c>
      <c r="R231">
        <v>25</v>
      </c>
      <c r="S231">
        <v>54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10</v>
      </c>
      <c r="AG231">
        <v>0</v>
      </c>
      <c r="AH231">
        <v>0</v>
      </c>
      <c r="AI231">
        <f t="shared" si="3"/>
        <v>100</v>
      </c>
      <c r="AJ231" t="s">
        <v>18</v>
      </c>
      <c r="AK231">
        <f>1/7*Y231</f>
        <v>0.14285714285714285</v>
      </c>
    </row>
    <row r="232" spans="1:37" x14ac:dyDescent="0.35">
      <c r="A232" t="s">
        <v>28</v>
      </c>
      <c r="B232">
        <v>165</v>
      </c>
      <c r="C232" t="s">
        <v>265</v>
      </c>
      <c r="D232" s="2">
        <v>38202</v>
      </c>
      <c r="E232" t="s">
        <v>33</v>
      </c>
      <c r="F232" s="3">
        <v>0.4201388888888889</v>
      </c>
      <c r="G232" s="3">
        <v>0.43055555555555558</v>
      </c>
      <c r="H232">
        <v>21.8</v>
      </c>
      <c r="I232">
        <v>77</v>
      </c>
      <c r="J232">
        <v>3</v>
      </c>
      <c r="K232">
        <v>2</v>
      </c>
      <c r="L232">
        <v>56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2</v>
      </c>
      <c r="S232">
        <v>10</v>
      </c>
      <c r="T232">
        <v>0</v>
      </c>
      <c r="U232">
        <v>25</v>
      </c>
      <c r="V232">
        <v>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3"/>
        <v>100</v>
      </c>
      <c r="AJ232" t="s">
        <v>16</v>
      </c>
      <c r="AK232">
        <f>0.12*U232</f>
        <v>3</v>
      </c>
    </row>
    <row r="233" spans="1:37" x14ac:dyDescent="0.35">
      <c r="A233" t="s">
        <v>28</v>
      </c>
      <c r="B233">
        <v>167</v>
      </c>
      <c r="C233" t="s">
        <v>267</v>
      </c>
      <c r="D233" s="2">
        <v>38204</v>
      </c>
      <c r="E233" t="s">
        <v>33</v>
      </c>
      <c r="F233" s="3">
        <v>0.38124999999999998</v>
      </c>
      <c r="G233" s="3">
        <v>0.39166666666666666</v>
      </c>
      <c r="H233">
        <v>24.2</v>
      </c>
      <c r="I233">
        <v>54</v>
      </c>
      <c r="J233">
        <v>0</v>
      </c>
      <c r="K233">
        <v>2</v>
      </c>
      <c r="L233">
        <v>8</v>
      </c>
      <c r="M233">
        <v>10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40</v>
      </c>
      <c r="U233">
        <v>0</v>
      </c>
      <c r="V233">
        <v>0</v>
      </c>
      <c r="W233">
        <v>10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3"/>
        <v>100</v>
      </c>
      <c r="AJ233" t="s">
        <v>14</v>
      </c>
      <c r="AK233">
        <f>0.1*S233</f>
        <v>3</v>
      </c>
    </row>
    <row r="234" spans="1:37" x14ac:dyDescent="0.35">
      <c r="A234" t="s">
        <v>28</v>
      </c>
      <c r="B234">
        <v>170</v>
      </c>
      <c r="C234" t="s">
        <v>268</v>
      </c>
      <c r="D234" s="2">
        <v>38204</v>
      </c>
      <c r="E234" t="s">
        <v>49</v>
      </c>
      <c r="F234" s="3">
        <v>0.45208333333333334</v>
      </c>
      <c r="G234" s="3">
        <v>0.46250000000000002</v>
      </c>
      <c r="H234">
        <v>25.4</v>
      </c>
      <c r="I234">
        <v>67</v>
      </c>
      <c r="J234">
        <v>0</v>
      </c>
      <c r="K234">
        <v>2</v>
      </c>
      <c r="L234">
        <v>25</v>
      </c>
      <c r="M234">
        <v>13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10</v>
      </c>
      <c r="AG234">
        <v>0</v>
      </c>
      <c r="AH234">
        <v>0</v>
      </c>
      <c r="AI234">
        <f t="shared" si="3"/>
        <v>100</v>
      </c>
      <c r="AJ234" t="s">
        <v>14</v>
      </c>
      <c r="AK234">
        <f>0.01*S234</f>
        <v>0.5</v>
      </c>
    </row>
    <row r="235" spans="1:37" x14ac:dyDescent="0.35">
      <c r="A235" t="s">
        <v>28</v>
      </c>
      <c r="B235">
        <v>171</v>
      </c>
      <c r="C235" t="s">
        <v>269</v>
      </c>
      <c r="D235" s="2">
        <v>38204</v>
      </c>
      <c r="E235" t="s">
        <v>33</v>
      </c>
      <c r="F235" s="3">
        <v>0.47638888888888892</v>
      </c>
      <c r="G235" s="3">
        <v>0.48680555555555555</v>
      </c>
      <c r="H235">
        <v>27</v>
      </c>
      <c r="I235">
        <v>46</v>
      </c>
      <c r="J235">
        <v>0</v>
      </c>
      <c r="K235">
        <v>2</v>
      </c>
      <c r="L235">
        <v>50</v>
      </c>
      <c r="M235">
        <v>10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10</v>
      </c>
      <c r="AG235">
        <v>0</v>
      </c>
      <c r="AH235">
        <v>0</v>
      </c>
      <c r="AI235">
        <f t="shared" si="3"/>
        <v>100</v>
      </c>
      <c r="AJ235" t="s">
        <v>14</v>
      </c>
      <c r="AK235">
        <f>0.1*S235</f>
        <v>3</v>
      </c>
    </row>
    <row r="236" spans="1:37" x14ac:dyDescent="0.35">
      <c r="A236" t="s">
        <v>28</v>
      </c>
      <c r="B236">
        <v>172</v>
      </c>
      <c r="C236" t="s">
        <v>270</v>
      </c>
      <c r="D236" s="2">
        <v>38204</v>
      </c>
      <c r="E236">
        <v>0</v>
      </c>
      <c r="F236" s="3">
        <v>0.52083333333333337</v>
      </c>
      <c r="G236" s="3">
        <v>0.53125</v>
      </c>
      <c r="H236">
        <v>25.1</v>
      </c>
      <c r="I236">
        <v>36</v>
      </c>
      <c r="J236">
        <v>1</v>
      </c>
      <c r="K236">
        <v>2</v>
      </c>
      <c r="L236">
        <v>55</v>
      </c>
      <c r="M236">
        <v>10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30</v>
      </c>
      <c r="T236">
        <v>0</v>
      </c>
      <c r="U236">
        <v>0</v>
      </c>
      <c r="V236">
        <v>0</v>
      </c>
      <c r="W236">
        <v>4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f t="shared" si="3"/>
        <v>100</v>
      </c>
      <c r="AJ236" t="s">
        <v>14</v>
      </c>
      <c r="AK236">
        <f>0.55*S236</f>
        <v>16.5</v>
      </c>
    </row>
    <row r="237" spans="1:37" x14ac:dyDescent="0.35">
      <c r="A237" t="s">
        <v>28</v>
      </c>
      <c r="B237">
        <v>167</v>
      </c>
      <c r="C237" t="s">
        <v>267</v>
      </c>
      <c r="D237" s="2">
        <v>38204</v>
      </c>
      <c r="E237" t="s">
        <v>33</v>
      </c>
      <c r="F237" s="3">
        <v>0.38124999999999998</v>
      </c>
      <c r="G237" s="3">
        <v>0.39166666666666666</v>
      </c>
      <c r="H237">
        <v>24.2</v>
      </c>
      <c r="I237">
        <v>54</v>
      </c>
      <c r="J237">
        <v>0</v>
      </c>
      <c r="K237">
        <v>2</v>
      </c>
      <c r="L237">
        <v>8</v>
      </c>
      <c r="M237">
        <v>10</v>
      </c>
      <c r="N237">
        <v>2</v>
      </c>
      <c r="O237">
        <v>0</v>
      </c>
      <c r="P237">
        <v>0</v>
      </c>
      <c r="Q237">
        <v>0</v>
      </c>
      <c r="R237">
        <v>0</v>
      </c>
      <c r="S237">
        <v>30</v>
      </c>
      <c r="T237">
        <v>40</v>
      </c>
      <c r="U237">
        <v>0</v>
      </c>
      <c r="V237">
        <v>0</v>
      </c>
      <c r="W237">
        <v>10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3"/>
        <v>100</v>
      </c>
      <c r="AJ237" t="s">
        <v>15</v>
      </c>
      <c r="AK237">
        <f>0.05*T237</f>
        <v>2</v>
      </c>
    </row>
    <row r="238" spans="1:37" x14ac:dyDescent="0.35">
      <c r="A238" t="s">
        <v>28</v>
      </c>
      <c r="B238">
        <v>172</v>
      </c>
      <c r="C238" t="s">
        <v>270</v>
      </c>
      <c r="D238" s="2">
        <v>38204</v>
      </c>
      <c r="E238">
        <v>0</v>
      </c>
      <c r="F238" s="3">
        <v>0.52083333333333337</v>
      </c>
      <c r="G238" s="3">
        <v>0.53125</v>
      </c>
      <c r="H238">
        <v>25.1</v>
      </c>
      <c r="I238">
        <v>36</v>
      </c>
      <c r="J238">
        <v>1</v>
      </c>
      <c r="K238">
        <v>2</v>
      </c>
      <c r="L238">
        <v>55</v>
      </c>
      <c r="M238">
        <v>10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30</v>
      </c>
      <c r="T238">
        <v>0</v>
      </c>
      <c r="U238">
        <v>0</v>
      </c>
      <c r="V238">
        <v>0</v>
      </c>
      <c r="W238">
        <v>4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f t="shared" si="3"/>
        <v>100</v>
      </c>
      <c r="AJ238" t="s">
        <v>19</v>
      </c>
      <c r="AK238">
        <f>0.6*AA238</f>
        <v>0.6</v>
      </c>
    </row>
    <row r="239" spans="1:37" x14ac:dyDescent="0.35">
      <c r="A239" t="s">
        <v>28</v>
      </c>
      <c r="B239">
        <v>170</v>
      </c>
      <c r="C239" t="s">
        <v>268</v>
      </c>
      <c r="D239" s="2">
        <v>38204</v>
      </c>
      <c r="E239" t="s">
        <v>49</v>
      </c>
      <c r="F239" s="3">
        <v>0.45208333333333334</v>
      </c>
      <c r="G239" s="3">
        <v>0.46250000000000002</v>
      </c>
      <c r="H239">
        <v>25.4</v>
      </c>
      <c r="I239">
        <v>67</v>
      </c>
      <c r="J239">
        <v>0</v>
      </c>
      <c r="K239">
        <v>2</v>
      </c>
      <c r="L239">
        <v>25</v>
      </c>
      <c r="M239">
        <v>13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10</v>
      </c>
      <c r="AG239">
        <v>0</v>
      </c>
      <c r="AH239">
        <v>0</v>
      </c>
      <c r="AI239">
        <f t="shared" si="3"/>
        <v>100</v>
      </c>
      <c r="AJ239" t="s">
        <v>18</v>
      </c>
      <c r="AK239">
        <f>0.06*Y239</f>
        <v>0.12</v>
      </c>
    </row>
    <row r="240" spans="1:37" x14ac:dyDescent="0.35">
      <c r="A240" t="s">
        <v>28</v>
      </c>
      <c r="B240">
        <v>169</v>
      </c>
      <c r="C240" t="s">
        <v>271</v>
      </c>
      <c r="D240" s="2">
        <v>38204</v>
      </c>
      <c r="E240" t="s">
        <v>33</v>
      </c>
      <c r="F240" s="3">
        <v>0.42638888888888887</v>
      </c>
      <c r="G240" s="3">
        <v>0.4368055555555555</v>
      </c>
      <c r="H240">
        <v>25.2</v>
      </c>
      <c r="I240">
        <v>59</v>
      </c>
      <c r="J240">
        <v>0</v>
      </c>
      <c r="K240">
        <v>1</v>
      </c>
      <c r="L240">
        <v>53</v>
      </c>
      <c r="M240">
        <v>0</v>
      </c>
      <c r="N240">
        <v>2</v>
      </c>
      <c r="O240">
        <v>0</v>
      </c>
      <c r="P240">
        <v>0</v>
      </c>
      <c r="Q240">
        <v>0</v>
      </c>
      <c r="R240">
        <v>25</v>
      </c>
      <c r="S240">
        <v>0</v>
      </c>
      <c r="T240">
        <v>0</v>
      </c>
      <c r="U240">
        <v>20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f t="shared" si="3"/>
        <v>100</v>
      </c>
      <c r="AJ240" t="s">
        <v>16</v>
      </c>
      <c r="AK240">
        <f>0.15*U240</f>
        <v>3</v>
      </c>
    </row>
    <row r="241" spans="1:37" x14ac:dyDescent="0.35">
      <c r="A241" t="s">
        <v>28</v>
      </c>
      <c r="B241">
        <v>168</v>
      </c>
      <c r="C241" t="s">
        <v>272</v>
      </c>
      <c r="D241" s="2">
        <v>38204</v>
      </c>
      <c r="E241" t="s">
        <v>36</v>
      </c>
      <c r="F241" s="3">
        <v>0.4055555555555555</v>
      </c>
      <c r="G241" s="3">
        <v>0.41597222222222219</v>
      </c>
      <c r="H241">
        <v>24.5</v>
      </c>
      <c r="I241">
        <v>44</v>
      </c>
      <c r="J241">
        <v>0</v>
      </c>
      <c r="K241">
        <v>2</v>
      </c>
      <c r="L241">
        <v>12</v>
      </c>
      <c r="M241">
        <v>15</v>
      </c>
      <c r="N241">
        <v>55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10</v>
      </c>
      <c r="W241">
        <v>5</v>
      </c>
      <c r="X241">
        <v>0</v>
      </c>
      <c r="Y241">
        <v>0</v>
      </c>
      <c r="Z241">
        <v>0</v>
      </c>
      <c r="AA241">
        <v>1</v>
      </c>
      <c r="AB241">
        <v>0</v>
      </c>
      <c r="AC241">
        <v>0</v>
      </c>
      <c r="AD241">
        <v>2</v>
      </c>
      <c r="AE241">
        <v>0</v>
      </c>
      <c r="AF241">
        <v>0</v>
      </c>
      <c r="AG241">
        <v>0</v>
      </c>
      <c r="AH241">
        <v>0</v>
      </c>
      <c r="AI241">
        <f t="shared" si="3"/>
        <v>100</v>
      </c>
      <c r="AJ241" t="s">
        <v>21</v>
      </c>
      <c r="AK241">
        <f>0.3*AD241</f>
        <v>0.6</v>
      </c>
    </row>
    <row r="242" spans="1:37" x14ac:dyDescent="0.35">
      <c r="A242" t="s">
        <v>28</v>
      </c>
      <c r="B242">
        <v>171</v>
      </c>
      <c r="C242" t="s">
        <v>269</v>
      </c>
      <c r="D242" s="2">
        <v>38204</v>
      </c>
      <c r="E242" t="s">
        <v>33</v>
      </c>
      <c r="F242" s="3">
        <v>0.47638888888888892</v>
      </c>
      <c r="G242" s="3">
        <v>0.48680555555555555</v>
      </c>
      <c r="H242">
        <v>27</v>
      </c>
      <c r="I242">
        <v>46</v>
      </c>
      <c r="J242">
        <v>0</v>
      </c>
      <c r="K242">
        <v>2</v>
      </c>
      <c r="L242">
        <v>50</v>
      </c>
      <c r="M242">
        <v>10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10</v>
      </c>
      <c r="AG242">
        <v>0</v>
      </c>
      <c r="AH242">
        <v>0</v>
      </c>
      <c r="AI242">
        <f t="shared" si="3"/>
        <v>100</v>
      </c>
      <c r="AJ242" t="s">
        <v>10</v>
      </c>
      <c r="AK242">
        <f>0.01*M242</f>
        <v>0.1</v>
      </c>
    </row>
    <row r="243" spans="1:37" x14ac:dyDescent="0.35">
      <c r="A243" t="s">
        <v>28</v>
      </c>
      <c r="B243">
        <v>173</v>
      </c>
      <c r="C243" t="s">
        <v>273</v>
      </c>
      <c r="D243" s="2">
        <v>38205</v>
      </c>
      <c r="E243" t="s">
        <v>45</v>
      </c>
      <c r="F243" s="3">
        <v>0.56041666666666667</v>
      </c>
      <c r="G243" s="3">
        <v>0.5708333333333333</v>
      </c>
      <c r="H243">
        <v>29.7</v>
      </c>
      <c r="I243">
        <v>38</v>
      </c>
      <c r="J243">
        <v>0</v>
      </c>
      <c r="K243">
        <v>3</v>
      </c>
      <c r="L243">
        <v>4</v>
      </c>
      <c r="M243">
        <v>6</v>
      </c>
      <c r="N243">
        <v>0</v>
      </c>
      <c r="O243">
        <v>0</v>
      </c>
      <c r="P243">
        <v>0</v>
      </c>
      <c r="Q243">
        <v>0</v>
      </c>
      <c r="R243">
        <v>10</v>
      </c>
      <c r="S243">
        <v>58</v>
      </c>
      <c r="T243">
        <v>0</v>
      </c>
      <c r="U243">
        <v>0</v>
      </c>
      <c r="V243">
        <v>0</v>
      </c>
      <c r="W243">
        <v>2</v>
      </c>
      <c r="X243">
        <v>0</v>
      </c>
      <c r="Y243" t="s">
        <v>87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20</v>
      </c>
      <c r="AG243">
        <v>0</v>
      </c>
      <c r="AH243">
        <v>0</v>
      </c>
      <c r="AI243">
        <f t="shared" si="3"/>
        <v>100</v>
      </c>
      <c r="AJ243" t="s">
        <v>14</v>
      </c>
      <c r="AK243">
        <f>0.02*S243</f>
        <v>1.1599999999999999</v>
      </c>
    </row>
    <row r="244" spans="1:37" x14ac:dyDescent="0.35">
      <c r="A244" t="s">
        <v>28</v>
      </c>
      <c r="B244">
        <v>177</v>
      </c>
      <c r="C244" t="s">
        <v>274</v>
      </c>
      <c r="D244" s="2">
        <v>38205</v>
      </c>
      <c r="E244" t="s">
        <v>47</v>
      </c>
      <c r="F244" s="3">
        <v>0.62777777777777777</v>
      </c>
      <c r="G244" s="3">
        <v>0.6381944444444444</v>
      </c>
      <c r="H244">
        <v>28.9</v>
      </c>
      <c r="I244">
        <v>35</v>
      </c>
      <c r="J244">
        <v>0</v>
      </c>
      <c r="K244">
        <v>3</v>
      </c>
      <c r="L244">
        <v>45</v>
      </c>
      <c r="M244">
        <v>13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30</v>
      </c>
      <c r="T244">
        <v>0</v>
      </c>
      <c r="U244">
        <v>2</v>
      </c>
      <c r="V244">
        <v>4</v>
      </c>
      <c r="W244">
        <v>0</v>
      </c>
      <c r="X244">
        <v>0</v>
      </c>
      <c r="Y244">
        <v>0</v>
      </c>
      <c r="Z244">
        <v>4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0</v>
      </c>
      <c r="AI244">
        <f t="shared" si="3"/>
        <v>100</v>
      </c>
      <c r="AJ244" t="s">
        <v>14</v>
      </c>
      <c r="AK244">
        <f>0.3*S244</f>
        <v>9</v>
      </c>
    </row>
    <row r="245" spans="1:37" x14ac:dyDescent="0.35">
      <c r="A245" t="s">
        <v>28</v>
      </c>
      <c r="B245">
        <v>178</v>
      </c>
      <c r="C245" t="s">
        <v>275</v>
      </c>
      <c r="D245" s="2">
        <v>38205</v>
      </c>
      <c r="E245" t="s">
        <v>46</v>
      </c>
      <c r="F245" s="3">
        <v>0.65763888888888888</v>
      </c>
      <c r="G245" s="3">
        <v>0.66805555555555562</v>
      </c>
      <c r="H245">
        <v>29.9</v>
      </c>
      <c r="I245">
        <v>27</v>
      </c>
      <c r="J245">
        <v>0</v>
      </c>
      <c r="K245">
        <v>3</v>
      </c>
      <c r="L245">
        <v>25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75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3"/>
        <v>100</v>
      </c>
      <c r="AJ245" t="s">
        <v>14</v>
      </c>
      <c r="AK245">
        <f>0.5*S245</f>
        <v>37.5</v>
      </c>
    </row>
    <row r="246" spans="1:37" x14ac:dyDescent="0.35">
      <c r="A246" t="s">
        <v>28</v>
      </c>
      <c r="B246">
        <v>177</v>
      </c>
      <c r="C246" t="s">
        <v>274</v>
      </c>
      <c r="D246" s="2">
        <v>38205</v>
      </c>
      <c r="E246" t="s">
        <v>47</v>
      </c>
      <c r="F246" s="3">
        <v>0.62777777777777777</v>
      </c>
      <c r="G246" s="3">
        <v>0.6381944444444444</v>
      </c>
      <c r="H246">
        <v>28.9</v>
      </c>
      <c r="I246">
        <v>35</v>
      </c>
      <c r="J246">
        <v>0</v>
      </c>
      <c r="K246">
        <v>3</v>
      </c>
      <c r="L246">
        <v>45</v>
      </c>
      <c r="M246">
        <v>13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30</v>
      </c>
      <c r="T246">
        <v>0</v>
      </c>
      <c r="U246">
        <v>2</v>
      </c>
      <c r="V246">
        <v>4</v>
      </c>
      <c r="W246">
        <v>0</v>
      </c>
      <c r="X246">
        <v>0</v>
      </c>
      <c r="Y246">
        <v>0</v>
      </c>
      <c r="Z246">
        <v>4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2</v>
      </c>
      <c r="AG246">
        <v>0</v>
      </c>
      <c r="AH246">
        <v>0</v>
      </c>
      <c r="AI246">
        <f t="shared" si="3"/>
        <v>100</v>
      </c>
      <c r="AJ246" t="s">
        <v>89</v>
      </c>
      <c r="AK246">
        <f>0.17*Z246</f>
        <v>0.68</v>
      </c>
    </row>
    <row r="247" spans="1:37" x14ac:dyDescent="0.35">
      <c r="A247" t="s">
        <v>28</v>
      </c>
      <c r="B247">
        <v>176</v>
      </c>
      <c r="C247" t="s">
        <v>276</v>
      </c>
      <c r="D247" s="2">
        <v>38205</v>
      </c>
      <c r="E247" t="s">
        <v>47</v>
      </c>
      <c r="F247" s="3">
        <v>0.6118055555555556</v>
      </c>
      <c r="G247" s="3">
        <v>0.62222222222222223</v>
      </c>
      <c r="H247">
        <v>29.4</v>
      </c>
      <c r="I247">
        <v>30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4</v>
      </c>
      <c r="S247">
        <v>12</v>
      </c>
      <c r="T247">
        <v>35</v>
      </c>
      <c r="U247">
        <v>8</v>
      </c>
      <c r="V247">
        <v>40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0</v>
      </c>
      <c r="AI247">
        <f t="shared" si="3"/>
        <v>100</v>
      </c>
      <c r="AJ247" t="s">
        <v>15</v>
      </c>
      <c r="AK247">
        <f>0.05*T247</f>
        <v>1.75</v>
      </c>
    </row>
    <row r="248" spans="1:37" x14ac:dyDescent="0.35">
      <c r="A248" t="s">
        <v>28</v>
      </c>
      <c r="B248">
        <v>173</v>
      </c>
      <c r="C248" t="s">
        <v>273</v>
      </c>
      <c r="D248" s="2">
        <v>38205</v>
      </c>
      <c r="E248" t="s">
        <v>45</v>
      </c>
      <c r="F248" s="3">
        <v>0.56041666666666667</v>
      </c>
      <c r="G248" s="3">
        <v>0.5708333333333333</v>
      </c>
      <c r="H248">
        <v>29.7</v>
      </c>
      <c r="I248">
        <v>38</v>
      </c>
      <c r="J248">
        <v>0</v>
      </c>
      <c r="K248">
        <v>3</v>
      </c>
      <c r="L248">
        <v>4</v>
      </c>
      <c r="M248">
        <v>6</v>
      </c>
      <c r="N248">
        <v>0</v>
      </c>
      <c r="O248">
        <v>0</v>
      </c>
      <c r="P248">
        <v>0</v>
      </c>
      <c r="Q248">
        <v>0</v>
      </c>
      <c r="R248">
        <v>10</v>
      </c>
      <c r="S248">
        <v>58</v>
      </c>
      <c r="T248">
        <v>0</v>
      </c>
      <c r="U248">
        <v>0</v>
      </c>
      <c r="V248">
        <v>0</v>
      </c>
      <c r="W248">
        <v>2</v>
      </c>
      <c r="X248">
        <v>0</v>
      </c>
      <c r="Y248" t="s">
        <v>87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20</v>
      </c>
      <c r="AG248">
        <v>0</v>
      </c>
      <c r="AH248">
        <v>0</v>
      </c>
      <c r="AI248">
        <f t="shared" si="3"/>
        <v>100</v>
      </c>
      <c r="AJ248" t="s">
        <v>18</v>
      </c>
      <c r="AK248">
        <f>0.005*0.5</f>
        <v>2.5000000000000001E-3</v>
      </c>
    </row>
    <row r="249" spans="1:37" x14ac:dyDescent="0.35">
      <c r="A249" t="s">
        <v>28</v>
      </c>
      <c r="B249">
        <v>175</v>
      </c>
      <c r="C249" t="s">
        <v>277</v>
      </c>
      <c r="D249" s="2">
        <v>38205</v>
      </c>
      <c r="E249" t="s">
        <v>47</v>
      </c>
      <c r="F249" s="3">
        <v>0.59583333333333333</v>
      </c>
      <c r="G249" s="3">
        <v>0.60624999999999996</v>
      </c>
      <c r="H249">
        <v>29.3</v>
      </c>
      <c r="I249">
        <v>37</v>
      </c>
      <c r="J249">
        <v>0</v>
      </c>
      <c r="K249">
        <v>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20</v>
      </c>
      <c r="S249">
        <v>6</v>
      </c>
      <c r="T249">
        <v>0</v>
      </c>
      <c r="U249">
        <v>25</v>
      </c>
      <c r="V249">
        <v>46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3</v>
      </c>
      <c r="AG249">
        <v>0</v>
      </c>
      <c r="AH249">
        <v>0</v>
      </c>
      <c r="AI249">
        <f t="shared" si="3"/>
        <v>100</v>
      </c>
      <c r="AJ249" t="s">
        <v>16</v>
      </c>
      <c r="AK249">
        <f>0.1*U249</f>
        <v>2.5</v>
      </c>
    </row>
    <row r="250" spans="1:37" x14ac:dyDescent="0.35">
      <c r="A250" t="s">
        <v>28</v>
      </c>
      <c r="B250">
        <v>176</v>
      </c>
      <c r="C250" t="s">
        <v>276</v>
      </c>
      <c r="D250" s="2">
        <v>38205</v>
      </c>
      <c r="E250" t="s">
        <v>47</v>
      </c>
      <c r="F250" s="3">
        <v>0.6118055555555556</v>
      </c>
      <c r="G250" s="3">
        <v>0.62222222222222223</v>
      </c>
      <c r="H250">
        <v>29.4</v>
      </c>
      <c r="I250">
        <v>30</v>
      </c>
      <c r="J250">
        <v>0</v>
      </c>
      <c r="K250">
        <v>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4</v>
      </c>
      <c r="S250">
        <v>12</v>
      </c>
      <c r="T250">
        <v>35</v>
      </c>
      <c r="U250">
        <v>8</v>
      </c>
      <c r="V250">
        <v>40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</v>
      </c>
      <c r="AG250">
        <v>0</v>
      </c>
      <c r="AH250">
        <v>0</v>
      </c>
      <c r="AI250">
        <f t="shared" si="3"/>
        <v>100</v>
      </c>
      <c r="AJ250" t="s">
        <v>16</v>
      </c>
      <c r="AK250">
        <f>0.05*U250</f>
        <v>0.4</v>
      </c>
    </row>
    <row r="251" spans="1:37" x14ac:dyDescent="0.35">
      <c r="A251" t="s">
        <v>28</v>
      </c>
      <c r="B251">
        <v>177</v>
      </c>
      <c r="C251" t="s">
        <v>274</v>
      </c>
      <c r="D251" s="2">
        <v>38205</v>
      </c>
      <c r="E251" t="s">
        <v>47</v>
      </c>
      <c r="F251" s="3">
        <v>0.62777777777777777</v>
      </c>
      <c r="G251" s="3">
        <v>0.6381944444444444</v>
      </c>
      <c r="H251">
        <v>28.9</v>
      </c>
      <c r="I251">
        <v>35</v>
      </c>
      <c r="J251">
        <v>0</v>
      </c>
      <c r="K251">
        <v>3</v>
      </c>
      <c r="L251">
        <v>45</v>
      </c>
      <c r="M251">
        <v>13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30</v>
      </c>
      <c r="T251">
        <v>0</v>
      </c>
      <c r="U251">
        <v>2</v>
      </c>
      <c r="V251">
        <v>4</v>
      </c>
      <c r="W251">
        <v>0</v>
      </c>
      <c r="X251">
        <v>0</v>
      </c>
      <c r="Y251">
        <v>0</v>
      </c>
      <c r="Z251">
        <v>4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2</v>
      </c>
      <c r="AG251">
        <v>0</v>
      </c>
      <c r="AH251">
        <v>0</v>
      </c>
      <c r="AI251">
        <f t="shared" si="3"/>
        <v>100</v>
      </c>
      <c r="AJ251" t="s">
        <v>16</v>
      </c>
      <c r="AK251">
        <f>0.05*U251</f>
        <v>0.1</v>
      </c>
    </row>
    <row r="252" spans="1:37" x14ac:dyDescent="0.35">
      <c r="A252" t="s">
        <v>28</v>
      </c>
      <c r="B252">
        <v>174</v>
      </c>
      <c r="C252" t="s">
        <v>278</v>
      </c>
      <c r="D252" s="2">
        <v>38205</v>
      </c>
      <c r="E252">
        <v>0</v>
      </c>
      <c r="F252" s="3">
        <v>0.57499999999999996</v>
      </c>
      <c r="G252" s="3">
        <v>0.5854166666666667</v>
      </c>
      <c r="H252">
        <v>28.5</v>
      </c>
      <c r="I252">
        <v>42</v>
      </c>
      <c r="J252">
        <v>0</v>
      </c>
      <c r="K252">
        <v>3</v>
      </c>
      <c r="L252">
        <v>0</v>
      </c>
      <c r="M252">
        <v>10</v>
      </c>
      <c r="N252">
        <v>0</v>
      </c>
      <c r="O252">
        <v>0</v>
      </c>
      <c r="P252">
        <v>0</v>
      </c>
      <c r="Q252">
        <v>0</v>
      </c>
      <c r="R252">
        <v>30</v>
      </c>
      <c r="S252">
        <v>40</v>
      </c>
      <c r="T252">
        <v>0</v>
      </c>
      <c r="U252">
        <v>0</v>
      </c>
      <c r="V252">
        <v>11</v>
      </c>
      <c r="W252">
        <v>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3</v>
      </c>
      <c r="AG252">
        <v>0</v>
      </c>
      <c r="AH252">
        <v>0</v>
      </c>
      <c r="AI252">
        <f t="shared" si="3"/>
        <v>100</v>
      </c>
      <c r="AJ252" t="s">
        <v>21</v>
      </c>
      <c r="AK252">
        <f>0.95*AD252</f>
        <v>0.95</v>
      </c>
    </row>
    <row r="253" spans="1:37" x14ac:dyDescent="0.35">
      <c r="A253" t="s">
        <v>28</v>
      </c>
      <c r="B253">
        <v>179</v>
      </c>
      <c r="C253" t="s">
        <v>279</v>
      </c>
      <c r="D253" s="2">
        <v>38210</v>
      </c>
      <c r="E253" t="s">
        <v>33</v>
      </c>
      <c r="F253" s="3">
        <v>0.57152777777777775</v>
      </c>
      <c r="G253" s="3">
        <v>0.58194444444444449</v>
      </c>
      <c r="H253">
        <v>24.7</v>
      </c>
      <c r="I253">
        <v>35</v>
      </c>
      <c r="J253">
        <v>3</v>
      </c>
      <c r="K253">
        <v>3</v>
      </c>
      <c r="L253">
        <v>9</v>
      </c>
      <c r="M253">
        <v>9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29</v>
      </c>
      <c r="T253">
        <v>34</v>
      </c>
      <c r="U253">
        <v>0</v>
      </c>
      <c r="V253">
        <v>0</v>
      </c>
      <c r="W253">
        <v>17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f t="shared" si="3"/>
        <v>100</v>
      </c>
      <c r="AJ253" t="s">
        <v>14</v>
      </c>
      <c r="AK253">
        <f>0.6*S253</f>
        <v>17.399999999999999</v>
      </c>
    </row>
    <row r="254" spans="1:37" x14ac:dyDescent="0.35">
      <c r="A254" t="s">
        <v>28</v>
      </c>
      <c r="B254">
        <v>180</v>
      </c>
      <c r="C254" t="s">
        <v>280</v>
      </c>
      <c r="D254" s="2">
        <v>38210</v>
      </c>
      <c r="E254" t="s">
        <v>36</v>
      </c>
      <c r="F254" s="3">
        <v>0.58819444444444446</v>
      </c>
      <c r="G254" s="3">
        <v>0.59861111111111109</v>
      </c>
      <c r="H254">
        <v>24.7</v>
      </c>
      <c r="I254">
        <v>41</v>
      </c>
      <c r="J254">
        <v>2</v>
      </c>
      <c r="K254">
        <v>3</v>
      </c>
      <c r="L254">
        <v>10</v>
      </c>
      <c r="M254">
        <v>75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</v>
      </c>
      <c r="T254">
        <v>0</v>
      </c>
      <c r="U254">
        <v>0</v>
      </c>
      <c r="V254">
        <v>5</v>
      </c>
      <c r="W254">
        <v>5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f t="shared" si="3"/>
        <v>100</v>
      </c>
      <c r="AJ254" t="s">
        <v>14</v>
      </c>
      <c r="AK254">
        <f>0.6*S254</f>
        <v>3</v>
      </c>
    </row>
    <row r="255" spans="1:37" x14ac:dyDescent="0.35">
      <c r="A255" t="s">
        <v>28</v>
      </c>
      <c r="B255">
        <v>181</v>
      </c>
      <c r="C255" t="s">
        <v>281</v>
      </c>
      <c r="D255" s="2">
        <v>38210</v>
      </c>
      <c r="E255" t="s">
        <v>34</v>
      </c>
      <c r="F255" s="3">
        <v>0.60972222222222217</v>
      </c>
      <c r="G255" s="3">
        <v>0.62013888888888891</v>
      </c>
      <c r="H255">
        <v>23.8</v>
      </c>
      <c r="I255">
        <v>41</v>
      </c>
      <c r="J255">
        <v>2</v>
      </c>
      <c r="K255">
        <v>3</v>
      </c>
      <c r="L255">
        <v>20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15</v>
      </c>
      <c r="S255">
        <v>35</v>
      </c>
      <c r="T255">
        <v>0</v>
      </c>
      <c r="U255">
        <v>10</v>
      </c>
      <c r="V255">
        <v>20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f t="shared" si="3"/>
        <v>100</v>
      </c>
      <c r="AJ255" t="s">
        <v>14</v>
      </c>
      <c r="AK255">
        <f>0.45*S255</f>
        <v>15.75</v>
      </c>
    </row>
    <row r="256" spans="1:37" x14ac:dyDescent="0.35">
      <c r="A256" t="s">
        <v>28</v>
      </c>
      <c r="B256">
        <v>182</v>
      </c>
      <c r="C256" t="s">
        <v>282</v>
      </c>
      <c r="D256" s="2">
        <v>38210</v>
      </c>
      <c r="E256">
        <v>0</v>
      </c>
      <c r="F256" s="3">
        <v>0.62847222222222221</v>
      </c>
      <c r="G256" s="3">
        <v>0.63888888888888895</v>
      </c>
      <c r="H256">
        <v>25.1</v>
      </c>
      <c r="I256">
        <v>36</v>
      </c>
      <c r="J256">
        <v>2</v>
      </c>
      <c r="K256">
        <v>3</v>
      </c>
      <c r="L256">
        <v>50</v>
      </c>
      <c r="M256">
        <v>20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25</v>
      </c>
      <c r="T256">
        <v>0</v>
      </c>
      <c r="U256">
        <v>0</v>
      </c>
      <c r="V256">
        <v>0</v>
      </c>
      <c r="W256">
        <v>4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f t="shared" si="3"/>
        <v>100</v>
      </c>
      <c r="AJ256" t="s">
        <v>14</v>
      </c>
      <c r="AK256">
        <f>0.6*S256</f>
        <v>15</v>
      </c>
    </row>
    <row r="257" spans="1:37" x14ac:dyDescent="0.35">
      <c r="A257" t="s">
        <v>28</v>
      </c>
      <c r="B257">
        <v>183</v>
      </c>
      <c r="C257" t="s">
        <v>283</v>
      </c>
      <c r="D257" s="2">
        <v>38210</v>
      </c>
      <c r="E257" t="s">
        <v>54</v>
      </c>
      <c r="F257" s="3">
        <v>0.64861111111111114</v>
      </c>
      <c r="G257" s="3">
        <v>0.66249999999999998</v>
      </c>
      <c r="H257">
        <v>24.4</v>
      </c>
      <c r="I257">
        <v>43</v>
      </c>
      <c r="J257">
        <v>3</v>
      </c>
      <c r="K257">
        <v>3</v>
      </c>
      <c r="L257">
        <v>7</v>
      </c>
      <c r="M257">
        <v>10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70</v>
      </c>
      <c r="T257">
        <v>0</v>
      </c>
      <c r="U257">
        <v>0</v>
      </c>
      <c r="V257">
        <v>12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f t="shared" si="3"/>
        <v>100</v>
      </c>
      <c r="AJ257" t="s">
        <v>14</v>
      </c>
      <c r="AK257">
        <f>0.5*S257</f>
        <v>35</v>
      </c>
    </row>
    <row r="258" spans="1:37" x14ac:dyDescent="0.35">
      <c r="A258" t="s">
        <v>28</v>
      </c>
      <c r="B258">
        <v>184</v>
      </c>
      <c r="C258" t="s">
        <v>284</v>
      </c>
      <c r="D258" s="2">
        <v>38210</v>
      </c>
      <c r="E258" t="s">
        <v>47</v>
      </c>
      <c r="F258" s="3">
        <v>0.66805555555555562</v>
      </c>
      <c r="G258" s="3">
        <v>0.67847222222222225</v>
      </c>
      <c r="H258">
        <v>24.4</v>
      </c>
      <c r="I258">
        <v>43</v>
      </c>
      <c r="J258">
        <v>1</v>
      </c>
      <c r="K258">
        <v>3</v>
      </c>
      <c r="L258">
        <v>53</v>
      </c>
      <c r="M258">
        <v>10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20</v>
      </c>
      <c r="T258">
        <v>0</v>
      </c>
      <c r="U258">
        <v>3</v>
      </c>
      <c r="V258">
        <v>10</v>
      </c>
      <c r="W258">
        <v>0</v>
      </c>
      <c r="X258">
        <v>0</v>
      </c>
      <c r="Y258">
        <v>0</v>
      </c>
      <c r="Z258">
        <v>3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f t="shared" ref="AI258:AI321" si="4">SUM(L258:AH258)</f>
        <v>100</v>
      </c>
      <c r="AJ258" t="s">
        <v>14</v>
      </c>
      <c r="AK258">
        <f>0.1*S258</f>
        <v>2</v>
      </c>
    </row>
    <row r="259" spans="1:37" x14ac:dyDescent="0.35">
      <c r="A259" t="s">
        <v>28</v>
      </c>
      <c r="B259">
        <v>184</v>
      </c>
      <c r="C259" t="s">
        <v>284</v>
      </c>
      <c r="D259" s="2">
        <v>38210</v>
      </c>
      <c r="E259" t="s">
        <v>47</v>
      </c>
      <c r="F259" s="3">
        <v>0.66805555555555562</v>
      </c>
      <c r="G259" s="3">
        <v>0.67847222222222225</v>
      </c>
      <c r="H259">
        <v>24.4</v>
      </c>
      <c r="I259">
        <v>43</v>
      </c>
      <c r="J259">
        <v>1</v>
      </c>
      <c r="K259">
        <v>3</v>
      </c>
      <c r="L259">
        <v>53</v>
      </c>
      <c r="M259">
        <v>10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20</v>
      </c>
      <c r="T259">
        <v>0</v>
      </c>
      <c r="U259">
        <v>3</v>
      </c>
      <c r="V259">
        <v>10</v>
      </c>
      <c r="W259">
        <v>0</v>
      </c>
      <c r="X259">
        <v>0</v>
      </c>
      <c r="Y259">
        <v>0</v>
      </c>
      <c r="Z259">
        <v>3</v>
      </c>
      <c r="AA259">
        <v>0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f t="shared" si="4"/>
        <v>100</v>
      </c>
      <c r="AJ259" t="s">
        <v>89</v>
      </c>
      <c r="AK259">
        <f>0.13*Z259</f>
        <v>0.39</v>
      </c>
    </row>
    <row r="260" spans="1:37" x14ac:dyDescent="0.35">
      <c r="A260" t="s">
        <v>28</v>
      </c>
      <c r="B260">
        <v>179</v>
      </c>
      <c r="C260" t="s">
        <v>279</v>
      </c>
      <c r="D260" s="2">
        <v>38210</v>
      </c>
      <c r="E260" t="s">
        <v>33</v>
      </c>
      <c r="F260" s="3">
        <v>0.57152777777777775</v>
      </c>
      <c r="G260" s="3">
        <v>0.58194444444444449</v>
      </c>
      <c r="H260">
        <v>24.7</v>
      </c>
      <c r="I260">
        <v>35</v>
      </c>
      <c r="J260">
        <v>3</v>
      </c>
      <c r="K260">
        <v>3</v>
      </c>
      <c r="L260">
        <v>9</v>
      </c>
      <c r="M260">
        <v>9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29</v>
      </c>
      <c r="T260">
        <v>34</v>
      </c>
      <c r="U260">
        <v>0</v>
      </c>
      <c r="V260">
        <v>0</v>
      </c>
      <c r="W260">
        <v>17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f t="shared" si="4"/>
        <v>100</v>
      </c>
      <c r="AJ260" t="s">
        <v>15</v>
      </c>
      <c r="AK260">
        <f>0.05*T260</f>
        <v>1.7000000000000002</v>
      </c>
    </row>
    <row r="261" spans="1:37" x14ac:dyDescent="0.35">
      <c r="A261" t="s">
        <v>28</v>
      </c>
      <c r="B261">
        <v>182</v>
      </c>
      <c r="C261" t="s">
        <v>282</v>
      </c>
      <c r="D261" s="2">
        <v>38210</v>
      </c>
      <c r="E261">
        <v>0</v>
      </c>
      <c r="F261" s="3">
        <v>0.62847222222222221</v>
      </c>
      <c r="G261" s="3">
        <v>0.63888888888888895</v>
      </c>
      <c r="H261">
        <v>25.1</v>
      </c>
      <c r="I261">
        <v>36</v>
      </c>
      <c r="J261">
        <v>2</v>
      </c>
      <c r="K261">
        <v>3</v>
      </c>
      <c r="L261">
        <v>50</v>
      </c>
      <c r="M261">
        <v>20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25</v>
      </c>
      <c r="T261">
        <v>0</v>
      </c>
      <c r="U261">
        <v>0</v>
      </c>
      <c r="V261">
        <v>0</v>
      </c>
      <c r="W261">
        <v>4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f t="shared" si="4"/>
        <v>100</v>
      </c>
      <c r="AJ261" t="s">
        <v>19</v>
      </c>
      <c r="AK261">
        <f>0.4*AA261</f>
        <v>0.4</v>
      </c>
    </row>
    <row r="262" spans="1:37" x14ac:dyDescent="0.35">
      <c r="A262" t="s">
        <v>28</v>
      </c>
      <c r="B262">
        <v>183</v>
      </c>
      <c r="C262" t="s">
        <v>283</v>
      </c>
      <c r="D262" s="2">
        <v>38210</v>
      </c>
      <c r="E262" t="s">
        <v>54</v>
      </c>
      <c r="F262" s="3">
        <v>0.64861111111111114</v>
      </c>
      <c r="G262" s="3">
        <v>0.66249999999999998</v>
      </c>
      <c r="H262">
        <v>24.4</v>
      </c>
      <c r="I262">
        <v>43</v>
      </c>
      <c r="J262">
        <v>3</v>
      </c>
      <c r="K262">
        <v>3</v>
      </c>
      <c r="L262">
        <v>7</v>
      </c>
      <c r="M262">
        <v>10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70</v>
      </c>
      <c r="T262">
        <v>0</v>
      </c>
      <c r="U262">
        <v>0</v>
      </c>
      <c r="V262">
        <v>12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f t="shared" si="4"/>
        <v>100</v>
      </c>
      <c r="AJ262" t="s">
        <v>18</v>
      </c>
      <c r="AK262">
        <f>2/5*Y262</f>
        <v>0.4</v>
      </c>
    </row>
    <row r="263" spans="1:37" x14ac:dyDescent="0.35">
      <c r="A263" t="s">
        <v>28</v>
      </c>
      <c r="B263">
        <v>181</v>
      </c>
      <c r="C263" t="s">
        <v>281</v>
      </c>
      <c r="D263" s="2">
        <v>38210</v>
      </c>
      <c r="E263" t="s">
        <v>34</v>
      </c>
      <c r="F263" s="3">
        <v>0.60972222222222217</v>
      </c>
      <c r="G263" s="3">
        <v>0.62013888888888891</v>
      </c>
      <c r="H263">
        <v>23.8</v>
      </c>
      <c r="I263">
        <v>41</v>
      </c>
      <c r="J263">
        <v>2</v>
      </c>
      <c r="K263">
        <v>3</v>
      </c>
      <c r="L263">
        <v>20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15</v>
      </c>
      <c r="S263">
        <v>35</v>
      </c>
      <c r="T263">
        <v>0</v>
      </c>
      <c r="U263">
        <v>10</v>
      </c>
      <c r="V263">
        <v>20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f t="shared" si="4"/>
        <v>100</v>
      </c>
      <c r="AJ263" t="s">
        <v>16</v>
      </c>
      <c r="AK263">
        <f>0.1*U263</f>
        <v>1</v>
      </c>
    </row>
    <row r="264" spans="1:37" x14ac:dyDescent="0.35">
      <c r="A264" t="s">
        <v>28</v>
      </c>
      <c r="B264">
        <v>184</v>
      </c>
      <c r="C264" t="s">
        <v>284</v>
      </c>
      <c r="D264" s="2">
        <v>38210</v>
      </c>
      <c r="E264" t="s">
        <v>47</v>
      </c>
      <c r="F264" s="3">
        <v>0.66805555555555562</v>
      </c>
      <c r="G264" s="3">
        <v>0.67847222222222225</v>
      </c>
      <c r="H264">
        <v>24.4</v>
      </c>
      <c r="I264">
        <v>43</v>
      </c>
      <c r="J264">
        <v>1</v>
      </c>
      <c r="K264">
        <v>3</v>
      </c>
      <c r="L264">
        <v>53</v>
      </c>
      <c r="M264">
        <v>10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  <c r="U264">
        <v>3</v>
      </c>
      <c r="V264">
        <v>10</v>
      </c>
      <c r="W264">
        <v>0</v>
      </c>
      <c r="X264">
        <v>0</v>
      </c>
      <c r="Y264">
        <v>0</v>
      </c>
      <c r="Z264">
        <v>3</v>
      </c>
      <c r="AA264">
        <v>0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f t="shared" si="4"/>
        <v>100</v>
      </c>
      <c r="AJ264" t="s">
        <v>16</v>
      </c>
      <c r="AK264">
        <f>0.1*U264</f>
        <v>0.30000000000000004</v>
      </c>
    </row>
    <row r="265" spans="1:37" x14ac:dyDescent="0.35">
      <c r="A265" t="s">
        <v>28</v>
      </c>
      <c r="B265">
        <v>180</v>
      </c>
      <c r="C265" t="s">
        <v>280</v>
      </c>
      <c r="D265" s="2">
        <v>38210</v>
      </c>
      <c r="E265" t="s">
        <v>36</v>
      </c>
      <c r="F265" s="3">
        <v>0.58819444444444446</v>
      </c>
      <c r="G265" s="3">
        <v>0.59861111111111109</v>
      </c>
      <c r="H265">
        <v>24.7</v>
      </c>
      <c r="I265">
        <v>41</v>
      </c>
      <c r="J265">
        <v>2</v>
      </c>
      <c r="K265">
        <v>3</v>
      </c>
      <c r="L265">
        <v>10</v>
      </c>
      <c r="M265">
        <v>75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0</v>
      </c>
      <c r="U265">
        <v>0</v>
      </c>
      <c r="V265">
        <v>5</v>
      </c>
      <c r="W265">
        <v>5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f t="shared" si="4"/>
        <v>100</v>
      </c>
      <c r="AJ265" t="s">
        <v>10</v>
      </c>
      <c r="AK265">
        <f>0.05*M265</f>
        <v>3.75</v>
      </c>
    </row>
    <row r="266" spans="1:37" x14ac:dyDescent="0.35">
      <c r="A266" t="s">
        <v>28</v>
      </c>
      <c r="B266">
        <v>185</v>
      </c>
      <c r="C266" t="s">
        <v>285</v>
      </c>
      <c r="D266" s="2">
        <v>38211</v>
      </c>
      <c r="E266" t="s">
        <v>33</v>
      </c>
      <c r="F266" s="3">
        <v>0.44305555555555554</v>
      </c>
      <c r="G266" s="3">
        <v>0.45347222222222222</v>
      </c>
      <c r="H266">
        <v>22.2</v>
      </c>
      <c r="I266">
        <v>54</v>
      </c>
      <c r="J266">
        <v>2</v>
      </c>
      <c r="K266">
        <v>2</v>
      </c>
      <c r="L266">
        <v>9</v>
      </c>
      <c r="M266">
        <v>9</v>
      </c>
      <c r="N266">
        <v>2</v>
      </c>
      <c r="O266">
        <v>0</v>
      </c>
      <c r="P266">
        <v>0</v>
      </c>
      <c r="Q266">
        <v>0</v>
      </c>
      <c r="R266">
        <v>0</v>
      </c>
      <c r="S266">
        <v>29</v>
      </c>
      <c r="T266">
        <v>34</v>
      </c>
      <c r="U266">
        <v>0</v>
      </c>
      <c r="V266">
        <v>0</v>
      </c>
      <c r="W266">
        <v>17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f t="shared" si="4"/>
        <v>100</v>
      </c>
      <c r="AJ266" t="s">
        <v>14</v>
      </c>
      <c r="AK266">
        <f>0.6*S266</f>
        <v>17.399999999999999</v>
      </c>
    </row>
    <row r="267" spans="1:37" x14ac:dyDescent="0.35">
      <c r="A267" t="s">
        <v>28</v>
      </c>
      <c r="B267">
        <v>186</v>
      </c>
      <c r="C267" t="s">
        <v>286</v>
      </c>
      <c r="D267" s="2">
        <v>38211</v>
      </c>
      <c r="E267">
        <v>0</v>
      </c>
      <c r="F267" s="3">
        <v>0.47083333333333338</v>
      </c>
      <c r="G267" s="3">
        <v>0.48125000000000001</v>
      </c>
      <c r="H267">
        <v>22.8</v>
      </c>
      <c r="I267">
        <v>85</v>
      </c>
      <c r="J267">
        <v>2</v>
      </c>
      <c r="K267">
        <v>2</v>
      </c>
      <c r="L267">
        <v>10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</v>
      </c>
      <c r="S267">
        <v>64</v>
      </c>
      <c r="T267">
        <v>0</v>
      </c>
      <c r="U267">
        <v>0</v>
      </c>
      <c r="V267">
        <v>0</v>
      </c>
      <c r="W267">
        <v>5</v>
      </c>
      <c r="X267">
        <v>0</v>
      </c>
      <c r="Y267">
        <v>0</v>
      </c>
      <c r="Z267">
        <v>0</v>
      </c>
      <c r="AA267">
        <v>5</v>
      </c>
      <c r="AB267">
        <v>0</v>
      </c>
      <c r="AC267">
        <v>0</v>
      </c>
      <c r="AD267">
        <v>1</v>
      </c>
      <c r="AE267">
        <v>0</v>
      </c>
      <c r="AF267">
        <v>0</v>
      </c>
      <c r="AG267">
        <v>0</v>
      </c>
      <c r="AH267">
        <v>0</v>
      </c>
      <c r="AI267">
        <f t="shared" si="4"/>
        <v>100</v>
      </c>
      <c r="AJ267" t="s">
        <v>14</v>
      </c>
      <c r="AK267">
        <f>0.6*S267</f>
        <v>38.4</v>
      </c>
    </row>
    <row r="268" spans="1:37" x14ac:dyDescent="0.35">
      <c r="A268" t="s">
        <v>28</v>
      </c>
      <c r="B268">
        <v>187</v>
      </c>
      <c r="C268" t="s">
        <v>287</v>
      </c>
      <c r="D268" s="2">
        <v>38211</v>
      </c>
      <c r="E268" t="s">
        <v>54</v>
      </c>
      <c r="F268" s="3">
        <v>0.50138888888888888</v>
      </c>
      <c r="G268" s="3">
        <v>0.51180555555555551</v>
      </c>
      <c r="H268">
        <v>23.8</v>
      </c>
      <c r="I268">
        <v>73</v>
      </c>
      <c r="J268">
        <v>2</v>
      </c>
      <c r="K268">
        <v>2</v>
      </c>
      <c r="L268">
        <v>7</v>
      </c>
      <c r="M268">
        <v>10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70</v>
      </c>
      <c r="T268">
        <v>0</v>
      </c>
      <c r="U268">
        <v>0</v>
      </c>
      <c r="V268">
        <v>12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100</v>
      </c>
      <c r="AJ268" t="s">
        <v>14</v>
      </c>
      <c r="AK268">
        <f>0.5*S268</f>
        <v>35</v>
      </c>
    </row>
    <row r="269" spans="1:37" x14ac:dyDescent="0.35">
      <c r="A269" t="s">
        <v>28</v>
      </c>
      <c r="B269">
        <v>188</v>
      </c>
      <c r="C269" t="s">
        <v>288</v>
      </c>
      <c r="D269" s="2">
        <v>38211</v>
      </c>
      <c r="E269" t="s">
        <v>47</v>
      </c>
      <c r="F269" s="3">
        <v>0.51736111111111105</v>
      </c>
      <c r="G269" s="3">
        <v>0.52777777777777779</v>
      </c>
      <c r="H269">
        <v>24.2</v>
      </c>
      <c r="I269">
        <v>46</v>
      </c>
      <c r="J269">
        <v>2</v>
      </c>
      <c r="K269">
        <v>3</v>
      </c>
      <c r="L269">
        <v>53</v>
      </c>
      <c r="M269">
        <v>10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20</v>
      </c>
      <c r="T269">
        <v>0</v>
      </c>
      <c r="U269">
        <v>3</v>
      </c>
      <c r="V269">
        <v>10</v>
      </c>
      <c r="W269">
        <v>0</v>
      </c>
      <c r="X269">
        <v>0</v>
      </c>
      <c r="Y269">
        <v>0</v>
      </c>
      <c r="Z269">
        <v>3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f t="shared" si="4"/>
        <v>100</v>
      </c>
      <c r="AJ269" t="s">
        <v>14</v>
      </c>
      <c r="AK269">
        <f>0.15*S269</f>
        <v>3</v>
      </c>
    </row>
    <row r="270" spans="1:37" x14ac:dyDescent="0.35">
      <c r="A270" t="s">
        <v>28</v>
      </c>
      <c r="B270">
        <v>188</v>
      </c>
      <c r="C270" t="s">
        <v>288</v>
      </c>
      <c r="D270" s="2">
        <v>38211</v>
      </c>
      <c r="E270" t="s">
        <v>47</v>
      </c>
      <c r="F270" s="3">
        <v>0.51736111111111105</v>
      </c>
      <c r="G270" s="3">
        <v>0.52777777777777779</v>
      </c>
      <c r="H270">
        <v>24.2</v>
      </c>
      <c r="I270">
        <v>46</v>
      </c>
      <c r="J270">
        <v>2</v>
      </c>
      <c r="K270">
        <v>3</v>
      </c>
      <c r="L270">
        <v>53</v>
      </c>
      <c r="M270">
        <v>10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20</v>
      </c>
      <c r="T270">
        <v>0</v>
      </c>
      <c r="U270">
        <v>3</v>
      </c>
      <c r="V270">
        <v>10</v>
      </c>
      <c r="W270">
        <v>0</v>
      </c>
      <c r="X270">
        <v>0</v>
      </c>
      <c r="Y270">
        <v>0</v>
      </c>
      <c r="Z270">
        <v>3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f t="shared" si="4"/>
        <v>100</v>
      </c>
      <c r="AJ270" t="s">
        <v>89</v>
      </c>
      <c r="AK270">
        <f>0.13*Z270</f>
        <v>0.39</v>
      </c>
    </row>
    <row r="271" spans="1:37" x14ac:dyDescent="0.35">
      <c r="A271" t="s">
        <v>28</v>
      </c>
      <c r="B271">
        <v>185</v>
      </c>
      <c r="C271" t="s">
        <v>285</v>
      </c>
      <c r="D271" s="2">
        <v>38211</v>
      </c>
      <c r="E271" t="s">
        <v>33</v>
      </c>
      <c r="F271" s="3">
        <v>0.44305555555555554</v>
      </c>
      <c r="G271" s="3">
        <v>0.45347222222222222</v>
      </c>
      <c r="H271">
        <v>22.2</v>
      </c>
      <c r="I271">
        <v>54</v>
      </c>
      <c r="J271">
        <v>2</v>
      </c>
      <c r="K271">
        <v>2</v>
      </c>
      <c r="L271">
        <v>9</v>
      </c>
      <c r="M271">
        <v>9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29</v>
      </c>
      <c r="T271">
        <v>34</v>
      </c>
      <c r="U271">
        <v>0</v>
      </c>
      <c r="V271">
        <v>0</v>
      </c>
      <c r="W271">
        <v>17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f t="shared" si="4"/>
        <v>100</v>
      </c>
      <c r="AJ271" t="s">
        <v>15</v>
      </c>
      <c r="AK271">
        <f>0.05*T271</f>
        <v>1.7000000000000002</v>
      </c>
    </row>
    <row r="272" spans="1:37" x14ac:dyDescent="0.35">
      <c r="A272" t="s">
        <v>28</v>
      </c>
      <c r="B272">
        <v>187</v>
      </c>
      <c r="C272" t="s">
        <v>287</v>
      </c>
      <c r="D272" s="2">
        <v>38211</v>
      </c>
      <c r="E272" t="s">
        <v>54</v>
      </c>
      <c r="F272" s="3">
        <v>0.50138888888888888</v>
      </c>
      <c r="G272" s="3">
        <v>0.51180555555555551</v>
      </c>
      <c r="H272">
        <v>23.8</v>
      </c>
      <c r="I272">
        <v>73</v>
      </c>
      <c r="J272">
        <v>2</v>
      </c>
      <c r="K272">
        <v>2</v>
      </c>
      <c r="L272">
        <v>7</v>
      </c>
      <c r="M272">
        <v>10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70</v>
      </c>
      <c r="T272">
        <v>0</v>
      </c>
      <c r="U272">
        <v>0</v>
      </c>
      <c r="V272">
        <v>12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f t="shared" si="4"/>
        <v>100</v>
      </c>
      <c r="AJ272" t="s">
        <v>18</v>
      </c>
      <c r="AK272">
        <f>3/5*Y272</f>
        <v>0.6</v>
      </c>
    </row>
    <row r="273" spans="1:37" x14ac:dyDescent="0.35">
      <c r="A273" t="s">
        <v>28</v>
      </c>
      <c r="B273">
        <v>188</v>
      </c>
      <c r="C273" t="s">
        <v>288</v>
      </c>
      <c r="D273" s="2">
        <v>38211</v>
      </c>
      <c r="E273" t="s">
        <v>47</v>
      </c>
      <c r="F273" s="3">
        <v>0.51736111111111105</v>
      </c>
      <c r="G273" s="3">
        <v>0.52777777777777779</v>
      </c>
      <c r="H273">
        <v>24.2</v>
      </c>
      <c r="I273">
        <v>46</v>
      </c>
      <c r="J273">
        <v>2</v>
      </c>
      <c r="K273">
        <v>3</v>
      </c>
      <c r="L273">
        <v>53</v>
      </c>
      <c r="M273">
        <v>10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20</v>
      </c>
      <c r="T273">
        <v>0</v>
      </c>
      <c r="U273">
        <v>3</v>
      </c>
      <c r="V273">
        <v>10</v>
      </c>
      <c r="W273">
        <v>0</v>
      </c>
      <c r="X273">
        <v>0</v>
      </c>
      <c r="Y273">
        <v>0</v>
      </c>
      <c r="Z273">
        <v>3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f t="shared" si="4"/>
        <v>100</v>
      </c>
      <c r="AJ273" t="s">
        <v>16</v>
      </c>
      <c r="AK273">
        <f>0.1*U273</f>
        <v>0.30000000000000004</v>
      </c>
    </row>
    <row r="274" spans="1:37" x14ac:dyDescent="0.35">
      <c r="A274" t="s">
        <v>28</v>
      </c>
      <c r="B274">
        <v>186</v>
      </c>
      <c r="C274" t="s">
        <v>286</v>
      </c>
      <c r="D274" s="2">
        <v>38211</v>
      </c>
      <c r="E274">
        <v>0</v>
      </c>
      <c r="F274" s="3">
        <v>0.47083333333333338</v>
      </c>
      <c r="G274" s="3">
        <v>0.48125000000000001</v>
      </c>
      <c r="H274">
        <v>22.8</v>
      </c>
      <c r="I274">
        <v>85</v>
      </c>
      <c r="J274">
        <v>2</v>
      </c>
      <c r="K274">
        <v>2</v>
      </c>
      <c r="L274">
        <v>10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15</v>
      </c>
      <c r="S274">
        <v>64</v>
      </c>
      <c r="T274">
        <v>0</v>
      </c>
      <c r="U274">
        <v>0</v>
      </c>
      <c r="V274">
        <v>0</v>
      </c>
      <c r="W274">
        <v>5</v>
      </c>
      <c r="X274">
        <v>0</v>
      </c>
      <c r="Y274">
        <v>0</v>
      </c>
      <c r="Z274">
        <v>0</v>
      </c>
      <c r="AA274">
        <v>5</v>
      </c>
      <c r="AB274">
        <v>0</v>
      </c>
      <c r="AC274">
        <v>0</v>
      </c>
      <c r="AD274">
        <v>1</v>
      </c>
      <c r="AE274">
        <v>0</v>
      </c>
      <c r="AF274">
        <v>0</v>
      </c>
      <c r="AG274">
        <v>0</v>
      </c>
      <c r="AH274">
        <v>0</v>
      </c>
      <c r="AI274">
        <f t="shared" si="4"/>
        <v>100</v>
      </c>
      <c r="AJ274" t="s">
        <v>21</v>
      </c>
      <c r="AK274">
        <f>0.28*AD274</f>
        <v>0.28000000000000003</v>
      </c>
    </row>
    <row r="275" spans="1:37" x14ac:dyDescent="0.35">
      <c r="A275" t="s">
        <v>28</v>
      </c>
      <c r="B275">
        <v>189</v>
      </c>
      <c r="C275" t="s">
        <v>289</v>
      </c>
      <c r="D275" s="2">
        <v>38211</v>
      </c>
      <c r="E275" t="s">
        <v>33</v>
      </c>
      <c r="F275" s="3">
        <v>0.54097222222222219</v>
      </c>
      <c r="G275" s="3">
        <v>0.55138888888888882</v>
      </c>
      <c r="H275">
        <v>24.6</v>
      </c>
      <c r="I275">
        <v>49</v>
      </c>
      <c r="J275">
        <v>1</v>
      </c>
      <c r="K275">
        <v>2</v>
      </c>
      <c r="L275">
        <v>50</v>
      </c>
      <c r="M275">
        <v>40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f t="shared" si="4"/>
        <v>100</v>
      </c>
      <c r="AJ275" t="s">
        <v>10</v>
      </c>
      <c r="AK275">
        <f>0.05*M275</f>
        <v>2</v>
      </c>
    </row>
    <row r="276" spans="1:37" x14ac:dyDescent="0.35">
      <c r="A276" t="s">
        <v>28</v>
      </c>
      <c r="B276">
        <v>190</v>
      </c>
      <c r="C276" t="s">
        <v>290</v>
      </c>
      <c r="D276" s="2">
        <v>38215</v>
      </c>
      <c r="E276" t="s">
        <v>33</v>
      </c>
      <c r="F276" s="3">
        <v>0.47430555555555554</v>
      </c>
      <c r="G276" s="3">
        <v>0.48472222222222222</v>
      </c>
      <c r="H276">
        <v>21.5</v>
      </c>
      <c r="I276">
        <v>63</v>
      </c>
      <c r="J276">
        <v>4</v>
      </c>
      <c r="K276">
        <v>2</v>
      </c>
      <c r="L276">
        <v>10</v>
      </c>
      <c r="M276">
        <v>10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10</v>
      </c>
      <c r="T276">
        <v>70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f t="shared" si="4"/>
        <v>100</v>
      </c>
      <c r="AJ276" t="s">
        <v>14</v>
      </c>
      <c r="AK276">
        <f>0.7*S276</f>
        <v>7</v>
      </c>
    </row>
    <row r="277" spans="1:37" x14ac:dyDescent="0.35">
      <c r="A277" t="s">
        <v>28</v>
      </c>
      <c r="B277">
        <v>193</v>
      </c>
      <c r="C277" t="s">
        <v>291</v>
      </c>
      <c r="D277" s="2">
        <v>38215</v>
      </c>
      <c r="E277" t="s">
        <v>47</v>
      </c>
      <c r="F277" s="3">
        <v>0.55694444444444446</v>
      </c>
      <c r="G277" s="3">
        <v>0.56736111111111109</v>
      </c>
      <c r="H277">
        <v>20.8</v>
      </c>
      <c r="I277">
        <v>56</v>
      </c>
      <c r="J277">
        <v>5</v>
      </c>
      <c r="K277">
        <v>1</v>
      </c>
      <c r="L277">
        <v>0</v>
      </c>
      <c r="M277">
        <v>15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60</v>
      </c>
      <c r="T277">
        <v>0</v>
      </c>
      <c r="U277">
        <v>0</v>
      </c>
      <c r="V277">
        <v>0</v>
      </c>
      <c r="W277">
        <v>25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f t="shared" si="4"/>
        <v>100</v>
      </c>
      <c r="AJ277" t="s">
        <v>14</v>
      </c>
      <c r="AK277">
        <f>0.5*S277</f>
        <v>30</v>
      </c>
    </row>
    <row r="278" spans="1:37" x14ac:dyDescent="0.35">
      <c r="A278" t="s">
        <v>28</v>
      </c>
      <c r="B278">
        <v>190</v>
      </c>
      <c r="C278" t="s">
        <v>290</v>
      </c>
      <c r="D278" s="2">
        <v>38215</v>
      </c>
      <c r="E278" t="s">
        <v>33</v>
      </c>
      <c r="F278" s="3">
        <v>0.47430555555555554</v>
      </c>
      <c r="G278" s="3">
        <v>0.48472222222222222</v>
      </c>
      <c r="H278">
        <v>21.5</v>
      </c>
      <c r="I278">
        <v>63</v>
      </c>
      <c r="J278">
        <v>4</v>
      </c>
      <c r="K278">
        <v>2</v>
      </c>
      <c r="L278">
        <v>10</v>
      </c>
      <c r="M278">
        <v>10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10</v>
      </c>
      <c r="T278">
        <v>70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f t="shared" si="4"/>
        <v>100</v>
      </c>
      <c r="AJ278" t="s">
        <v>15</v>
      </c>
      <c r="AK278">
        <f>0.03*T278</f>
        <v>2.1</v>
      </c>
    </row>
    <row r="279" spans="1:37" x14ac:dyDescent="0.35">
      <c r="A279" t="s">
        <v>28</v>
      </c>
      <c r="B279">
        <v>191</v>
      </c>
      <c r="C279" t="s">
        <v>292</v>
      </c>
      <c r="D279" s="2">
        <v>38215</v>
      </c>
      <c r="E279" t="s">
        <v>33</v>
      </c>
      <c r="F279" s="3">
        <v>0.5</v>
      </c>
      <c r="G279" s="3">
        <v>0.51041666666666663</v>
      </c>
      <c r="H279">
        <v>22.1</v>
      </c>
      <c r="I279">
        <v>65</v>
      </c>
      <c r="J279">
        <v>3</v>
      </c>
      <c r="K279">
        <v>1</v>
      </c>
      <c r="L279">
        <v>72</v>
      </c>
      <c r="M279">
        <v>5</v>
      </c>
      <c r="N279">
        <v>1</v>
      </c>
      <c r="O279">
        <v>0</v>
      </c>
      <c r="P279">
        <v>0</v>
      </c>
      <c r="Q279">
        <v>0</v>
      </c>
      <c r="R279">
        <v>7</v>
      </c>
      <c r="S279">
        <v>0</v>
      </c>
      <c r="T279">
        <v>0</v>
      </c>
      <c r="U279">
        <v>10</v>
      </c>
      <c r="V279">
        <v>5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f t="shared" si="4"/>
        <v>100</v>
      </c>
      <c r="AJ279" t="s">
        <v>16</v>
      </c>
      <c r="AK279">
        <f>0.15*U279</f>
        <v>1.5</v>
      </c>
    </row>
    <row r="280" spans="1:37" x14ac:dyDescent="0.35">
      <c r="A280" t="s">
        <v>28</v>
      </c>
      <c r="B280">
        <v>190</v>
      </c>
      <c r="C280" t="s">
        <v>290</v>
      </c>
      <c r="D280" s="2">
        <v>38215</v>
      </c>
      <c r="E280" t="s">
        <v>33</v>
      </c>
      <c r="F280" s="3">
        <v>0.47430555555555554</v>
      </c>
      <c r="G280" s="3">
        <v>0.48472222222222222</v>
      </c>
      <c r="H280">
        <v>21.5</v>
      </c>
      <c r="I280">
        <v>63</v>
      </c>
      <c r="J280">
        <v>4</v>
      </c>
      <c r="K280">
        <v>2</v>
      </c>
      <c r="L280">
        <v>10</v>
      </c>
      <c r="M280">
        <v>10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10</v>
      </c>
      <c r="T280">
        <v>70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f t="shared" si="4"/>
        <v>100</v>
      </c>
      <c r="AJ280" t="s">
        <v>10</v>
      </c>
      <c r="AK280">
        <f>0.02*M280</f>
        <v>0.2</v>
      </c>
    </row>
    <row r="281" spans="1:37" x14ac:dyDescent="0.35">
      <c r="A281" t="s">
        <v>28</v>
      </c>
      <c r="B281">
        <v>192</v>
      </c>
      <c r="C281" t="s">
        <v>293</v>
      </c>
      <c r="D281" s="2">
        <v>38215</v>
      </c>
      <c r="E281" t="s">
        <v>33</v>
      </c>
      <c r="F281" s="3">
        <v>0.5180555555555556</v>
      </c>
      <c r="G281" s="3">
        <v>0.52847222222222223</v>
      </c>
      <c r="H281">
        <v>22.4</v>
      </c>
      <c r="I281">
        <v>55</v>
      </c>
      <c r="J281">
        <v>4</v>
      </c>
      <c r="K281">
        <v>1</v>
      </c>
      <c r="L281">
        <v>65</v>
      </c>
      <c r="M281">
        <v>31</v>
      </c>
      <c r="N281">
        <v>2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f t="shared" si="4"/>
        <v>100</v>
      </c>
      <c r="AJ281" t="s">
        <v>10</v>
      </c>
      <c r="AK281">
        <f>0.05*M281</f>
        <v>1.55</v>
      </c>
    </row>
    <row r="282" spans="1:37" x14ac:dyDescent="0.35">
      <c r="A282" t="s">
        <v>28</v>
      </c>
      <c r="B282">
        <v>193</v>
      </c>
      <c r="C282" t="s">
        <v>291</v>
      </c>
      <c r="D282" s="2">
        <v>38215</v>
      </c>
      <c r="E282" t="s">
        <v>47</v>
      </c>
      <c r="F282" s="3">
        <v>0.55694444444444446</v>
      </c>
      <c r="G282" s="3">
        <v>0.56736111111111109</v>
      </c>
      <c r="H282">
        <v>20.8</v>
      </c>
      <c r="I282">
        <v>56</v>
      </c>
      <c r="J282">
        <v>5</v>
      </c>
      <c r="K282">
        <v>1</v>
      </c>
      <c r="L282">
        <v>0</v>
      </c>
      <c r="M282">
        <v>15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60</v>
      </c>
      <c r="T282">
        <v>0</v>
      </c>
      <c r="U282">
        <v>0</v>
      </c>
      <c r="V282">
        <v>0</v>
      </c>
      <c r="W282">
        <v>25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f t="shared" si="4"/>
        <v>100</v>
      </c>
      <c r="AJ282" t="s">
        <v>10</v>
      </c>
      <c r="AK282">
        <f>0.01*M282</f>
        <v>0.15</v>
      </c>
    </row>
    <row r="283" spans="1:37" x14ac:dyDescent="0.35">
      <c r="A283" t="s">
        <v>28</v>
      </c>
      <c r="B283">
        <v>194</v>
      </c>
      <c r="C283" t="s">
        <v>294</v>
      </c>
      <c r="D283" s="2">
        <v>38217</v>
      </c>
      <c r="E283" t="s">
        <v>34</v>
      </c>
      <c r="F283" s="3">
        <v>0.46250000000000002</v>
      </c>
      <c r="G283" s="3">
        <v>0.47291666666666665</v>
      </c>
      <c r="H283">
        <v>21.3</v>
      </c>
      <c r="I283">
        <v>75</v>
      </c>
      <c r="J283">
        <v>1</v>
      </c>
      <c r="K283">
        <v>2</v>
      </c>
      <c r="L283">
        <v>36</v>
      </c>
      <c r="M283">
        <v>1</v>
      </c>
      <c r="N283">
        <v>2</v>
      </c>
      <c r="O283">
        <v>0</v>
      </c>
      <c r="P283">
        <v>0</v>
      </c>
      <c r="Q283">
        <v>0</v>
      </c>
      <c r="R283">
        <v>30</v>
      </c>
      <c r="S283">
        <v>5</v>
      </c>
      <c r="T283">
        <v>0</v>
      </c>
      <c r="U283">
        <v>25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f t="shared" si="4"/>
        <v>100</v>
      </c>
      <c r="AJ283" t="s">
        <v>14</v>
      </c>
      <c r="AK283">
        <f>0.35*S283</f>
        <v>1.75</v>
      </c>
    </row>
    <row r="284" spans="1:37" x14ac:dyDescent="0.35">
      <c r="A284" t="s">
        <v>28</v>
      </c>
      <c r="B284">
        <v>194</v>
      </c>
      <c r="C284" t="s">
        <v>294</v>
      </c>
      <c r="D284" s="2">
        <v>38217</v>
      </c>
      <c r="E284" t="s">
        <v>34</v>
      </c>
      <c r="F284" s="3">
        <v>0.46250000000000002</v>
      </c>
      <c r="G284" s="3">
        <v>0.47291666666666665</v>
      </c>
      <c r="H284">
        <v>21.3</v>
      </c>
      <c r="I284">
        <v>75</v>
      </c>
      <c r="J284">
        <v>1</v>
      </c>
      <c r="K284">
        <v>2</v>
      </c>
      <c r="L284">
        <v>36</v>
      </c>
      <c r="M284">
        <v>1</v>
      </c>
      <c r="N284">
        <v>2</v>
      </c>
      <c r="O284">
        <v>0</v>
      </c>
      <c r="P284">
        <v>0</v>
      </c>
      <c r="Q284">
        <v>0</v>
      </c>
      <c r="R284">
        <v>30</v>
      </c>
      <c r="S284">
        <v>5</v>
      </c>
      <c r="T284">
        <v>0</v>
      </c>
      <c r="U284">
        <v>25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f t="shared" si="4"/>
        <v>100</v>
      </c>
      <c r="AJ284" t="s">
        <v>16</v>
      </c>
      <c r="AK284">
        <f>0.15*U284</f>
        <v>3.75</v>
      </c>
    </row>
    <row r="285" spans="1:37" x14ac:dyDescent="0.35">
      <c r="A285" t="s">
        <v>28</v>
      </c>
      <c r="B285">
        <v>195</v>
      </c>
      <c r="C285" t="s">
        <v>295</v>
      </c>
      <c r="D285" s="2">
        <v>38218</v>
      </c>
      <c r="E285">
        <v>0</v>
      </c>
      <c r="F285" s="3">
        <v>0.55347222222222225</v>
      </c>
      <c r="G285" s="3">
        <v>0.56388888888888888</v>
      </c>
      <c r="H285">
        <v>21.2</v>
      </c>
      <c r="I285">
        <v>68</v>
      </c>
      <c r="J285">
        <v>2</v>
      </c>
      <c r="K285">
        <v>3</v>
      </c>
      <c r="L285">
        <v>5</v>
      </c>
      <c r="M285">
        <v>3</v>
      </c>
      <c r="N285">
        <v>0</v>
      </c>
      <c r="O285">
        <v>0</v>
      </c>
      <c r="P285">
        <v>0</v>
      </c>
      <c r="Q285">
        <v>0</v>
      </c>
      <c r="R285">
        <v>8</v>
      </c>
      <c r="S285">
        <v>70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10</v>
      </c>
      <c r="AB285">
        <v>0</v>
      </c>
      <c r="AC285">
        <v>0</v>
      </c>
      <c r="AD285">
        <v>1</v>
      </c>
      <c r="AE285">
        <v>0</v>
      </c>
      <c r="AF285">
        <v>2</v>
      </c>
      <c r="AG285">
        <v>0</v>
      </c>
      <c r="AH285">
        <v>0</v>
      </c>
      <c r="AI285">
        <f t="shared" si="4"/>
        <v>100</v>
      </c>
      <c r="AJ285" t="s">
        <v>14</v>
      </c>
      <c r="AK285">
        <f>0.5*S285</f>
        <v>35</v>
      </c>
    </row>
    <row r="286" spans="1:37" x14ac:dyDescent="0.35">
      <c r="A286" t="s">
        <v>28</v>
      </c>
      <c r="B286">
        <v>195</v>
      </c>
      <c r="C286" t="s">
        <v>295</v>
      </c>
      <c r="D286" s="2">
        <v>38218</v>
      </c>
      <c r="E286">
        <v>0</v>
      </c>
      <c r="F286" s="3">
        <v>0.55347222222222225</v>
      </c>
      <c r="G286" s="3">
        <v>0.56388888888888888</v>
      </c>
      <c r="H286">
        <v>21.2</v>
      </c>
      <c r="I286">
        <v>68</v>
      </c>
      <c r="J286">
        <v>2</v>
      </c>
      <c r="K286">
        <v>3</v>
      </c>
      <c r="L286">
        <v>5</v>
      </c>
      <c r="M286">
        <v>3</v>
      </c>
      <c r="N286">
        <v>0</v>
      </c>
      <c r="O286">
        <v>0</v>
      </c>
      <c r="P286">
        <v>0</v>
      </c>
      <c r="Q286">
        <v>0</v>
      </c>
      <c r="R286">
        <v>8</v>
      </c>
      <c r="S286">
        <v>70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10</v>
      </c>
      <c r="AB286">
        <v>0</v>
      </c>
      <c r="AC286">
        <v>0</v>
      </c>
      <c r="AD286">
        <v>1</v>
      </c>
      <c r="AE286">
        <v>0</v>
      </c>
      <c r="AF286">
        <v>2</v>
      </c>
      <c r="AG286">
        <v>0</v>
      </c>
      <c r="AH286">
        <v>0</v>
      </c>
      <c r="AI286">
        <f t="shared" si="4"/>
        <v>100</v>
      </c>
      <c r="AJ286" t="s">
        <v>21</v>
      </c>
      <c r="AK286">
        <f>0.9*AD286</f>
        <v>0.9</v>
      </c>
    </row>
    <row r="287" spans="1:37" x14ac:dyDescent="0.35">
      <c r="A287" t="s">
        <v>28</v>
      </c>
      <c r="B287">
        <v>196</v>
      </c>
      <c r="C287" t="s">
        <v>296</v>
      </c>
      <c r="D287" s="2">
        <v>38222</v>
      </c>
      <c r="E287" t="s">
        <v>33</v>
      </c>
      <c r="F287" s="3">
        <v>0.55208333333333337</v>
      </c>
      <c r="G287" s="3">
        <v>0.5625</v>
      </c>
      <c r="H287">
        <f>(18.7+20.9)/2</f>
        <v>19.799999999999997</v>
      </c>
      <c r="I287">
        <v>64</v>
      </c>
      <c r="J287">
        <v>2</v>
      </c>
      <c r="K287">
        <v>1</v>
      </c>
      <c r="L287">
        <v>37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30</v>
      </c>
      <c r="S287">
        <v>10</v>
      </c>
      <c r="T287">
        <v>0</v>
      </c>
      <c r="U287">
        <v>20</v>
      </c>
      <c r="V287">
        <v>3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f t="shared" si="4"/>
        <v>100</v>
      </c>
      <c r="AJ287" t="s">
        <v>14</v>
      </c>
      <c r="AK287">
        <f>0.7*S287</f>
        <v>7</v>
      </c>
    </row>
    <row r="288" spans="1:37" x14ac:dyDescent="0.35">
      <c r="A288" t="s">
        <v>28</v>
      </c>
      <c r="B288">
        <v>197</v>
      </c>
      <c r="C288" t="s">
        <v>297</v>
      </c>
      <c r="D288" s="2">
        <v>38222</v>
      </c>
      <c r="E288" t="s">
        <v>61</v>
      </c>
      <c r="F288" s="3">
        <v>0.56944444444444442</v>
      </c>
      <c r="G288" s="3">
        <v>0.57986111111111105</v>
      </c>
      <c r="H288">
        <v>18.8</v>
      </c>
      <c r="I288">
        <v>63</v>
      </c>
      <c r="J288">
        <v>3</v>
      </c>
      <c r="K288">
        <v>1</v>
      </c>
      <c r="L288">
        <v>1</v>
      </c>
      <c r="M288">
        <v>1</v>
      </c>
      <c r="N288">
        <v>0</v>
      </c>
      <c r="O288">
        <v>0</v>
      </c>
      <c r="P288">
        <v>67</v>
      </c>
      <c r="Q288">
        <v>0</v>
      </c>
      <c r="R288">
        <v>0</v>
      </c>
      <c r="S288">
        <v>30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f t="shared" si="4"/>
        <v>100</v>
      </c>
      <c r="AJ288" t="s">
        <v>14</v>
      </c>
      <c r="AK288">
        <f>0.5*S288</f>
        <v>15</v>
      </c>
    </row>
    <row r="289" spans="1:37" x14ac:dyDescent="0.35">
      <c r="A289" t="s">
        <v>28</v>
      </c>
      <c r="B289">
        <v>198</v>
      </c>
      <c r="C289" t="s">
        <v>298</v>
      </c>
      <c r="D289" s="2">
        <v>38222</v>
      </c>
      <c r="E289">
        <v>0</v>
      </c>
      <c r="F289" s="3">
        <v>0.58472222222222225</v>
      </c>
      <c r="G289" s="3">
        <v>0.59513888888888888</v>
      </c>
      <c r="H289">
        <v>19.5</v>
      </c>
      <c r="I289">
        <v>51</v>
      </c>
      <c r="J289">
        <v>5</v>
      </c>
      <c r="K289">
        <v>1</v>
      </c>
      <c r="L289">
        <v>0</v>
      </c>
      <c r="M289">
        <v>5</v>
      </c>
      <c r="N289">
        <v>0</v>
      </c>
      <c r="O289">
        <v>0</v>
      </c>
      <c r="P289">
        <v>0</v>
      </c>
      <c r="Q289">
        <v>0</v>
      </c>
      <c r="R289">
        <v>13</v>
      </c>
      <c r="S289">
        <v>56</v>
      </c>
      <c r="T289">
        <v>0</v>
      </c>
      <c r="U289">
        <v>0</v>
      </c>
      <c r="V289">
        <v>5</v>
      </c>
      <c r="W289">
        <v>10</v>
      </c>
      <c r="X289">
        <v>0</v>
      </c>
      <c r="Y289">
        <v>0</v>
      </c>
      <c r="Z289">
        <v>0</v>
      </c>
      <c r="AA289">
        <v>5</v>
      </c>
      <c r="AB289">
        <v>0</v>
      </c>
      <c r="AC289">
        <v>0</v>
      </c>
      <c r="AD289">
        <v>1</v>
      </c>
      <c r="AE289">
        <v>0</v>
      </c>
      <c r="AF289">
        <v>5</v>
      </c>
      <c r="AG289">
        <v>0</v>
      </c>
      <c r="AH289">
        <v>0</v>
      </c>
      <c r="AI289">
        <f t="shared" si="4"/>
        <v>100</v>
      </c>
      <c r="AJ289" t="s">
        <v>14</v>
      </c>
      <c r="AK289">
        <f>0.4*S289</f>
        <v>22.400000000000002</v>
      </c>
    </row>
    <row r="290" spans="1:37" x14ac:dyDescent="0.35">
      <c r="A290" t="s">
        <v>28</v>
      </c>
      <c r="B290">
        <v>200</v>
      </c>
      <c r="C290" t="s">
        <v>299</v>
      </c>
      <c r="D290" s="2">
        <v>38222</v>
      </c>
      <c r="E290" t="s">
        <v>33</v>
      </c>
      <c r="F290" s="3">
        <v>0.62361111111111112</v>
      </c>
      <c r="G290" s="3">
        <v>0.63402777777777775</v>
      </c>
      <c r="H290">
        <v>18.8</v>
      </c>
      <c r="I290">
        <v>65</v>
      </c>
      <c r="J290">
        <v>3</v>
      </c>
      <c r="K290">
        <v>1</v>
      </c>
      <c r="L290">
        <v>40</v>
      </c>
      <c r="M290">
        <v>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55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f t="shared" si="4"/>
        <v>100</v>
      </c>
      <c r="AJ290" t="s">
        <v>14</v>
      </c>
      <c r="AK290">
        <f>0.7*S290</f>
        <v>38.5</v>
      </c>
    </row>
    <row r="291" spans="1:37" x14ac:dyDescent="0.35">
      <c r="A291" t="s">
        <v>28</v>
      </c>
      <c r="B291">
        <v>201</v>
      </c>
      <c r="C291" t="s">
        <v>300</v>
      </c>
      <c r="D291" s="2">
        <v>38222</v>
      </c>
      <c r="E291" t="s">
        <v>36</v>
      </c>
      <c r="F291" s="3">
        <v>0.63888888888888895</v>
      </c>
      <c r="G291" s="3">
        <v>0.64930555555555558</v>
      </c>
      <c r="H291">
        <v>17.8</v>
      </c>
      <c r="I291">
        <v>56</v>
      </c>
      <c r="J291">
        <v>3</v>
      </c>
      <c r="K291">
        <v>2</v>
      </c>
      <c r="L291">
        <v>5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90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f t="shared" si="4"/>
        <v>100</v>
      </c>
      <c r="AJ291" t="s">
        <v>15</v>
      </c>
      <c r="AK291">
        <f>0.01*T291</f>
        <v>0.9</v>
      </c>
    </row>
    <row r="292" spans="1:37" x14ac:dyDescent="0.35">
      <c r="A292" t="s">
        <v>28</v>
      </c>
      <c r="B292">
        <v>197</v>
      </c>
      <c r="C292" t="s">
        <v>297</v>
      </c>
      <c r="D292" s="2">
        <v>38222</v>
      </c>
      <c r="E292" t="s">
        <v>61</v>
      </c>
      <c r="F292" s="3">
        <v>0.56944444444444442</v>
      </c>
      <c r="G292" s="3">
        <v>0.57986111111111105</v>
      </c>
      <c r="H292">
        <v>18.8</v>
      </c>
      <c r="I292">
        <v>63</v>
      </c>
      <c r="J292">
        <v>3</v>
      </c>
      <c r="K292">
        <v>1</v>
      </c>
      <c r="L292">
        <v>1</v>
      </c>
      <c r="M292">
        <v>1</v>
      </c>
      <c r="N292">
        <v>0</v>
      </c>
      <c r="O292">
        <v>0</v>
      </c>
      <c r="P292">
        <v>67</v>
      </c>
      <c r="Q292">
        <v>0</v>
      </c>
      <c r="R292">
        <v>0</v>
      </c>
      <c r="S292">
        <v>30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f t="shared" si="4"/>
        <v>100</v>
      </c>
      <c r="AJ292" t="s">
        <v>13</v>
      </c>
      <c r="AK292">
        <f>0.08*P292</f>
        <v>5.36</v>
      </c>
    </row>
    <row r="293" spans="1:37" x14ac:dyDescent="0.35">
      <c r="A293" t="s">
        <v>28</v>
      </c>
      <c r="B293">
        <v>196</v>
      </c>
      <c r="C293" t="s">
        <v>296</v>
      </c>
      <c r="D293" s="2">
        <v>38222</v>
      </c>
      <c r="E293" t="s">
        <v>33</v>
      </c>
      <c r="F293" s="3">
        <v>0.55208333333333337</v>
      </c>
      <c r="G293" s="3">
        <v>0.5625</v>
      </c>
      <c r="H293">
        <f>(18.7+20.9)/2</f>
        <v>19.799999999999997</v>
      </c>
      <c r="I293">
        <v>64</v>
      </c>
      <c r="J293">
        <v>2</v>
      </c>
      <c r="K293">
        <v>1</v>
      </c>
      <c r="L293">
        <v>37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30</v>
      </c>
      <c r="S293">
        <v>10</v>
      </c>
      <c r="T293">
        <v>0</v>
      </c>
      <c r="U293">
        <v>20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f t="shared" si="4"/>
        <v>100</v>
      </c>
      <c r="AJ293" t="s">
        <v>16</v>
      </c>
      <c r="AK293">
        <f>0.1*U293</f>
        <v>2</v>
      </c>
    </row>
    <row r="294" spans="1:37" x14ac:dyDescent="0.35">
      <c r="A294" t="s">
        <v>28</v>
      </c>
      <c r="B294">
        <v>198</v>
      </c>
      <c r="C294" t="s">
        <v>298</v>
      </c>
      <c r="D294" s="2">
        <v>38222</v>
      </c>
      <c r="E294">
        <v>0</v>
      </c>
      <c r="F294" s="3">
        <v>0.58472222222222225</v>
      </c>
      <c r="G294" s="3">
        <v>0.59513888888888888</v>
      </c>
      <c r="H294">
        <v>19.5</v>
      </c>
      <c r="I294">
        <v>51</v>
      </c>
      <c r="J294">
        <v>5</v>
      </c>
      <c r="K294">
        <v>1</v>
      </c>
      <c r="L294">
        <v>0</v>
      </c>
      <c r="M294">
        <v>5</v>
      </c>
      <c r="N294">
        <v>0</v>
      </c>
      <c r="O294">
        <v>0</v>
      </c>
      <c r="P294">
        <v>0</v>
      </c>
      <c r="Q294">
        <v>0</v>
      </c>
      <c r="R294">
        <v>13</v>
      </c>
      <c r="S294">
        <v>56</v>
      </c>
      <c r="T294">
        <v>0</v>
      </c>
      <c r="U294">
        <v>0</v>
      </c>
      <c r="V294">
        <v>5</v>
      </c>
      <c r="W294">
        <v>10</v>
      </c>
      <c r="X294">
        <v>0</v>
      </c>
      <c r="Y294">
        <v>0</v>
      </c>
      <c r="Z294">
        <v>0</v>
      </c>
      <c r="AA294">
        <v>5</v>
      </c>
      <c r="AB294">
        <v>0</v>
      </c>
      <c r="AC294">
        <v>0</v>
      </c>
      <c r="AD294">
        <v>1</v>
      </c>
      <c r="AE294">
        <v>0</v>
      </c>
      <c r="AF294">
        <v>5</v>
      </c>
      <c r="AG294">
        <v>0</v>
      </c>
      <c r="AH294">
        <v>0</v>
      </c>
      <c r="AI294">
        <f t="shared" si="4"/>
        <v>100</v>
      </c>
      <c r="AJ294" t="s">
        <v>21</v>
      </c>
      <c r="AK294">
        <f>0.75*AD294</f>
        <v>0.75</v>
      </c>
    </row>
    <row r="295" spans="1:37" x14ac:dyDescent="0.35">
      <c r="A295" t="s">
        <v>28</v>
      </c>
      <c r="B295">
        <v>199</v>
      </c>
      <c r="C295" t="s">
        <v>301</v>
      </c>
      <c r="D295" s="2">
        <v>38222</v>
      </c>
      <c r="E295" t="s">
        <v>33</v>
      </c>
      <c r="F295" s="3">
        <v>0.60138888888888886</v>
      </c>
      <c r="G295" s="3">
        <v>0.6118055555555556</v>
      </c>
      <c r="H295">
        <v>18.3</v>
      </c>
      <c r="I295">
        <v>45</v>
      </c>
      <c r="J295">
        <v>4</v>
      </c>
      <c r="K295">
        <v>1</v>
      </c>
      <c r="L295">
        <v>46</v>
      </c>
      <c r="M295">
        <v>50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4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f t="shared" si="4"/>
        <v>100</v>
      </c>
      <c r="AJ295" t="s">
        <v>10</v>
      </c>
      <c r="AK295">
        <f>0.03*M295</f>
        <v>1.5</v>
      </c>
    </row>
    <row r="296" spans="1:37" x14ac:dyDescent="0.35">
      <c r="A296" t="s">
        <v>28</v>
      </c>
      <c r="B296">
        <v>202</v>
      </c>
      <c r="C296" t="s">
        <v>302</v>
      </c>
      <c r="D296" s="2">
        <v>38232</v>
      </c>
      <c r="E296" t="s">
        <v>33</v>
      </c>
      <c r="F296" s="3">
        <v>0.43333333333333335</v>
      </c>
      <c r="G296" s="3">
        <v>0.44374999999999998</v>
      </c>
      <c r="H296">
        <v>20.3</v>
      </c>
      <c r="I296">
        <v>81</v>
      </c>
      <c r="J296">
        <v>2</v>
      </c>
      <c r="K296">
        <v>1</v>
      </c>
      <c r="L296">
        <v>34</v>
      </c>
      <c r="M296">
        <v>5</v>
      </c>
      <c r="N296">
        <v>2</v>
      </c>
      <c r="O296">
        <v>0</v>
      </c>
      <c r="P296">
        <v>0</v>
      </c>
      <c r="Q296">
        <v>0</v>
      </c>
      <c r="R296">
        <v>0</v>
      </c>
      <c r="S296">
        <v>55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4</v>
      </c>
      <c r="AG296">
        <v>0</v>
      </c>
      <c r="AH296">
        <v>0</v>
      </c>
      <c r="AI296">
        <f t="shared" si="4"/>
        <v>100</v>
      </c>
      <c r="AJ296" t="s">
        <v>14</v>
      </c>
      <c r="AK296">
        <f>0.2*S296</f>
        <v>11</v>
      </c>
    </row>
    <row r="297" spans="1:37" x14ac:dyDescent="0.35">
      <c r="A297" t="s">
        <v>28</v>
      </c>
      <c r="B297">
        <v>206</v>
      </c>
      <c r="C297" t="s">
        <v>303</v>
      </c>
      <c r="D297" s="2">
        <v>38232</v>
      </c>
      <c r="E297">
        <v>0</v>
      </c>
      <c r="F297" s="3">
        <v>0.53333333333333333</v>
      </c>
      <c r="G297" s="3">
        <v>0.54374999999999996</v>
      </c>
      <c r="H297">
        <f>(18.9+20.6)/2</f>
        <v>19.75</v>
      </c>
      <c r="I297">
        <f>(71+74)/2</f>
        <v>72.5</v>
      </c>
      <c r="J297">
        <v>3</v>
      </c>
      <c r="K297">
        <v>1</v>
      </c>
      <c r="L297">
        <v>0</v>
      </c>
      <c r="M297">
        <v>5</v>
      </c>
      <c r="N297">
        <v>0</v>
      </c>
      <c r="O297">
        <v>0</v>
      </c>
      <c r="P297">
        <v>0</v>
      </c>
      <c r="Q297">
        <v>0</v>
      </c>
      <c r="R297">
        <v>13</v>
      </c>
      <c r="S297">
        <v>56</v>
      </c>
      <c r="T297">
        <v>0</v>
      </c>
      <c r="U297">
        <v>0</v>
      </c>
      <c r="V297">
        <v>5</v>
      </c>
      <c r="W297">
        <v>10</v>
      </c>
      <c r="X297">
        <v>0</v>
      </c>
      <c r="Y297">
        <v>0</v>
      </c>
      <c r="Z297">
        <v>0</v>
      </c>
      <c r="AA297">
        <v>5</v>
      </c>
      <c r="AB297">
        <v>0</v>
      </c>
      <c r="AC297">
        <v>0</v>
      </c>
      <c r="AD297">
        <v>1</v>
      </c>
      <c r="AE297">
        <v>0</v>
      </c>
      <c r="AF297">
        <v>5</v>
      </c>
      <c r="AG297">
        <v>0</v>
      </c>
      <c r="AH297">
        <v>0</v>
      </c>
      <c r="AI297">
        <f t="shared" si="4"/>
        <v>100</v>
      </c>
      <c r="AJ297" t="s">
        <v>14</v>
      </c>
      <c r="AK297">
        <f>0.15*S297</f>
        <v>8.4</v>
      </c>
    </row>
    <row r="298" spans="1:37" x14ac:dyDescent="0.35">
      <c r="A298" t="s">
        <v>28</v>
      </c>
      <c r="B298">
        <v>203</v>
      </c>
      <c r="C298" t="s">
        <v>304</v>
      </c>
      <c r="D298" s="2">
        <v>38232</v>
      </c>
      <c r="E298" t="s">
        <v>36</v>
      </c>
      <c r="F298" s="3">
        <v>0.45208333333333334</v>
      </c>
      <c r="G298" s="3">
        <v>0.46250000000000002</v>
      </c>
      <c r="H298">
        <v>17.8</v>
      </c>
      <c r="I298">
        <v>79</v>
      </c>
      <c r="J298">
        <v>2</v>
      </c>
      <c r="K298">
        <v>1</v>
      </c>
      <c r="L298">
        <v>7</v>
      </c>
      <c r="M298">
        <v>8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85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f t="shared" si="4"/>
        <v>100</v>
      </c>
      <c r="AJ298" t="s">
        <v>15</v>
      </c>
      <c r="AK298">
        <f>0.01*T298</f>
        <v>0.85</v>
      </c>
    </row>
    <row r="299" spans="1:37" x14ac:dyDescent="0.35">
      <c r="A299" t="s">
        <v>28</v>
      </c>
      <c r="B299">
        <v>205</v>
      </c>
      <c r="C299" t="s">
        <v>305</v>
      </c>
      <c r="D299" s="2">
        <v>38232</v>
      </c>
      <c r="E299" t="s">
        <v>34</v>
      </c>
      <c r="F299" s="3">
        <v>0.49375000000000002</v>
      </c>
      <c r="G299" s="3">
        <v>0.50416666666666665</v>
      </c>
      <c r="H299">
        <v>19.899999999999999</v>
      </c>
      <c r="I299">
        <v>78</v>
      </c>
      <c r="J299">
        <v>2</v>
      </c>
      <c r="K299">
        <v>1</v>
      </c>
      <c r="L299">
        <v>40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30</v>
      </c>
      <c r="V299">
        <v>30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f t="shared" si="4"/>
        <v>100</v>
      </c>
      <c r="AJ299" t="s">
        <v>16</v>
      </c>
      <c r="AK299">
        <f>0.1*U299</f>
        <v>3</v>
      </c>
    </row>
    <row r="300" spans="1:37" x14ac:dyDescent="0.35">
      <c r="A300" t="s">
        <v>28</v>
      </c>
      <c r="B300">
        <v>206</v>
      </c>
      <c r="C300" t="s">
        <v>303</v>
      </c>
      <c r="D300" s="2">
        <v>38232</v>
      </c>
      <c r="E300">
        <v>0</v>
      </c>
      <c r="F300" s="3">
        <v>0.53333333333333333</v>
      </c>
      <c r="G300" s="3">
        <v>0.54374999999999996</v>
      </c>
      <c r="H300">
        <f>(18.9+20.6)/2</f>
        <v>19.75</v>
      </c>
      <c r="I300">
        <f>(71+74)/2</f>
        <v>72.5</v>
      </c>
      <c r="J300">
        <v>3</v>
      </c>
      <c r="K300">
        <v>1</v>
      </c>
      <c r="L300">
        <v>0</v>
      </c>
      <c r="M300">
        <v>5</v>
      </c>
      <c r="N300">
        <v>0</v>
      </c>
      <c r="O300">
        <v>0</v>
      </c>
      <c r="P300">
        <v>0</v>
      </c>
      <c r="Q300">
        <v>0</v>
      </c>
      <c r="R300">
        <v>13</v>
      </c>
      <c r="S300">
        <v>56</v>
      </c>
      <c r="T300">
        <v>0</v>
      </c>
      <c r="U300">
        <v>0</v>
      </c>
      <c r="V300">
        <v>5</v>
      </c>
      <c r="W300">
        <v>10</v>
      </c>
      <c r="X300">
        <v>0</v>
      </c>
      <c r="Y300">
        <v>0</v>
      </c>
      <c r="Z300">
        <v>0</v>
      </c>
      <c r="AA300">
        <v>5</v>
      </c>
      <c r="AB300">
        <v>0</v>
      </c>
      <c r="AC300">
        <v>0</v>
      </c>
      <c r="AD300">
        <v>1</v>
      </c>
      <c r="AE300">
        <v>0</v>
      </c>
      <c r="AF300">
        <v>5</v>
      </c>
      <c r="AG300">
        <v>0</v>
      </c>
      <c r="AH300">
        <v>0</v>
      </c>
      <c r="AI300">
        <f t="shared" si="4"/>
        <v>100</v>
      </c>
      <c r="AJ300" t="s">
        <v>21</v>
      </c>
      <c r="AK300">
        <f>0.2*AD300</f>
        <v>0.2</v>
      </c>
    </row>
    <row r="301" spans="1:37" x14ac:dyDescent="0.35">
      <c r="A301" t="s">
        <v>28</v>
      </c>
      <c r="B301">
        <v>204</v>
      </c>
      <c r="C301" t="s">
        <v>306</v>
      </c>
      <c r="D301" s="2">
        <v>38232</v>
      </c>
      <c r="E301" t="s">
        <v>33</v>
      </c>
      <c r="F301" s="3">
        <v>0.47222222222222227</v>
      </c>
      <c r="G301" s="3">
        <v>0.4826388888888889</v>
      </c>
      <c r="H301">
        <v>15.7</v>
      </c>
      <c r="I301">
        <v>75</v>
      </c>
      <c r="J301">
        <v>3</v>
      </c>
      <c r="K301">
        <v>1</v>
      </c>
      <c r="L301">
        <v>59</v>
      </c>
      <c r="M301">
        <v>40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f t="shared" si="4"/>
        <v>100</v>
      </c>
      <c r="AJ301" t="s">
        <v>10</v>
      </c>
      <c r="AK301">
        <f>0.03*M301</f>
        <v>1.2</v>
      </c>
    </row>
    <row r="302" spans="1:37" x14ac:dyDescent="0.35">
      <c r="A302" t="s">
        <v>28</v>
      </c>
      <c r="B302">
        <v>207</v>
      </c>
      <c r="C302" t="s">
        <v>307</v>
      </c>
      <c r="D302" s="2">
        <v>38246</v>
      </c>
      <c r="E302" t="s">
        <v>33</v>
      </c>
      <c r="F302" s="3">
        <v>0.61805555555555558</v>
      </c>
      <c r="G302" s="3">
        <v>0.67361111111111116</v>
      </c>
      <c r="H302">
        <v>15.4</v>
      </c>
      <c r="I302">
        <v>69</v>
      </c>
      <c r="J302">
        <v>3</v>
      </c>
      <c r="K302">
        <v>2</v>
      </c>
      <c r="L302">
        <v>43</v>
      </c>
      <c r="M302">
        <v>5</v>
      </c>
      <c r="N302">
        <v>2</v>
      </c>
      <c r="O302">
        <v>0</v>
      </c>
      <c r="P302">
        <v>0</v>
      </c>
      <c r="Q302">
        <v>0</v>
      </c>
      <c r="R302">
        <v>0</v>
      </c>
      <c r="S302">
        <v>50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4"/>
        <v>100</v>
      </c>
      <c r="AJ302" t="s">
        <v>14</v>
      </c>
      <c r="AK302">
        <f>0.15*S302</f>
        <v>7.5</v>
      </c>
    </row>
    <row r="303" spans="1:37" x14ac:dyDescent="0.35">
      <c r="A303" t="s">
        <v>28</v>
      </c>
      <c r="B303">
        <v>208</v>
      </c>
      <c r="C303" t="s">
        <v>308</v>
      </c>
      <c r="D303" s="2">
        <v>38246</v>
      </c>
      <c r="E303" t="s">
        <v>34</v>
      </c>
      <c r="F303" s="3">
        <v>0.63749999999999996</v>
      </c>
      <c r="G303" s="3">
        <v>0.6479166666666667</v>
      </c>
      <c r="H303">
        <v>15.8</v>
      </c>
      <c r="I303">
        <v>54</v>
      </c>
      <c r="J303">
        <v>2</v>
      </c>
      <c r="K303">
        <v>2</v>
      </c>
      <c r="L303">
        <v>31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31</v>
      </c>
      <c r="S303">
        <v>0</v>
      </c>
      <c r="T303">
        <v>0</v>
      </c>
      <c r="U303">
        <v>35</v>
      </c>
      <c r="V303">
        <v>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4"/>
        <v>100</v>
      </c>
      <c r="AJ303" t="s">
        <v>16</v>
      </c>
      <c r="AK303">
        <f>0.08*U303</f>
        <v>2.8000000000000003</v>
      </c>
    </row>
    <row r="304" spans="1:37" x14ac:dyDescent="0.35">
      <c r="A304" t="s">
        <v>28</v>
      </c>
      <c r="B304">
        <v>209</v>
      </c>
      <c r="C304" t="s">
        <v>309</v>
      </c>
      <c r="D304" s="2">
        <v>38247</v>
      </c>
      <c r="E304">
        <v>0</v>
      </c>
      <c r="F304" s="3">
        <v>0.55555555555555558</v>
      </c>
      <c r="G304" s="3">
        <v>0.56597222222222221</v>
      </c>
      <c r="H304">
        <v>18.5</v>
      </c>
      <c r="I304">
        <v>70</v>
      </c>
      <c r="J304">
        <v>3</v>
      </c>
      <c r="K304">
        <v>3</v>
      </c>
      <c r="L304">
        <v>65</v>
      </c>
      <c r="M304">
        <v>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20</v>
      </c>
      <c r="T304">
        <v>0</v>
      </c>
      <c r="U304">
        <v>0</v>
      </c>
      <c r="V304">
        <v>10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4"/>
        <v>100</v>
      </c>
      <c r="AJ304" t="s">
        <v>14</v>
      </c>
      <c r="AK304">
        <f>0.2*S304</f>
        <v>4</v>
      </c>
    </row>
    <row r="305" spans="1:37" x14ac:dyDescent="0.35">
      <c r="A305" t="s">
        <v>28</v>
      </c>
      <c r="B305">
        <v>210</v>
      </c>
      <c r="C305" t="s">
        <v>310</v>
      </c>
      <c r="D305" s="2">
        <v>38247</v>
      </c>
      <c r="E305" t="s">
        <v>34</v>
      </c>
      <c r="F305" s="3">
        <v>0.56874999999999998</v>
      </c>
      <c r="G305" s="3">
        <v>0.57916666666666672</v>
      </c>
      <c r="H305">
        <v>18.3</v>
      </c>
      <c r="I305">
        <v>67</v>
      </c>
      <c r="J305">
        <v>4</v>
      </c>
      <c r="K305">
        <v>3</v>
      </c>
      <c r="L305">
        <v>15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50</v>
      </c>
      <c r="T305">
        <v>0</v>
      </c>
      <c r="U305">
        <v>35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f t="shared" si="4"/>
        <v>100</v>
      </c>
      <c r="AJ305" t="s">
        <v>14</v>
      </c>
      <c r="AK305">
        <f>0.05*S305</f>
        <v>2.5</v>
      </c>
    </row>
    <row r="306" spans="1:37" x14ac:dyDescent="0.35">
      <c r="A306" t="s">
        <v>28</v>
      </c>
      <c r="B306">
        <v>210</v>
      </c>
      <c r="C306" t="s">
        <v>310</v>
      </c>
      <c r="D306" s="2">
        <v>38247</v>
      </c>
      <c r="E306" t="s">
        <v>34</v>
      </c>
      <c r="F306" s="3">
        <v>0.56874999999999998</v>
      </c>
      <c r="G306" s="3">
        <v>0.57916666666666672</v>
      </c>
      <c r="H306">
        <v>18.3</v>
      </c>
      <c r="I306">
        <v>67</v>
      </c>
      <c r="J306">
        <v>4</v>
      </c>
      <c r="K306">
        <v>3</v>
      </c>
      <c r="L306">
        <v>15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50</v>
      </c>
      <c r="T306">
        <v>0</v>
      </c>
      <c r="U306">
        <v>35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f t="shared" si="4"/>
        <v>100</v>
      </c>
      <c r="AJ306" t="s">
        <v>16</v>
      </c>
      <c r="AK306">
        <f>0.04*U306</f>
        <v>1.4000000000000001</v>
      </c>
    </row>
    <row r="307" spans="1:37" x14ac:dyDescent="0.35">
      <c r="A307" t="s">
        <v>28</v>
      </c>
      <c r="B307">
        <v>212</v>
      </c>
      <c r="C307" t="s">
        <v>311</v>
      </c>
      <c r="D307" s="2">
        <v>38254</v>
      </c>
      <c r="E307">
        <v>0</v>
      </c>
      <c r="F307" s="3">
        <v>0.68472222222222223</v>
      </c>
      <c r="G307" s="3">
        <v>0.69513888888888886</v>
      </c>
      <c r="H307">
        <v>16.3</v>
      </c>
      <c r="I307">
        <v>58</v>
      </c>
      <c r="J307">
        <v>2</v>
      </c>
      <c r="K307">
        <v>3</v>
      </c>
      <c r="L307">
        <v>65</v>
      </c>
      <c r="M307">
        <v>5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20</v>
      </c>
      <c r="T307">
        <v>0</v>
      </c>
      <c r="U307">
        <v>0</v>
      </c>
      <c r="V307">
        <v>10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f t="shared" si="4"/>
        <v>100</v>
      </c>
      <c r="AJ307" t="s">
        <v>14</v>
      </c>
      <c r="AK307">
        <f>0.15*S307</f>
        <v>3</v>
      </c>
    </row>
    <row r="308" spans="1:37" x14ac:dyDescent="0.35">
      <c r="A308" t="s">
        <v>28</v>
      </c>
      <c r="B308">
        <v>211</v>
      </c>
      <c r="C308" t="s">
        <v>312</v>
      </c>
      <c r="D308" s="2">
        <v>38254</v>
      </c>
      <c r="E308" t="s">
        <v>34</v>
      </c>
      <c r="F308" s="3">
        <v>0.48888888888888887</v>
      </c>
      <c r="G308" s="3">
        <v>0.4993055555555555</v>
      </c>
      <c r="H308">
        <v>14.9</v>
      </c>
      <c r="I308">
        <v>77</v>
      </c>
      <c r="J308">
        <v>4</v>
      </c>
      <c r="K308">
        <v>3</v>
      </c>
      <c r="L308">
        <v>31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31</v>
      </c>
      <c r="S308">
        <v>0</v>
      </c>
      <c r="T308">
        <v>0</v>
      </c>
      <c r="U308">
        <v>35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f t="shared" si="4"/>
        <v>100</v>
      </c>
      <c r="AJ308" t="s">
        <v>16</v>
      </c>
      <c r="AK308">
        <f>0.04*U308</f>
        <v>1.4000000000000001</v>
      </c>
    </row>
    <row r="309" spans="1:37" x14ac:dyDescent="0.35">
      <c r="A309" t="s">
        <v>28</v>
      </c>
      <c r="B309">
        <v>214</v>
      </c>
      <c r="C309" t="s">
        <v>313</v>
      </c>
      <c r="D309" s="2">
        <v>38259</v>
      </c>
      <c r="E309">
        <v>0</v>
      </c>
      <c r="F309" s="3">
        <v>0.47916666666666669</v>
      </c>
      <c r="G309" s="3">
        <v>0.48958333333333331</v>
      </c>
      <c r="H309">
        <v>18.100000000000001</v>
      </c>
      <c r="I309">
        <v>67</v>
      </c>
      <c r="J309">
        <v>2</v>
      </c>
      <c r="K309">
        <v>2</v>
      </c>
      <c r="L309">
        <v>10</v>
      </c>
      <c r="M309">
        <v>2</v>
      </c>
      <c r="N309">
        <v>0</v>
      </c>
      <c r="O309">
        <v>0</v>
      </c>
      <c r="P309">
        <v>0</v>
      </c>
      <c r="Q309">
        <v>0</v>
      </c>
      <c r="R309">
        <v>1</v>
      </c>
      <c r="S309">
        <v>87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f t="shared" si="4"/>
        <v>100</v>
      </c>
      <c r="AJ309" t="s">
        <v>14</v>
      </c>
      <c r="AK309">
        <f>0.1*S309</f>
        <v>8.7000000000000011</v>
      </c>
    </row>
    <row r="310" spans="1:37" x14ac:dyDescent="0.35">
      <c r="A310" t="s">
        <v>28</v>
      </c>
      <c r="B310">
        <v>216</v>
      </c>
      <c r="C310" t="s">
        <v>314</v>
      </c>
      <c r="D310" s="2">
        <v>38259</v>
      </c>
      <c r="E310">
        <v>0</v>
      </c>
      <c r="F310" s="3">
        <v>0.52777777777777779</v>
      </c>
      <c r="G310" s="3">
        <v>0.53819444444444442</v>
      </c>
      <c r="H310">
        <f>(14.6+18.2)/2</f>
        <v>16.399999999999999</v>
      </c>
      <c r="I310">
        <v>56.5</v>
      </c>
      <c r="J310">
        <v>2</v>
      </c>
      <c r="K310">
        <v>2</v>
      </c>
      <c r="L310">
        <v>65</v>
      </c>
      <c r="M310">
        <v>5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20</v>
      </c>
      <c r="T310">
        <v>0</v>
      </c>
      <c r="U310">
        <v>0</v>
      </c>
      <c r="V310">
        <v>10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f t="shared" si="4"/>
        <v>100</v>
      </c>
      <c r="AJ310" t="s">
        <v>14</v>
      </c>
      <c r="AK310">
        <f>0.12*S310</f>
        <v>2.4</v>
      </c>
    </row>
    <row r="311" spans="1:37" x14ac:dyDescent="0.35">
      <c r="A311" t="s">
        <v>28</v>
      </c>
      <c r="B311">
        <v>213</v>
      </c>
      <c r="C311" t="s">
        <v>315</v>
      </c>
      <c r="D311" s="2">
        <v>38259</v>
      </c>
      <c r="E311" t="s">
        <v>36</v>
      </c>
      <c r="F311" s="3">
        <v>0.44236111111111115</v>
      </c>
      <c r="G311" s="3">
        <v>0.45277777777777778</v>
      </c>
      <c r="H311">
        <v>14.4</v>
      </c>
      <c r="I311">
        <v>66</v>
      </c>
      <c r="J311">
        <v>2</v>
      </c>
      <c r="K311">
        <v>2</v>
      </c>
      <c r="L311">
        <v>7</v>
      </c>
      <c r="M311">
        <v>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85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f t="shared" si="4"/>
        <v>100</v>
      </c>
      <c r="AJ311" t="s">
        <v>15</v>
      </c>
      <c r="AK311">
        <f>0.01*T311</f>
        <v>0.85</v>
      </c>
    </row>
    <row r="312" spans="1:37" x14ac:dyDescent="0.35">
      <c r="A312" t="s">
        <v>28</v>
      </c>
      <c r="B312">
        <v>215</v>
      </c>
      <c r="C312" t="s">
        <v>316</v>
      </c>
      <c r="D312" s="2">
        <v>38259</v>
      </c>
      <c r="E312">
        <v>0</v>
      </c>
      <c r="F312" s="3">
        <v>0.5131944444444444</v>
      </c>
      <c r="G312" s="3">
        <v>0.52361111111111114</v>
      </c>
      <c r="H312">
        <v>17.2</v>
      </c>
      <c r="I312">
        <v>62</v>
      </c>
      <c r="J312">
        <v>2</v>
      </c>
      <c r="K312">
        <v>2</v>
      </c>
      <c r="L312">
        <v>15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20</v>
      </c>
      <c r="T312">
        <v>0</v>
      </c>
      <c r="U312">
        <v>10</v>
      </c>
      <c r="V312">
        <v>55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f t="shared" si="4"/>
        <v>100</v>
      </c>
      <c r="AJ312" t="s">
        <v>16</v>
      </c>
      <c r="AK312">
        <f>0.03*U312</f>
        <v>0.3</v>
      </c>
    </row>
    <row r="313" spans="1:37" x14ac:dyDescent="0.35">
      <c r="A313" t="s">
        <v>28</v>
      </c>
      <c r="B313">
        <v>218</v>
      </c>
      <c r="C313" t="s">
        <v>317</v>
      </c>
      <c r="D313" s="2">
        <v>38266</v>
      </c>
      <c r="E313" t="s">
        <v>33</v>
      </c>
      <c r="F313" s="3">
        <v>0.51944444444444449</v>
      </c>
      <c r="G313" s="3">
        <v>0.52986111111111112</v>
      </c>
      <c r="H313">
        <v>15.4</v>
      </c>
      <c r="I313">
        <v>88</v>
      </c>
      <c r="J313">
        <v>2</v>
      </c>
      <c r="K313">
        <v>3</v>
      </c>
      <c r="L313">
        <v>40</v>
      </c>
      <c r="M313">
        <v>5</v>
      </c>
      <c r="N313">
        <v>5</v>
      </c>
      <c r="O313">
        <v>0</v>
      </c>
      <c r="P313">
        <v>0</v>
      </c>
      <c r="Q313">
        <v>0</v>
      </c>
      <c r="R313">
        <v>0</v>
      </c>
      <c r="S313">
        <v>35</v>
      </c>
      <c r="T313">
        <v>0</v>
      </c>
      <c r="U313">
        <v>0</v>
      </c>
      <c r="V313">
        <v>7</v>
      </c>
      <c r="W313">
        <v>5</v>
      </c>
      <c r="X313">
        <v>0</v>
      </c>
      <c r="Y313">
        <v>0</v>
      </c>
      <c r="Z313">
        <v>0</v>
      </c>
      <c r="AA313">
        <v>3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f t="shared" si="4"/>
        <v>100</v>
      </c>
      <c r="AJ313" t="s">
        <v>14</v>
      </c>
      <c r="AK313">
        <f>0.1*S313</f>
        <v>3.5</v>
      </c>
    </row>
    <row r="314" spans="1:37" x14ac:dyDescent="0.35">
      <c r="A314" t="s">
        <v>28</v>
      </c>
      <c r="B314">
        <v>219</v>
      </c>
      <c r="C314" t="s">
        <v>318</v>
      </c>
      <c r="D314" s="2">
        <v>38266</v>
      </c>
      <c r="E314" t="s">
        <v>36</v>
      </c>
      <c r="F314" s="3">
        <v>0.54791666666666672</v>
      </c>
      <c r="G314" s="3">
        <v>0.55833333333333335</v>
      </c>
      <c r="H314">
        <v>16.2</v>
      </c>
      <c r="I314">
        <v>80</v>
      </c>
      <c r="J314">
        <v>2</v>
      </c>
      <c r="K314">
        <v>3</v>
      </c>
      <c r="L314">
        <v>7</v>
      </c>
      <c r="M314">
        <v>8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85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f t="shared" si="4"/>
        <v>100</v>
      </c>
      <c r="AJ314" t="s">
        <v>15</v>
      </c>
      <c r="AK314">
        <f>0.02*T314</f>
        <v>1.7</v>
      </c>
    </row>
    <row r="315" spans="1:37" x14ac:dyDescent="0.35">
      <c r="A315" t="s">
        <v>28</v>
      </c>
      <c r="B315">
        <v>217</v>
      </c>
      <c r="C315" t="s">
        <v>319</v>
      </c>
      <c r="D315" s="2">
        <v>38266</v>
      </c>
      <c r="E315" t="s">
        <v>34</v>
      </c>
      <c r="F315" s="3">
        <v>0.49375000000000002</v>
      </c>
      <c r="G315" s="3">
        <v>0.50416666666666665</v>
      </c>
      <c r="H315">
        <v>13.3</v>
      </c>
      <c r="I315">
        <v>76</v>
      </c>
      <c r="J315">
        <v>3</v>
      </c>
      <c r="K315">
        <v>2</v>
      </c>
      <c r="L315">
        <v>31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31</v>
      </c>
      <c r="S315">
        <v>0</v>
      </c>
      <c r="T315">
        <v>0</v>
      </c>
      <c r="U315">
        <v>35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f t="shared" si="4"/>
        <v>100</v>
      </c>
      <c r="AJ315" t="s">
        <v>16</v>
      </c>
      <c r="AK315">
        <f>0.02*U315</f>
        <v>0.70000000000000007</v>
      </c>
    </row>
    <row r="316" spans="1:37" x14ac:dyDescent="0.35">
      <c r="A316" t="s">
        <v>28</v>
      </c>
      <c r="B316">
        <v>221</v>
      </c>
      <c r="C316" t="s">
        <v>320</v>
      </c>
      <c r="D316" s="2">
        <v>38271</v>
      </c>
      <c r="E316">
        <v>0</v>
      </c>
      <c r="F316" s="3">
        <v>0.55000000000000004</v>
      </c>
      <c r="G316" s="3">
        <v>0.56041666666666667</v>
      </c>
      <c r="H316">
        <v>10.3</v>
      </c>
      <c r="I316">
        <v>52</v>
      </c>
      <c r="J316">
        <v>2</v>
      </c>
      <c r="K316">
        <v>3</v>
      </c>
      <c r="L316">
        <v>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93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f t="shared" si="4"/>
        <v>100</v>
      </c>
      <c r="AJ316" t="s">
        <v>14</v>
      </c>
      <c r="AK316">
        <f>0.01*S316</f>
        <v>0.93</v>
      </c>
    </row>
    <row r="317" spans="1:37" x14ac:dyDescent="0.35">
      <c r="A317" t="s">
        <v>28</v>
      </c>
      <c r="B317">
        <v>220</v>
      </c>
      <c r="C317" t="s">
        <v>321</v>
      </c>
      <c r="D317" s="2">
        <v>38271</v>
      </c>
      <c r="E317" t="s">
        <v>36</v>
      </c>
      <c r="F317" s="3">
        <v>0.52847222222222223</v>
      </c>
      <c r="G317" s="3">
        <v>0.53888888888888886</v>
      </c>
      <c r="H317">
        <v>10.6</v>
      </c>
      <c r="I317">
        <v>49</v>
      </c>
      <c r="J317">
        <v>2</v>
      </c>
      <c r="K317">
        <v>3</v>
      </c>
      <c r="L317">
        <v>7</v>
      </c>
      <c r="M317">
        <v>8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85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f t="shared" si="4"/>
        <v>100</v>
      </c>
      <c r="AJ317" t="s">
        <v>15</v>
      </c>
      <c r="AK317">
        <f>0.01*T317</f>
        <v>0.85</v>
      </c>
    </row>
    <row r="318" spans="1:37" x14ac:dyDescent="0.35">
      <c r="A318" t="s">
        <v>28</v>
      </c>
      <c r="B318">
        <v>222</v>
      </c>
      <c r="C318" t="s">
        <v>322</v>
      </c>
      <c r="D318" s="2">
        <v>38271</v>
      </c>
      <c r="E318" t="s">
        <v>34</v>
      </c>
      <c r="F318" s="3">
        <v>0.56666666666666665</v>
      </c>
      <c r="G318" s="3">
        <v>0.57708333333333328</v>
      </c>
      <c r="H318">
        <v>10.4</v>
      </c>
      <c r="I318">
        <v>51</v>
      </c>
      <c r="J318">
        <v>2</v>
      </c>
      <c r="K318">
        <v>3</v>
      </c>
      <c r="L318">
        <v>31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31</v>
      </c>
      <c r="S318">
        <v>0</v>
      </c>
      <c r="T318">
        <v>0</v>
      </c>
      <c r="U318">
        <v>35</v>
      </c>
      <c r="V318">
        <v>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f t="shared" si="4"/>
        <v>100</v>
      </c>
      <c r="AJ318" t="s">
        <v>16</v>
      </c>
      <c r="AK318">
        <f>0.01*U318</f>
        <v>0.35000000000000003</v>
      </c>
    </row>
    <row r="319" spans="1:37" x14ac:dyDescent="0.35">
      <c r="A319" t="s">
        <v>28</v>
      </c>
      <c r="B319">
        <v>225</v>
      </c>
      <c r="C319" t="s">
        <v>323</v>
      </c>
      <c r="D319" s="2">
        <v>38279</v>
      </c>
      <c r="E319" t="s">
        <v>33</v>
      </c>
      <c r="F319" s="3">
        <v>0.53541666666666665</v>
      </c>
      <c r="G319" s="3">
        <v>0.54583333333333328</v>
      </c>
      <c r="H319">
        <f>(11.6+14.2)/2</f>
        <v>12.899999999999999</v>
      </c>
      <c r="I319">
        <v>74</v>
      </c>
      <c r="J319">
        <v>2</v>
      </c>
      <c r="K319">
        <v>1</v>
      </c>
      <c r="L319">
        <v>80</v>
      </c>
      <c r="M319">
        <v>5</v>
      </c>
      <c r="N319">
        <v>5</v>
      </c>
      <c r="O319">
        <v>0</v>
      </c>
      <c r="P319">
        <v>0</v>
      </c>
      <c r="Q319">
        <v>0</v>
      </c>
      <c r="R319">
        <v>0</v>
      </c>
      <c r="S319">
        <v>10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f t="shared" si="4"/>
        <v>100</v>
      </c>
      <c r="AJ319" t="s">
        <v>14</v>
      </c>
      <c r="AK319">
        <f>0.05*S319</f>
        <v>0.5</v>
      </c>
    </row>
    <row r="320" spans="1:37" x14ac:dyDescent="0.35">
      <c r="A320" t="s">
        <v>28</v>
      </c>
      <c r="B320">
        <v>223</v>
      </c>
      <c r="C320" t="s">
        <v>324</v>
      </c>
      <c r="D320" s="2">
        <v>38279</v>
      </c>
      <c r="E320" t="s">
        <v>36</v>
      </c>
      <c r="F320" s="3">
        <v>0.50763888888888886</v>
      </c>
      <c r="G320" s="3">
        <v>0.5180555555555556</v>
      </c>
      <c r="H320">
        <v>13.4</v>
      </c>
      <c r="I320">
        <v>72</v>
      </c>
      <c r="J320">
        <v>0</v>
      </c>
      <c r="K320">
        <v>1</v>
      </c>
      <c r="L320">
        <v>7</v>
      </c>
      <c r="M320">
        <v>8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85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f t="shared" si="4"/>
        <v>100</v>
      </c>
      <c r="AJ320" t="s">
        <v>15</v>
      </c>
      <c r="AK320">
        <f>0.005*T320</f>
        <v>0.42499999999999999</v>
      </c>
    </row>
    <row r="321" spans="1:37" x14ac:dyDescent="0.35">
      <c r="A321" t="s">
        <v>28</v>
      </c>
      <c r="B321">
        <v>224</v>
      </c>
      <c r="C321" t="s">
        <v>325</v>
      </c>
      <c r="D321" s="2">
        <v>38279</v>
      </c>
      <c r="E321" t="s">
        <v>34</v>
      </c>
      <c r="F321" s="3">
        <v>0.5229166666666667</v>
      </c>
      <c r="G321" s="3">
        <v>0.53333333333333333</v>
      </c>
      <c r="H321">
        <f>(13.6+16.2)/2</f>
        <v>14.899999999999999</v>
      </c>
      <c r="I321">
        <v>72.5</v>
      </c>
      <c r="J321">
        <v>2</v>
      </c>
      <c r="K321">
        <v>1</v>
      </c>
      <c r="L321">
        <v>31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31</v>
      </c>
      <c r="S321">
        <v>0</v>
      </c>
      <c r="T321">
        <v>0</v>
      </c>
      <c r="U321">
        <v>35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f t="shared" si="4"/>
        <v>100</v>
      </c>
      <c r="AJ321" t="s">
        <v>16</v>
      </c>
      <c r="AK321">
        <f>0.015*U321</f>
        <v>0.52500000000000002</v>
      </c>
    </row>
    <row r="322" spans="1:37" x14ac:dyDescent="0.35">
      <c r="A322" t="s">
        <v>28</v>
      </c>
      <c r="B322">
        <v>226</v>
      </c>
      <c r="C322" t="s">
        <v>326</v>
      </c>
      <c r="D322" s="2">
        <v>38287</v>
      </c>
      <c r="E322">
        <v>0</v>
      </c>
      <c r="F322" s="3">
        <v>0.51527777777777783</v>
      </c>
      <c r="G322" s="3">
        <v>0.52569444444444446</v>
      </c>
      <c r="H322">
        <v>11.9</v>
      </c>
      <c r="I322">
        <v>62</v>
      </c>
      <c r="J322">
        <v>1</v>
      </c>
      <c r="K322">
        <v>1</v>
      </c>
      <c r="L322">
        <v>15</v>
      </c>
      <c r="M322">
        <v>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80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f t="shared" ref="AI322:AI329" si="5">SUM(L322:AH322)</f>
        <v>100</v>
      </c>
      <c r="AJ322" t="s">
        <v>14</v>
      </c>
      <c r="AK322">
        <f>0.005*S322</f>
        <v>0.4</v>
      </c>
    </row>
    <row r="323" spans="1:37" x14ac:dyDescent="0.35">
      <c r="A323" t="s">
        <v>28</v>
      </c>
      <c r="B323">
        <v>227</v>
      </c>
      <c r="C323" t="s">
        <v>327</v>
      </c>
      <c r="D323" s="2">
        <v>38287</v>
      </c>
      <c r="E323" t="s">
        <v>36</v>
      </c>
      <c r="F323" s="3">
        <v>0.52777777777777779</v>
      </c>
      <c r="G323" s="3">
        <v>0.53819444444444442</v>
      </c>
      <c r="H323">
        <v>11.3</v>
      </c>
      <c r="I323">
        <v>50</v>
      </c>
      <c r="J323">
        <v>0</v>
      </c>
      <c r="K323">
        <v>1</v>
      </c>
      <c r="L323">
        <v>7</v>
      </c>
      <c r="M323">
        <v>8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85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f t="shared" si="5"/>
        <v>100</v>
      </c>
      <c r="AJ323" t="s">
        <v>15</v>
      </c>
      <c r="AK323">
        <f>0.005*T323</f>
        <v>0.42499999999999999</v>
      </c>
    </row>
    <row r="324" spans="1:37" x14ac:dyDescent="0.35">
      <c r="A324" t="s">
        <v>29</v>
      </c>
      <c r="B324">
        <v>1</v>
      </c>
      <c r="C324" t="s">
        <v>328</v>
      </c>
      <c r="D324" s="2">
        <v>38091</v>
      </c>
      <c r="E324" t="s">
        <v>34</v>
      </c>
      <c r="F324" s="3">
        <v>0.48958333333333331</v>
      </c>
      <c r="G324" s="3">
        <v>0.5</v>
      </c>
      <c r="H324">
        <v>8.6</v>
      </c>
      <c r="I324">
        <v>46</v>
      </c>
      <c r="J324">
        <v>5</v>
      </c>
      <c r="K324">
        <v>3</v>
      </c>
      <c r="L324">
        <v>74</v>
      </c>
      <c r="M324">
        <v>20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2</v>
      </c>
      <c r="W324">
        <v>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f t="shared" si="5"/>
        <v>100</v>
      </c>
      <c r="AJ324" t="s">
        <v>9</v>
      </c>
      <c r="AK324">
        <f>1*L324</f>
        <v>74</v>
      </c>
    </row>
    <row r="325" spans="1:37" x14ac:dyDescent="0.35">
      <c r="A325" t="s">
        <v>29</v>
      </c>
      <c r="B325">
        <v>2</v>
      </c>
      <c r="C325" t="s">
        <v>329</v>
      </c>
      <c r="D325" s="2">
        <v>38091</v>
      </c>
      <c r="E325">
        <v>0</v>
      </c>
      <c r="F325" s="3">
        <v>0.5</v>
      </c>
      <c r="G325" s="3">
        <v>0.51041666666666663</v>
      </c>
      <c r="H325">
        <v>8.1</v>
      </c>
      <c r="I325">
        <v>62</v>
      </c>
      <c r="J325">
        <v>5</v>
      </c>
      <c r="K325">
        <v>3</v>
      </c>
      <c r="L325">
        <v>83</v>
      </c>
      <c r="M325">
        <v>8</v>
      </c>
      <c r="N325">
        <v>0</v>
      </c>
      <c r="O325">
        <v>0</v>
      </c>
      <c r="P325">
        <v>0</v>
      </c>
      <c r="Q325">
        <v>0</v>
      </c>
      <c r="R325">
        <v>7</v>
      </c>
      <c r="S325">
        <v>0</v>
      </c>
      <c r="T325">
        <v>0</v>
      </c>
      <c r="U325">
        <v>0</v>
      </c>
      <c r="V325">
        <v>0</v>
      </c>
      <c r="W325">
        <v>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f t="shared" si="5"/>
        <v>100</v>
      </c>
      <c r="AJ325" t="s">
        <v>9</v>
      </c>
      <c r="AK325">
        <f>1*L325</f>
        <v>83</v>
      </c>
    </row>
    <row r="326" spans="1:37" x14ac:dyDescent="0.35">
      <c r="A326" t="s">
        <v>29</v>
      </c>
      <c r="B326">
        <v>3</v>
      </c>
      <c r="C326" t="s">
        <v>330</v>
      </c>
      <c r="D326" s="2">
        <v>38091</v>
      </c>
      <c r="E326" t="s">
        <v>35</v>
      </c>
      <c r="F326" s="3">
        <v>0.51041666666666663</v>
      </c>
      <c r="G326" s="3">
        <v>0.52083333333333337</v>
      </c>
      <c r="H326">
        <v>8</v>
      </c>
      <c r="I326">
        <v>65</v>
      </c>
      <c r="J326">
        <v>5</v>
      </c>
      <c r="K326">
        <v>3</v>
      </c>
      <c r="L326">
        <v>86</v>
      </c>
      <c r="M326">
        <v>8</v>
      </c>
      <c r="N326">
        <v>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f t="shared" si="5"/>
        <v>100</v>
      </c>
      <c r="AJ326" t="s">
        <v>9</v>
      </c>
      <c r="AK326">
        <f>1*L326</f>
        <v>86</v>
      </c>
    </row>
    <row r="327" spans="1:37" x14ac:dyDescent="0.35">
      <c r="A327" t="s">
        <v>29</v>
      </c>
      <c r="B327">
        <v>4</v>
      </c>
      <c r="C327" t="s">
        <v>331</v>
      </c>
      <c r="D327" s="2">
        <v>38091</v>
      </c>
      <c r="E327">
        <v>0</v>
      </c>
      <c r="F327" s="3">
        <v>0.52083333333333337</v>
      </c>
      <c r="G327" s="3">
        <v>0.53125</v>
      </c>
      <c r="H327">
        <v>7.8</v>
      </c>
      <c r="I327">
        <v>61</v>
      </c>
      <c r="J327">
        <v>5</v>
      </c>
      <c r="K327">
        <v>3</v>
      </c>
      <c r="L327">
        <v>82</v>
      </c>
      <c r="M327">
        <v>10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0</v>
      </c>
      <c r="U327">
        <v>0</v>
      </c>
      <c r="V327">
        <v>0</v>
      </c>
      <c r="W327">
        <v>5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f t="shared" si="5"/>
        <v>100</v>
      </c>
      <c r="AJ327" t="s">
        <v>9</v>
      </c>
      <c r="AK327">
        <f>1*L327</f>
        <v>82</v>
      </c>
    </row>
    <row r="328" spans="1:37" x14ac:dyDescent="0.35">
      <c r="A328" t="s">
        <v>29</v>
      </c>
      <c r="B328">
        <v>5</v>
      </c>
      <c r="C328" t="s">
        <v>332</v>
      </c>
      <c r="D328" s="2">
        <v>38099</v>
      </c>
      <c r="E328" t="s">
        <v>34</v>
      </c>
      <c r="F328" s="3">
        <v>0.59722222222222221</v>
      </c>
      <c r="G328" s="3">
        <v>0.60763888888888895</v>
      </c>
      <c r="H328">
        <v>14.6</v>
      </c>
      <c r="I328">
        <v>47</v>
      </c>
      <c r="J328">
        <v>5</v>
      </c>
      <c r="K328">
        <v>3</v>
      </c>
      <c r="L328">
        <v>80</v>
      </c>
      <c r="M328">
        <v>15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4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f t="shared" si="5"/>
        <v>100</v>
      </c>
      <c r="AJ328" t="s">
        <v>9</v>
      </c>
      <c r="AK328">
        <f>0.005*L328</f>
        <v>0.4</v>
      </c>
    </row>
    <row r="329" spans="1:37" x14ac:dyDescent="0.35">
      <c r="A329" t="s">
        <v>29</v>
      </c>
      <c r="B329">
        <v>6</v>
      </c>
      <c r="C329" t="s">
        <v>333</v>
      </c>
      <c r="D329" s="2">
        <v>38099</v>
      </c>
      <c r="E329" t="s">
        <v>33</v>
      </c>
      <c r="F329" s="3">
        <v>0.60763888888888895</v>
      </c>
      <c r="G329" s="3">
        <v>0.61805555555555558</v>
      </c>
      <c r="H329">
        <v>15.2</v>
      </c>
      <c r="I329">
        <v>47</v>
      </c>
      <c r="J329">
        <v>5</v>
      </c>
      <c r="K329">
        <v>3</v>
      </c>
      <c r="L329">
        <v>50</v>
      </c>
      <c r="M329">
        <v>30</v>
      </c>
      <c r="N329">
        <v>18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f t="shared" si="5"/>
        <v>100</v>
      </c>
      <c r="AJ329" t="s">
        <v>9</v>
      </c>
      <c r="AK329">
        <f>0.02*L329</f>
        <v>1</v>
      </c>
    </row>
  </sheetData>
  <sortState ref="A2:AJ329">
    <sortCondition ref="A2:A32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0"/>
  <sheetViews>
    <sheetView workbookViewId="0">
      <selection activeCell="L1" sqref="L1:AH1048576"/>
    </sheetView>
  </sheetViews>
  <sheetFormatPr defaultRowHeight="14.5" x14ac:dyDescent="0.35"/>
  <cols>
    <col min="4" max="4" width="12.26953125" customWidth="1"/>
    <col min="12" max="34" width="4.90625" customWidth="1"/>
  </cols>
  <sheetData>
    <row r="1" spans="1:37" ht="78.5" x14ac:dyDescent="0.35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</v>
      </c>
      <c r="I1" s="7" t="s">
        <v>6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35">
      <c r="A2" t="s">
        <v>27</v>
      </c>
      <c r="B2">
        <v>1</v>
      </c>
      <c r="C2" t="s">
        <v>335</v>
      </c>
      <c r="D2" s="2">
        <v>38090</v>
      </c>
      <c r="E2" s="2" t="s">
        <v>31</v>
      </c>
      <c r="F2" s="3">
        <v>0.47916666666666669</v>
      </c>
      <c r="G2" s="3">
        <v>0.48958333333333331</v>
      </c>
      <c r="H2">
        <v>10.6</v>
      </c>
      <c r="I2">
        <v>40</v>
      </c>
      <c r="J2">
        <v>1</v>
      </c>
      <c r="K2">
        <v>1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f t="shared" ref="AI2:AI20" si="0">SUM(L2:AH2)</f>
        <v>100</v>
      </c>
      <c r="AJ2" t="s">
        <v>9</v>
      </c>
      <c r="AK2">
        <f>1*L2</f>
        <v>100</v>
      </c>
    </row>
    <row r="3" spans="1:37" x14ac:dyDescent="0.35">
      <c r="A3" t="s">
        <v>27</v>
      </c>
      <c r="B3">
        <v>2</v>
      </c>
      <c r="C3" t="s">
        <v>336</v>
      </c>
      <c r="D3" s="2">
        <v>38090</v>
      </c>
      <c r="E3" s="4">
        <v>0</v>
      </c>
      <c r="F3" s="3">
        <v>0.50694444444444442</v>
      </c>
      <c r="G3" s="3">
        <v>0.51736111111111105</v>
      </c>
      <c r="H3">
        <v>10.9</v>
      </c>
      <c r="I3">
        <v>36</v>
      </c>
      <c r="J3">
        <v>0</v>
      </c>
      <c r="K3">
        <v>0</v>
      </c>
      <c r="L3">
        <v>90</v>
      </c>
      <c r="M3">
        <v>5</v>
      </c>
      <c r="N3">
        <v>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 t="shared" si="0"/>
        <v>100</v>
      </c>
      <c r="AJ3" t="s">
        <v>9</v>
      </c>
      <c r="AK3">
        <f>1*L3</f>
        <v>90</v>
      </c>
    </row>
    <row r="4" spans="1:37" x14ac:dyDescent="0.35">
      <c r="A4" t="s">
        <v>27</v>
      </c>
      <c r="B4">
        <v>3</v>
      </c>
      <c r="C4" t="s">
        <v>337</v>
      </c>
      <c r="D4" s="2">
        <v>38090</v>
      </c>
      <c r="E4" s="4">
        <v>0</v>
      </c>
      <c r="F4" s="3">
        <v>0.52430555555555558</v>
      </c>
      <c r="G4" s="3">
        <v>0.53472222222222221</v>
      </c>
      <c r="H4">
        <v>11.2</v>
      </c>
      <c r="I4">
        <v>35</v>
      </c>
      <c r="J4">
        <v>0</v>
      </c>
      <c r="K4">
        <v>2</v>
      </c>
      <c r="L4">
        <v>96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100</v>
      </c>
      <c r="AJ4" t="s">
        <v>9</v>
      </c>
      <c r="AK4">
        <f>1*L4</f>
        <v>96</v>
      </c>
    </row>
    <row r="5" spans="1:37" x14ac:dyDescent="0.35">
      <c r="A5" t="s">
        <v>27</v>
      </c>
      <c r="B5">
        <v>4</v>
      </c>
      <c r="C5" t="s">
        <v>338</v>
      </c>
      <c r="D5" s="2">
        <v>38090</v>
      </c>
      <c r="E5" t="s">
        <v>32</v>
      </c>
      <c r="F5" s="3">
        <v>0.54166666666666663</v>
      </c>
      <c r="G5" s="3">
        <v>0.55208333333333337</v>
      </c>
      <c r="H5">
        <v>13.6</v>
      </c>
      <c r="I5">
        <v>31</v>
      </c>
      <c r="J5">
        <v>0</v>
      </c>
      <c r="K5">
        <v>0</v>
      </c>
      <c r="L5">
        <v>93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 t="shared" si="0"/>
        <v>100</v>
      </c>
      <c r="AJ5" t="s">
        <v>9</v>
      </c>
      <c r="AK5">
        <f>1*L5</f>
        <v>93</v>
      </c>
    </row>
    <row r="6" spans="1:37" x14ac:dyDescent="0.35">
      <c r="A6" t="s">
        <v>27</v>
      </c>
      <c r="B6">
        <v>6</v>
      </c>
      <c r="C6" t="s">
        <v>339</v>
      </c>
      <c r="D6" s="2">
        <v>38098</v>
      </c>
      <c r="E6">
        <v>0</v>
      </c>
      <c r="F6" s="3">
        <v>0.59375</v>
      </c>
      <c r="G6" s="3">
        <v>0.60416666666666663</v>
      </c>
      <c r="H6">
        <v>16.5</v>
      </c>
      <c r="I6">
        <v>41</v>
      </c>
      <c r="J6">
        <v>5</v>
      </c>
      <c r="K6">
        <v>2</v>
      </c>
      <c r="L6">
        <v>92</v>
      </c>
      <c r="M6">
        <v>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 t="shared" si="0"/>
        <v>100</v>
      </c>
      <c r="AJ6" t="s">
        <v>9</v>
      </c>
      <c r="AK6">
        <f>0.05*L6</f>
        <v>4.6000000000000005</v>
      </c>
    </row>
    <row r="7" spans="1:37" x14ac:dyDescent="0.35">
      <c r="A7" t="s">
        <v>27</v>
      </c>
      <c r="B7">
        <v>8</v>
      </c>
      <c r="C7" t="s">
        <v>340</v>
      </c>
      <c r="D7" s="2">
        <v>38098</v>
      </c>
      <c r="E7" t="s">
        <v>40</v>
      </c>
      <c r="F7" s="3">
        <v>0.6333333333333333</v>
      </c>
      <c r="G7" s="3">
        <v>0.64375000000000004</v>
      </c>
      <c r="H7">
        <v>17.100000000000001</v>
      </c>
      <c r="I7">
        <v>46</v>
      </c>
      <c r="J7">
        <v>1</v>
      </c>
      <c r="K7">
        <v>2</v>
      </c>
      <c r="L7">
        <v>91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0"/>
        <v>100</v>
      </c>
      <c r="AJ7" t="s">
        <v>9</v>
      </c>
      <c r="AK7">
        <f>0.01*L7</f>
        <v>0.91</v>
      </c>
    </row>
    <row r="8" spans="1:37" x14ac:dyDescent="0.35">
      <c r="A8" t="s">
        <v>27</v>
      </c>
      <c r="B8">
        <v>5</v>
      </c>
      <c r="C8" t="s">
        <v>341</v>
      </c>
      <c r="D8" s="2">
        <v>38098</v>
      </c>
      <c r="E8">
        <v>0</v>
      </c>
      <c r="F8" s="3">
        <v>0.57291666666666663</v>
      </c>
      <c r="G8" s="3">
        <v>0.58333333333333337</v>
      </c>
      <c r="H8">
        <v>16.2</v>
      </c>
      <c r="I8">
        <v>42</v>
      </c>
      <c r="J8">
        <v>5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63</v>
      </c>
      <c r="S8">
        <v>0</v>
      </c>
      <c r="T8">
        <v>0</v>
      </c>
      <c r="U8">
        <v>0</v>
      </c>
      <c r="V8">
        <v>30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 t="shared" si="0"/>
        <v>100</v>
      </c>
      <c r="AJ8" t="s">
        <v>84</v>
      </c>
      <c r="AK8">
        <f>0.5*R8</f>
        <v>31.5</v>
      </c>
    </row>
    <row r="9" spans="1:37" x14ac:dyDescent="0.35">
      <c r="A9" t="s">
        <v>27</v>
      </c>
      <c r="B9">
        <v>7</v>
      </c>
      <c r="C9" t="s">
        <v>342</v>
      </c>
      <c r="D9" s="2">
        <v>38098</v>
      </c>
      <c r="E9">
        <v>0</v>
      </c>
      <c r="F9" s="3">
        <v>0.61111111111111105</v>
      </c>
      <c r="G9" s="3">
        <v>0.62152777777777779</v>
      </c>
      <c r="H9">
        <v>18.2</v>
      </c>
      <c r="I9">
        <v>31</v>
      </c>
      <c r="J9">
        <v>1</v>
      </c>
      <c r="K9">
        <v>0</v>
      </c>
      <c r="L9">
        <v>2</v>
      </c>
      <c r="M9">
        <v>6</v>
      </c>
      <c r="N9">
        <v>0</v>
      </c>
      <c r="O9">
        <v>0</v>
      </c>
      <c r="P9">
        <v>0</v>
      </c>
      <c r="Q9">
        <v>0</v>
      </c>
      <c r="R9">
        <v>66</v>
      </c>
      <c r="S9">
        <v>0</v>
      </c>
      <c r="T9">
        <v>0</v>
      </c>
      <c r="U9">
        <v>0</v>
      </c>
      <c r="V9">
        <v>20</v>
      </c>
      <c r="W9">
        <v>6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 t="shared" si="0"/>
        <v>100</v>
      </c>
      <c r="AJ9" t="s">
        <v>83</v>
      </c>
      <c r="AK9">
        <f>0.5*R9</f>
        <v>33</v>
      </c>
    </row>
    <row r="10" spans="1:37" x14ac:dyDescent="0.35">
      <c r="A10" t="s">
        <v>27</v>
      </c>
      <c r="B10">
        <v>9</v>
      </c>
      <c r="C10" t="s">
        <v>343</v>
      </c>
      <c r="D10" s="2">
        <v>38104</v>
      </c>
      <c r="E10">
        <v>0</v>
      </c>
      <c r="F10" s="3">
        <v>0.6430555555555556</v>
      </c>
      <c r="G10" s="3">
        <v>0.65347222222222223</v>
      </c>
      <c r="H10">
        <v>15.1</v>
      </c>
      <c r="I10">
        <v>52</v>
      </c>
      <c r="J10">
        <v>3</v>
      </c>
      <c r="K10">
        <v>2</v>
      </c>
      <c r="L10">
        <v>15</v>
      </c>
      <c r="M10">
        <v>0</v>
      </c>
      <c r="N10">
        <v>0</v>
      </c>
      <c r="O10">
        <v>0</v>
      </c>
      <c r="P10">
        <v>0</v>
      </c>
      <c r="Q10">
        <v>0</v>
      </c>
      <c r="R10">
        <v>80</v>
      </c>
      <c r="S10">
        <v>0</v>
      </c>
      <c r="T10">
        <v>0</v>
      </c>
      <c r="U10">
        <v>0</v>
      </c>
      <c r="V10">
        <v>0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0"/>
        <v>100</v>
      </c>
      <c r="AJ10" t="s">
        <v>97</v>
      </c>
      <c r="AK10">
        <f>R10*0.3</f>
        <v>24</v>
      </c>
    </row>
    <row r="11" spans="1:37" x14ac:dyDescent="0.35">
      <c r="A11" t="s">
        <v>27</v>
      </c>
      <c r="B11">
        <v>14</v>
      </c>
      <c r="C11" t="s">
        <v>344</v>
      </c>
      <c r="D11" s="2">
        <v>38105</v>
      </c>
      <c r="E11">
        <v>0</v>
      </c>
      <c r="F11" s="3">
        <v>0.6479166666666667</v>
      </c>
      <c r="G11" s="3">
        <v>0.65833333333333333</v>
      </c>
      <c r="H11">
        <v>17.7</v>
      </c>
      <c r="I11">
        <v>29</v>
      </c>
      <c r="J11">
        <v>0</v>
      </c>
      <c r="K11">
        <v>4</v>
      </c>
      <c r="L11">
        <v>0</v>
      </c>
      <c r="M11">
        <v>3</v>
      </c>
      <c r="N11">
        <v>0</v>
      </c>
      <c r="O11">
        <v>0</v>
      </c>
      <c r="P11">
        <v>4</v>
      </c>
      <c r="Q11">
        <v>0</v>
      </c>
      <c r="R11">
        <v>0</v>
      </c>
      <c r="S11">
        <v>0</v>
      </c>
      <c r="T11">
        <v>0</v>
      </c>
      <c r="U11">
        <v>0</v>
      </c>
      <c r="V11">
        <v>75</v>
      </c>
      <c r="W11">
        <v>5</v>
      </c>
      <c r="X11">
        <v>0</v>
      </c>
      <c r="Y11">
        <v>10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f t="shared" si="0"/>
        <v>100</v>
      </c>
      <c r="AJ11" t="s">
        <v>13</v>
      </c>
      <c r="AK11">
        <f>0.05*P11</f>
        <v>0.2</v>
      </c>
    </row>
    <row r="12" spans="1:37" x14ac:dyDescent="0.35">
      <c r="A12" t="s">
        <v>27</v>
      </c>
      <c r="B12">
        <v>10</v>
      </c>
      <c r="C12" t="s">
        <v>345</v>
      </c>
      <c r="D12" s="2">
        <v>38105</v>
      </c>
      <c r="E12">
        <v>0</v>
      </c>
      <c r="F12" s="3">
        <v>0.55972222222222223</v>
      </c>
      <c r="G12" s="3">
        <v>0.57013888888888886</v>
      </c>
      <c r="H12">
        <v>16.7</v>
      </c>
      <c r="I12">
        <v>41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85</v>
      </c>
      <c r="S12">
        <v>0</v>
      </c>
      <c r="T12">
        <v>0</v>
      </c>
      <c r="U12">
        <v>0</v>
      </c>
      <c r="V12">
        <v>4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0"/>
        <v>100</v>
      </c>
      <c r="AJ12" t="s">
        <v>96</v>
      </c>
      <c r="AK12">
        <f>0.9*R12</f>
        <v>76.5</v>
      </c>
    </row>
    <row r="13" spans="1:37" x14ac:dyDescent="0.35">
      <c r="A13" t="s">
        <v>27</v>
      </c>
      <c r="B13">
        <v>13</v>
      </c>
      <c r="C13" t="s">
        <v>346</v>
      </c>
      <c r="D13" s="2">
        <v>38105</v>
      </c>
      <c r="E13" t="s">
        <v>42</v>
      </c>
      <c r="F13" s="3">
        <v>0.62777777777777777</v>
      </c>
      <c r="G13" s="3">
        <v>0.6381944444444444</v>
      </c>
      <c r="H13">
        <v>17</v>
      </c>
      <c r="I13">
        <v>27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65</v>
      </c>
      <c r="S13">
        <v>0</v>
      </c>
      <c r="T13">
        <v>0</v>
      </c>
      <c r="U13">
        <v>0</v>
      </c>
      <c r="V13">
        <v>23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</v>
      </c>
      <c r="AI13">
        <f t="shared" si="0"/>
        <v>100</v>
      </c>
      <c r="AJ13" t="s">
        <v>96</v>
      </c>
      <c r="AK13">
        <f>0.95*R13</f>
        <v>61.75</v>
      </c>
    </row>
    <row r="14" spans="1:37" x14ac:dyDescent="0.35">
      <c r="A14" t="s">
        <v>27</v>
      </c>
      <c r="B14">
        <v>11</v>
      </c>
      <c r="C14" t="s">
        <v>347</v>
      </c>
      <c r="D14" s="2">
        <v>38105</v>
      </c>
      <c r="E14" t="s">
        <v>41</v>
      </c>
      <c r="F14" s="3">
        <v>0.58611111111111114</v>
      </c>
      <c r="G14" s="3">
        <v>0.59652777777777777</v>
      </c>
      <c r="H14">
        <v>16.5</v>
      </c>
      <c r="I14">
        <v>30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20</v>
      </c>
      <c r="S14">
        <v>0</v>
      </c>
      <c r="T14">
        <v>0</v>
      </c>
      <c r="U14">
        <v>15</v>
      </c>
      <c r="V14">
        <v>65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0"/>
        <v>100</v>
      </c>
      <c r="AJ14" t="s">
        <v>97</v>
      </c>
      <c r="AK14">
        <f>0.2*R14</f>
        <v>4</v>
      </c>
    </row>
    <row r="15" spans="1:37" x14ac:dyDescent="0.35">
      <c r="A15" t="s">
        <v>27</v>
      </c>
      <c r="B15">
        <v>12</v>
      </c>
      <c r="C15" t="s">
        <v>348</v>
      </c>
      <c r="D15" s="2">
        <v>38105</v>
      </c>
      <c r="E15">
        <v>0</v>
      </c>
      <c r="F15" s="3">
        <v>0.60277777777777775</v>
      </c>
      <c r="G15" s="3">
        <v>0.61319444444444449</v>
      </c>
      <c r="H15">
        <v>16.3</v>
      </c>
      <c r="I15">
        <v>31</v>
      </c>
      <c r="J15">
        <v>0</v>
      </c>
      <c r="K15">
        <v>3</v>
      </c>
      <c r="L15">
        <v>15</v>
      </c>
      <c r="M15">
        <v>0</v>
      </c>
      <c r="N15">
        <v>0</v>
      </c>
      <c r="O15">
        <v>0</v>
      </c>
      <c r="P15">
        <v>0</v>
      </c>
      <c r="Q15">
        <v>0</v>
      </c>
      <c r="R15">
        <v>74</v>
      </c>
      <c r="S15">
        <v>0</v>
      </c>
      <c r="T15">
        <v>0</v>
      </c>
      <c r="U15">
        <v>0</v>
      </c>
      <c r="V15">
        <v>10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0"/>
        <v>100</v>
      </c>
      <c r="AJ15" t="s">
        <v>97</v>
      </c>
      <c r="AK15">
        <f>0.15*R15</f>
        <v>11.1</v>
      </c>
    </row>
    <row r="16" spans="1:37" x14ac:dyDescent="0.35">
      <c r="A16" t="s">
        <v>27</v>
      </c>
      <c r="B16">
        <v>18</v>
      </c>
      <c r="C16" t="s">
        <v>349</v>
      </c>
      <c r="D16" s="2">
        <v>38106</v>
      </c>
      <c r="E16">
        <v>0</v>
      </c>
      <c r="F16" s="3">
        <v>0.53819444444444442</v>
      </c>
      <c r="G16" s="3">
        <v>0.54861111111111105</v>
      </c>
      <c r="H16">
        <v>13</v>
      </c>
      <c r="I16">
        <v>36</v>
      </c>
      <c r="J16">
        <v>5</v>
      </c>
      <c r="K16">
        <v>4</v>
      </c>
      <c r="L16">
        <v>0</v>
      </c>
      <c r="M16">
        <v>3</v>
      </c>
      <c r="N16">
        <v>0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75</v>
      </c>
      <c r="W16">
        <v>5</v>
      </c>
      <c r="X16">
        <v>0</v>
      </c>
      <c r="Y16">
        <v>10</v>
      </c>
      <c r="Z16">
        <v>0</v>
      </c>
      <c r="AA16">
        <v>2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f t="shared" si="0"/>
        <v>100</v>
      </c>
      <c r="AJ16" t="s">
        <v>13</v>
      </c>
      <c r="AK16">
        <f>0.05*P16</f>
        <v>0.2</v>
      </c>
    </row>
    <row r="17" spans="1:37" x14ac:dyDescent="0.35">
      <c r="A17" t="s">
        <v>27</v>
      </c>
      <c r="B17" t="s">
        <v>43</v>
      </c>
      <c r="C17" t="s">
        <v>350</v>
      </c>
      <c r="D17" s="2">
        <v>38106</v>
      </c>
      <c r="E17" t="s">
        <v>42</v>
      </c>
      <c r="F17" s="3">
        <v>0.46180555555555558</v>
      </c>
      <c r="G17" s="3">
        <v>0.47222222222222227</v>
      </c>
      <c r="H17">
        <v>13</v>
      </c>
      <c r="I17">
        <v>40</v>
      </c>
      <c r="J17">
        <v>3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70</v>
      </c>
      <c r="S17">
        <v>0</v>
      </c>
      <c r="T17">
        <v>0</v>
      </c>
      <c r="U17">
        <v>0</v>
      </c>
      <c r="V17">
        <v>27</v>
      </c>
      <c r="W17">
        <v>1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 t="shared" si="0"/>
        <v>100</v>
      </c>
      <c r="AJ17" t="s">
        <v>96</v>
      </c>
      <c r="AK17">
        <f>0.95*R17</f>
        <v>66.5</v>
      </c>
    </row>
    <row r="18" spans="1:37" x14ac:dyDescent="0.35">
      <c r="A18" t="s">
        <v>27</v>
      </c>
      <c r="B18" t="s">
        <v>44</v>
      </c>
      <c r="C18" t="s">
        <v>351</v>
      </c>
      <c r="D18" s="2">
        <v>38106</v>
      </c>
      <c r="E18" t="s">
        <v>42</v>
      </c>
      <c r="F18" s="3">
        <v>0.48333333333333334</v>
      </c>
      <c r="G18" s="3">
        <v>0.49375000000000002</v>
      </c>
      <c r="H18">
        <v>13</v>
      </c>
      <c r="I18">
        <v>40</v>
      </c>
      <c r="J18">
        <v>1</v>
      </c>
      <c r="K18">
        <v>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70</v>
      </c>
      <c r="S18">
        <v>0</v>
      </c>
      <c r="T18">
        <v>0</v>
      </c>
      <c r="U18">
        <v>0</v>
      </c>
      <c r="V18">
        <v>27</v>
      </c>
      <c r="W18">
        <v>1</v>
      </c>
      <c r="X18">
        <v>0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 t="shared" si="0"/>
        <v>100</v>
      </c>
      <c r="AJ18" t="s">
        <v>96</v>
      </c>
      <c r="AK18">
        <f>0.95*R18</f>
        <v>66.5</v>
      </c>
    </row>
    <row r="19" spans="1:37" x14ac:dyDescent="0.35">
      <c r="A19" t="s">
        <v>27</v>
      </c>
      <c r="B19">
        <v>16</v>
      </c>
      <c r="C19" t="s">
        <v>352</v>
      </c>
      <c r="D19" s="2">
        <v>38106</v>
      </c>
      <c r="E19">
        <v>0</v>
      </c>
      <c r="F19" s="3">
        <v>0.50138888888888888</v>
      </c>
      <c r="G19" s="3">
        <v>0.51180555555555551</v>
      </c>
      <c r="H19">
        <v>13.3</v>
      </c>
      <c r="I19">
        <v>33</v>
      </c>
      <c r="J19">
        <v>3</v>
      </c>
      <c r="K19">
        <v>3</v>
      </c>
      <c r="L19">
        <v>15</v>
      </c>
      <c r="M19">
        <v>0</v>
      </c>
      <c r="N19">
        <v>0</v>
      </c>
      <c r="O19">
        <v>0</v>
      </c>
      <c r="P19">
        <v>0</v>
      </c>
      <c r="Q19">
        <v>0</v>
      </c>
      <c r="R19">
        <v>74</v>
      </c>
      <c r="S19">
        <v>0</v>
      </c>
      <c r="T19">
        <v>0</v>
      </c>
      <c r="U19">
        <v>0</v>
      </c>
      <c r="V19">
        <v>10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f t="shared" si="0"/>
        <v>100</v>
      </c>
      <c r="AJ19" t="s">
        <v>97</v>
      </c>
      <c r="AK19">
        <f>0.1*R19</f>
        <v>7.4</v>
      </c>
    </row>
    <row r="20" spans="1:37" x14ac:dyDescent="0.35">
      <c r="A20" t="s">
        <v>27</v>
      </c>
      <c r="B20">
        <v>17</v>
      </c>
      <c r="C20" t="s">
        <v>353</v>
      </c>
      <c r="D20" s="2">
        <v>38106</v>
      </c>
      <c r="E20" t="s">
        <v>41</v>
      </c>
      <c r="F20" s="3">
        <v>0.51458333333333328</v>
      </c>
      <c r="G20" s="3">
        <v>0.52500000000000002</v>
      </c>
      <c r="H20">
        <v>13.3</v>
      </c>
      <c r="I20">
        <v>33</v>
      </c>
      <c r="J20">
        <v>3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20</v>
      </c>
      <c r="S20">
        <v>0</v>
      </c>
      <c r="T20">
        <v>0</v>
      </c>
      <c r="U20">
        <v>15</v>
      </c>
      <c r="V20">
        <v>65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f t="shared" si="0"/>
        <v>100</v>
      </c>
      <c r="AJ20" t="s">
        <v>97</v>
      </c>
      <c r="AK20">
        <f>0.2*R20</f>
        <v>4</v>
      </c>
    </row>
    <row r="21" spans="1:37" x14ac:dyDescent="0.35">
      <c r="A21" t="s">
        <v>27</v>
      </c>
      <c r="B21">
        <v>19</v>
      </c>
      <c r="C21" t="s">
        <v>354</v>
      </c>
      <c r="D21" s="2">
        <v>38106</v>
      </c>
      <c r="E21">
        <v>0</v>
      </c>
      <c r="F21" s="3">
        <v>0.55000000000000004</v>
      </c>
      <c r="G21" t="s">
        <v>92</v>
      </c>
      <c r="H21">
        <v>13.3</v>
      </c>
      <c r="I21">
        <v>45</v>
      </c>
      <c r="J21">
        <v>5</v>
      </c>
      <c r="K21">
        <v>4</v>
      </c>
      <c r="Q21">
        <v>0</v>
      </c>
      <c r="Z21">
        <v>0</v>
      </c>
    </row>
    <row r="22" spans="1:37" x14ac:dyDescent="0.35">
      <c r="A22" t="s">
        <v>27</v>
      </c>
      <c r="B22">
        <v>20</v>
      </c>
      <c r="C22" t="s">
        <v>355</v>
      </c>
      <c r="D22" s="2">
        <v>38107</v>
      </c>
      <c r="E22" t="s">
        <v>41</v>
      </c>
      <c r="F22" s="3">
        <v>0.59236111111111112</v>
      </c>
      <c r="G22" s="3">
        <v>0.60277777777777775</v>
      </c>
      <c r="J22">
        <v>4</v>
      </c>
      <c r="K22">
        <v>4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71</v>
      </c>
      <c r="S22">
        <v>0</v>
      </c>
      <c r="T22">
        <v>0</v>
      </c>
      <c r="U22">
        <v>0</v>
      </c>
      <c r="V22">
        <v>20</v>
      </c>
      <c r="W22">
        <v>7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 t="shared" ref="AI22:AI85" si="1">SUM(L22:AH22)</f>
        <v>100</v>
      </c>
      <c r="AJ22" t="s">
        <v>96</v>
      </c>
      <c r="AK22">
        <f>0.5*R22</f>
        <v>35.5</v>
      </c>
    </row>
    <row r="23" spans="1:37" x14ac:dyDescent="0.35">
      <c r="A23" t="s">
        <v>27</v>
      </c>
      <c r="B23">
        <v>21</v>
      </c>
      <c r="C23" t="s">
        <v>356</v>
      </c>
      <c r="D23" s="2">
        <v>38107</v>
      </c>
      <c r="E23">
        <v>0</v>
      </c>
      <c r="F23" s="3">
        <v>0.61458333333333337</v>
      </c>
      <c r="G23" s="3">
        <v>0.625</v>
      </c>
      <c r="J23">
        <v>2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25</v>
      </c>
      <c r="S23">
        <v>0</v>
      </c>
      <c r="T23">
        <v>0</v>
      </c>
      <c r="U23">
        <v>0</v>
      </c>
      <c r="V23">
        <v>75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 t="shared" si="1"/>
        <v>100</v>
      </c>
      <c r="AJ23" t="s">
        <v>97</v>
      </c>
      <c r="AK23">
        <f>0.75*R23</f>
        <v>18.75</v>
      </c>
    </row>
    <row r="24" spans="1:37" x14ac:dyDescent="0.35">
      <c r="A24" t="s">
        <v>27</v>
      </c>
      <c r="B24">
        <v>23</v>
      </c>
      <c r="C24" t="s">
        <v>357</v>
      </c>
      <c r="D24" s="2">
        <v>38110</v>
      </c>
      <c r="E24">
        <v>0</v>
      </c>
      <c r="F24" s="3">
        <v>0.4513888888888889</v>
      </c>
      <c r="G24" s="3">
        <v>0.46180555555555558</v>
      </c>
      <c r="H24">
        <v>14.6</v>
      </c>
      <c r="I24">
        <v>44</v>
      </c>
      <c r="J24">
        <v>2</v>
      </c>
      <c r="K24">
        <v>2</v>
      </c>
      <c r="L24">
        <v>0</v>
      </c>
      <c r="M24">
        <v>0</v>
      </c>
      <c r="N24">
        <v>0</v>
      </c>
      <c r="O24">
        <v>0</v>
      </c>
      <c r="P24">
        <v>45</v>
      </c>
      <c r="Q24">
        <v>0</v>
      </c>
      <c r="R24">
        <v>0</v>
      </c>
      <c r="S24">
        <v>4</v>
      </c>
      <c r="T24">
        <v>0</v>
      </c>
      <c r="U24">
        <v>0</v>
      </c>
      <c r="V24">
        <v>42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7</v>
      </c>
      <c r="AF24">
        <v>0</v>
      </c>
      <c r="AG24">
        <v>0</v>
      </c>
      <c r="AH24">
        <v>0</v>
      </c>
      <c r="AI24">
        <f t="shared" si="1"/>
        <v>100</v>
      </c>
      <c r="AJ24" t="s">
        <v>13</v>
      </c>
      <c r="AK24">
        <f>0.15*P24</f>
        <v>6.75</v>
      </c>
    </row>
    <row r="25" spans="1:37" x14ac:dyDescent="0.35">
      <c r="A25" t="s">
        <v>27</v>
      </c>
      <c r="B25">
        <v>25</v>
      </c>
      <c r="C25" t="s">
        <v>358</v>
      </c>
      <c r="D25" s="2">
        <v>38110</v>
      </c>
      <c r="E25">
        <v>0</v>
      </c>
      <c r="F25" s="3">
        <v>0.48958333333333331</v>
      </c>
      <c r="G25" s="3">
        <v>0.5</v>
      </c>
      <c r="H25">
        <v>16.3</v>
      </c>
      <c r="I25">
        <v>35</v>
      </c>
      <c r="J25">
        <v>2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80</v>
      </c>
      <c r="S25">
        <v>0</v>
      </c>
      <c r="T25">
        <v>0</v>
      </c>
      <c r="U25">
        <v>0</v>
      </c>
      <c r="V25">
        <v>2</v>
      </c>
      <c r="W25">
        <v>18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"/>
        <v>100</v>
      </c>
      <c r="AJ25" t="s">
        <v>96</v>
      </c>
      <c r="AK25">
        <f>0.5*R25</f>
        <v>40</v>
      </c>
    </row>
    <row r="26" spans="1:37" x14ac:dyDescent="0.35">
      <c r="A26" t="s">
        <v>27</v>
      </c>
      <c r="B26">
        <v>24</v>
      </c>
      <c r="C26" t="s">
        <v>359</v>
      </c>
      <c r="D26" s="2">
        <v>38110</v>
      </c>
      <c r="E26">
        <v>0</v>
      </c>
      <c r="F26" s="3">
        <v>0.47361111111111115</v>
      </c>
      <c r="G26" s="3">
        <v>0.48402777777777778</v>
      </c>
      <c r="H26">
        <v>15.1</v>
      </c>
      <c r="I26">
        <v>42</v>
      </c>
      <c r="J26">
        <v>2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50</v>
      </c>
      <c r="S26">
        <v>0</v>
      </c>
      <c r="T26">
        <v>0</v>
      </c>
      <c r="U26">
        <v>0</v>
      </c>
      <c r="V26">
        <v>48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1"/>
        <v>100</v>
      </c>
      <c r="AJ26" t="s">
        <v>97</v>
      </c>
      <c r="AK26">
        <f>0.3*R26</f>
        <v>15</v>
      </c>
    </row>
    <row r="27" spans="1:37" x14ac:dyDescent="0.35">
      <c r="A27" t="s">
        <v>27</v>
      </c>
      <c r="B27">
        <v>22</v>
      </c>
      <c r="C27" t="s">
        <v>360</v>
      </c>
      <c r="D27" s="2">
        <v>38110</v>
      </c>
      <c r="E27">
        <v>0</v>
      </c>
      <c r="F27" s="3">
        <v>0.42708333333333331</v>
      </c>
      <c r="G27" s="3">
        <v>0.4375</v>
      </c>
      <c r="H27">
        <v>13.5</v>
      </c>
      <c r="I27">
        <v>44</v>
      </c>
      <c r="J27">
        <v>1</v>
      </c>
      <c r="K27">
        <v>2</v>
      </c>
      <c r="L27">
        <v>10</v>
      </c>
      <c r="M27">
        <v>0</v>
      </c>
      <c r="N27">
        <v>90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 t="shared" si="1"/>
        <v>100</v>
      </c>
      <c r="AJ27" t="s">
        <v>11</v>
      </c>
      <c r="AK27">
        <f>0.1*N27</f>
        <v>9</v>
      </c>
    </row>
    <row r="28" spans="1:37" x14ac:dyDescent="0.35">
      <c r="A28" t="s">
        <v>27</v>
      </c>
      <c r="B28">
        <v>26</v>
      </c>
      <c r="C28" t="s">
        <v>361</v>
      </c>
      <c r="D28" s="2">
        <v>38110</v>
      </c>
      <c r="E28" t="s">
        <v>33</v>
      </c>
      <c r="F28" s="3">
        <v>0.51597222222222217</v>
      </c>
      <c r="G28" s="3">
        <v>0.52638888888888891</v>
      </c>
      <c r="H28">
        <v>17.2</v>
      </c>
      <c r="I28">
        <v>30</v>
      </c>
      <c r="J28">
        <v>2</v>
      </c>
      <c r="K28">
        <v>2</v>
      </c>
      <c r="L28">
        <v>0</v>
      </c>
      <c r="M28">
        <v>0</v>
      </c>
      <c r="N28">
        <v>93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"/>
        <v>100</v>
      </c>
      <c r="AJ28" t="s">
        <v>11</v>
      </c>
      <c r="AK28">
        <f>0.15*N28</f>
        <v>13.95</v>
      </c>
    </row>
    <row r="29" spans="1:37" x14ac:dyDescent="0.35">
      <c r="A29" t="s">
        <v>27</v>
      </c>
      <c r="B29">
        <v>27</v>
      </c>
      <c r="C29" t="s">
        <v>362</v>
      </c>
      <c r="D29" s="2">
        <v>38112</v>
      </c>
      <c r="E29" t="s">
        <v>33</v>
      </c>
      <c r="F29" s="3">
        <v>0.54236111111111118</v>
      </c>
      <c r="G29" s="3">
        <v>0.55277777777777781</v>
      </c>
      <c r="H29">
        <v>16.100000000000001</v>
      </c>
      <c r="I29">
        <v>58</v>
      </c>
      <c r="J29">
        <v>5</v>
      </c>
      <c r="K29">
        <v>0</v>
      </c>
      <c r="L29">
        <v>0</v>
      </c>
      <c r="M29">
        <v>0</v>
      </c>
      <c r="N29">
        <v>95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"/>
        <v>100</v>
      </c>
      <c r="AJ29" t="s">
        <v>11</v>
      </c>
      <c r="AK29">
        <f>0.8*N29</f>
        <v>76</v>
      </c>
    </row>
    <row r="30" spans="1:37" x14ac:dyDescent="0.35">
      <c r="A30" t="s">
        <v>27</v>
      </c>
      <c r="B30">
        <v>31</v>
      </c>
      <c r="C30" t="s">
        <v>363</v>
      </c>
      <c r="D30" s="2">
        <v>38113</v>
      </c>
      <c r="E30" t="s">
        <v>46</v>
      </c>
      <c r="F30" s="3">
        <v>0.66527777777777775</v>
      </c>
      <c r="G30" s="3">
        <v>0.67569444444444438</v>
      </c>
      <c r="H30">
        <v>20.399999999999999</v>
      </c>
      <c r="I30">
        <v>57</v>
      </c>
      <c r="J30">
        <v>3</v>
      </c>
      <c r="K30">
        <v>1</v>
      </c>
      <c r="L30">
        <v>0</v>
      </c>
      <c r="M30">
        <v>10</v>
      </c>
      <c r="N30">
        <v>0</v>
      </c>
      <c r="O30">
        <v>0</v>
      </c>
      <c r="P30">
        <v>0</v>
      </c>
      <c r="Q30">
        <v>0</v>
      </c>
      <c r="R30">
        <v>60</v>
      </c>
      <c r="S30">
        <v>0</v>
      </c>
      <c r="T30">
        <v>0</v>
      </c>
      <c r="U30">
        <v>0</v>
      </c>
      <c r="V30">
        <v>25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 t="shared" si="1"/>
        <v>100</v>
      </c>
      <c r="AJ30" t="s">
        <v>84</v>
      </c>
      <c r="AK30">
        <f>0.6*R30</f>
        <v>36</v>
      </c>
    </row>
    <row r="31" spans="1:37" x14ac:dyDescent="0.35">
      <c r="A31" t="s">
        <v>27</v>
      </c>
      <c r="B31">
        <v>30</v>
      </c>
      <c r="C31" t="s">
        <v>364</v>
      </c>
      <c r="D31" s="2">
        <v>38113</v>
      </c>
      <c r="E31">
        <v>0</v>
      </c>
      <c r="F31" s="3">
        <v>0.64583333333333337</v>
      </c>
      <c r="G31" s="3">
        <v>0.65625</v>
      </c>
      <c r="H31">
        <v>19.399999999999999</v>
      </c>
      <c r="I31">
        <v>68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50</v>
      </c>
      <c r="S31">
        <v>0</v>
      </c>
      <c r="T31">
        <v>0</v>
      </c>
      <c r="U31">
        <v>0</v>
      </c>
      <c r="V31">
        <v>50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 t="shared" si="1"/>
        <v>100</v>
      </c>
      <c r="AJ31" t="s">
        <v>83</v>
      </c>
      <c r="AK31">
        <f>0.35*R31</f>
        <v>17.5</v>
      </c>
    </row>
    <row r="32" spans="1:37" x14ac:dyDescent="0.35">
      <c r="A32" t="s">
        <v>27</v>
      </c>
      <c r="B32">
        <v>28</v>
      </c>
      <c r="C32" t="s">
        <v>365</v>
      </c>
      <c r="D32" s="2">
        <v>38113</v>
      </c>
      <c r="E32" t="s">
        <v>33</v>
      </c>
      <c r="F32" s="3">
        <v>0.59930555555555554</v>
      </c>
      <c r="G32" s="3">
        <v>0.60902777777777783</v>
      </c>
      <c r="H32">
        <v>16.100000000000001</v>
      </c>
      <c r="I32">
        <v>64</v>
      </c>
      <c r="J32">
        <v>5</v>
      </c>
      <c r="K32">
        <v>1</v>
      </c>
      <c r="L32">
        <v>20</v>
      </c>
      <c r="M32">
        <v>0</v>
      </c>
      <c r="N32">
        <v>78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 t="shared" si="1"/>
        <v>100</v>
      </c>
      <c r="AJ32" t="s">
        <v>11</v>
      </c>
      <c r="AK32">
        <f>0.75*N32</f>
        <v>58.5</v>
      </c>
    </row>
    <row r="33" spans="1:37" x14ac:dyDescent="0.35">
      <c r="A33" t="s">
        <v>27</v>
      </c>
      <c r="B33">
        <v>29</v>
      </c>
      <c r="C33" t="s">
        <v>366</v>
      </c>
      <c r="D33" s="2">
        <v>38113</v>
      </c>
      <c r="E33" t="s">
        <v>33</v>
      </c>
      <c r="F33" s="3">
        <v>0.61527777777777781</v>
      </c>
      <c r="G33" s="3">
        <v>0.62569444444444444</v>
      </c>
      <c r="H33">
        <v>16.5</v>
      </c>
      <c r="I33">
        <v>71</v>
      </c>
      <c r="J33">
        <v>4</v>
      </c>
      <c r="K33">
        <v>1</v>
      </c>
      <c r="L33">
        <v>0</v>
      </c>
      <c r="M33">
        <v>0</v>
      </c>
      <c r="N33">
        <v>83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</v>
      </c>
      <c r="AF33">
        <v>0</v>
      </c>
      <c r="AG33">
        <v>0</v>
      </c>
      <c r="AH33">
        <v>0</v>
      </c>
      <c r="AI33">
        <f t="shared" si="1"/>
        <v>100</v>
      </c>
      <c r="AJ33" t="s">
        <v>11</v>
      </c>
      <c r="AK33">
        <f>0.95*N33</f>
        <v>78.849999999999994</v>
      </c>
    </row>
    <row r="34" spans="1:37" x14ac:dyDescent="0.35">
      <c r="A34" t="s">
        <v>27</v>
      </c>
      <c r="B34">
        <v>33</v>
      </c>
      <c r="C34" t="s">
        <v>367</v>
      </c>
      <c r="D34" s="2">
        <v>38118</v>
      </c>
      <c r="E34" t="s">
        <v>49</v>
      </c>
      <c r="F34" s="3">
        <v>0.53819444444444442</v>
      </c>
      <c r="G34" s="3">
        <v>0.54861111111111105</v>
      </c>
      <c r="H34">
        <v>19.8</v>
      </c>
      <c r="I34">
        <v>40</v>
      </c>
      <c r="J34">
        <v>1</v>
      </c>
      <c r="K34">
        <v>1</v>
      </c>
      <c r="L34">
        <v>49</v>
      </c>
      <c r="M34">
        <v>1</v>
      </c>
      <c r="N34">
        <v>0</v>
      </c>
      <c r="O34">
        <v>0</v>
      </c>
      <c r="P34">
        <v>50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 t="shared" si="1"/>
        <v>100</v>
      </c>
      <c r="AJ34" t="s">
        <v>13</v>
      </c>
      <c r="AK34">
        <f>0.98*P34</f>
        <v>49</v>
      </c>
    </row>
    <row r="35" spans="1:37" x14ac:dyDescent="0.35">
      <c r="A35" t="s">
        <v>27</v>
      </c>
      <c r="B35">
        <v>37</v>
      </c>
      <c r="C35" t="s">
        <v>368</v>
      </c>
      <c r="D35" s="2">
        <v>38118</v>
      </c>
      <c r="E35">
        <v>0</v>
      </c>
      <c r="F35" s="3">
        <v>0.55208333333333337</v>
      </c>
      <c r="G35" s="3">
        <v>0.5625</v>
      </c>
      <c r="H35">
        <v>28</v>
      </c>
      <c r="I35">
        <v>18.600000000000001</v>
      </c>
      <c r="J35">
        <v>1</v>
      </c>
      <c r="K35">
        <v>2</v>
      </c>
      <c r="L35">
        <v>40</v>
      </c>
      <c r="M35">
        <v>0</v>
      </c>
      <c r="N35">
        <v>0</v>
      </c>
      <c r="O35">
        <v>0</v>
      </c>
      <c r="P35">
        <v>20</v>
      </c>
      <c r="Q35">
        <v>0</v>
      </c>
      <c r="R35">
        <v>0</v>
      </c>
      <c r="S35">
        <v>35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 t="shared" si="1"/>
        <v>100</v>
      </c>
      <c r="AJ35" t="s">
        <v>13</v>
      </c>
      <c r="AK35">
        <f>0.98*P35</f>
        <v>19.600000000000001</v>
      </c>
    </row>
    <row r="36" spans="1:37" x14ac:dyDescent="0.35">
      <c r="A36" t="s">
        <v>27</v>
      </c>
      <c r="B36">
        <v>35</v>
      </c>
      <c r="C36" t="s">
        <v>369</v>
      </c>
      <c r="D36" s="2">
        <v>38118</v>
      </c>
      <c r="E36" t="s">
        <v>50</v>
      </c>
      <c r="F36" s="3">
        <v>0.5180555555555556</v>
      </c>
      <c r="G36" s="3">
        <v>0.52847222222222223</v>
      </c>
      <c r="H36">
        <v>17.2</v>
      </c>
      <c r="I36">
        <v>35</v>
      </c>
      <c r="J36">
        <v>2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50</v>
      </c>
      <c r="S36">
        <v>10</v>
      </c>
      <c r="T36">
        <v>0</v>
      </c>
      <c r="U36">
        <v>0</v>
      </c>
      <c r="V36">
        <v>30</v>
      </c>
      <c r="W36">
        <v>10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 t="shared" si="1"/>
        <v>100</v>
      </c>
      <c r="AJ36" t="s">
        <v>84</v>
      </c>
      <c r="AK36">
        <f>0.7*R36</f>
        <v>35</v>
      </c>
    </row>
    <row r="37" spans="1:37" x14ac:dyDescent="0.35">
      <c r="A37" t="s">
        <v>27</v>
      </c>
      <c r="B37">
        <v>34</v>
      </c>
      <c r="C37" t="s">
        <v>370</v>
      </c>
      <c r="D37" s="2">
        <v>38118</v>
      </c>
      <c r="E37">
        <v>0</v>
      </c>
      <c r="F37" s="3">
        <v>0.50624999999999998</v>
      </c>
      <c r="G37" s="3">
        <v>0.51666666666666672</v>
      </c>
      <c r="H37">
        <v>16.399999999999999</v>
      </c>
      <c r="I37">
        <v>53</v>
      </c>
      <c r="J37">
        <v>5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35</v>
      </c>
      <c r="S37">
        <v>6</v>
      </c>
      <c r="T37">
        <v>0</v>
      </c>
      <c r="U37">
        <v>0</v>
      </c>
      <c r="V37">
        <v>38</v>
      </c>
      <c r="W37">
        <v>20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 t="shared" si="1"/>
        <v>100</v>
      </c>
      <c r="AJ37" t="s">
        <v>83</v>
      </c>
      <c r="AK37">
        <f>0.5*R37</f>
        <v>17.5</v>
      </c>
    </row>
    <row r="38" spans="1:37" x14ac:dyDescent="0.35">
      <c r="A38" t="s">
        <v>27</v>
      </c>
      <c r="B38">
        <v>32</v>
      </c>
      <c r="C38" t="s">
        <v>371</v>
      </c>
      <c r="D38" s="2">
        <v>38118</v>
      </c>
      <c r="E38" t="s">
        <v>36</v>
      </c>
      <c r="F38" s="3">
        <v>0.38194444444444442</v>
      </c>
      <c r="G38" s="3">
        <v>0.3923611111111111</v>
      </c>
      <c r="H38">
        <v>10.4</v>
      </c>
      <c r="I38">
        <v>75</v>
      </c>
      <c r="J38">
        <v>5</v>
      </c>
      <c r="K38">
        <v>0</v>
      </c>
      <c r="L38">
        <v>0</v>
      </c>
      <c r="M38">
        <v>0</v>
      </c>
      <c r="N38">
        <v>97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f t="shared" si="1"/>
        <v>100</v>
      </c>
      <c r="AJ38" t="s">
        <v>11</v>
      </c>
      <c r="AK38">
        <f>0.95*N38</f>
        <v>92.149999999999991</v>
      </c>
    </row>
    <row r="39" spans="1:37" x14ac:dyDescent="0.35">
      <c r="A39" t="s">
        <v>27</v>
      </c>
      <c r="B39">
        <v>36</v>
      </c>
      <c r="C39" t="s">
        <v>372</v>
      </c>
      <c r="D39" s="2">
        <v>38118</v>
      </c>
      <c r="E39" t="s">
        <v>31</v>
      </c>
      <c r="F39" s="3">
        <v>0.47916666666666669</v>
      </c>
      <c r="G39" s="3">
        <v>0.48958333333333331</v>
      </c>
      <c r="H39">
        <v>16.2</v>
      </c>
      <c r="I39">
        <v>65</v>
      </c>
      <c r="J39">
        <v>5</v>
      </c>
      <c r="K39">
        <v>0</v>
      </c>
      <c r="L39">
        <v>40</v>
      </c>
      <c r="M39">
        <v>3</v>
      </c>
      <c r="N39">
        <v>57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f t="shared" si="1"/>
        <v>100</v>
      </c>
      <c r="AJ39" t="s">
        <v>11</v>
      </c>
      <c r="AK39">
        <f>0.95*N39</f>
        <v>54.15</v>
      </c>
    </row>
    <row r="40" spans="1:37" x14ac:dyDescent="0.35">
      <c r="A40" t="s">
        <v>27</v>
      </c>
      <c r="B40">
        <v>38</v>
      </c>
      <c r="C40" t="s">
        <v>373</v>
      </c>
      <c r="D40" s="2">
        <v>38118</v>
      </c>
      <c r="E40" t="s">
        <v>33</v>
      </c>
      <c r="F40" s="3">
        <v>0.5708333333333333</v>
      </c>
      <c r="G40" s="3">
        <v>0.58125000000000004</v>
      </c>
      <c r="H40">
        <v>20.5</v>
      </c>
      <c r="I40">
        <v>27</v>
      </c>
      <c r="J40">
        <v>0</v>
      </c>
      <c r="K40">
        <v>1</v>
      </c>
      <c r="L40">
        <v>0</v>
      </c>
      <c r="M40">
        <v>0</v>
      </c>
      <c r="N40">
        <v>93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1"/>
        <v>100</v>
      </c>
      <c r="AJ40" t="s">
        <v>11</v>
      </c>
      <c r="AK40">
        <f>0.98*N40</f>
        <v>91.14</v>
      </c>
    </row>
    <row r="41" spans="1:37" x14ac:dyDescent="0.35">
      <c r="A41" t="s">
        <v>27</v>
      </c>
      <c r="B41">
        <v>40</v>
      </c>
      <c r="C41" t="s">
        <v>374</v>
      </c>
      <c r="D41" s="2">
        <v>38121</v>
      </c>
      <c r="E41" t="s">
        <v>31</v>
      </c>
      <c r="F41" s="3">
        <v>0.50347222222222221</v>
      </c>
      <c r="G41" s="3">
        <v>0.51388888888888895</v>
      </c>
      <c r="H41">
        <v>15.8</v>
      </c>
      <c r="I41">
        <v>56</v>
      </c>
      <c r="J41">
        <v>5</v>
      </c>
      <c r="K41">
        <v>2</v>
      </c>
      <c r="L41">
        <v>40</v>
      </c>
      <c r="M41">
        <v>20</v>
      </c>
      <c r="N41">
        <v>0</v>
      </c>
      <c r="O41">
        <v>0</v>
      </c>
      <c r="P41">
        <v>30</v>
      </c>
      <c r="Q41">
        <v>0</v>
      </c>
      <c r="R41">
        <v>0</v>
      </c>
      <c r="S41">
        <v>0</v>
      </c>
      <c r="T41">
        <v>0</v>
      </c>
      <c r="U41">
        <v>0</v>
      </c>
      <c r="V41">
        <v>10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f t="shared" si="1"/>
        <v>100</v>
      </c>
      <c r="AJ41" t="s">
        <v>13</v>
      </c>
      <c r="AK41">
        <f>1*P41</f>
        <v>30</v>
      </c>
    </row>
    <row r="42" spans="1:37" x14ac:dyDescent="0.35">
      <c r="A42" t="s">
        <v>27</v>
      </c>
      <c r="B42">
        <v>43</v>
      </c>
      <c r="C42" t="s">
        <v>375</v>
      </c>
      <c r="D42" s="2">
        <v>38121</v>
      </c>
      <c r="E42" t="s">
        <v>31</v>
      </c>
      <c r="F42" s="3">
        <v>0.54861111111111105</v>
      </c>
      <c r="G42" s="3">
        <v>0.55902777777777779</v>
      </c>
      <c r="H42">
        <v>20.5</v>
      </c>
      <c r="I42">
        <v>47</v>
      </c>
      <c r="J42">
        <v>5</v>
      </c>
      <c r="K42">
        <v>2</v>
      </c>
      <c r="L42">
        <v>50</v>
      </c>
      <c r="M42">
        <v>0</v>
      </c>
      <c r="N42">
        <v>0</v>
      </c>
      <c r="O42">
        <v>0</v>
      </c>
      <c r="P42">
        <v>40</v>
      </c>
      <c r="Q42">
        <v>0</v>
      </c>
      <c r="R42">
        <v>0</v>
      </c>
      <c r="S42">
        <v>0</v>
      </c>
      <c r="T42">
        <v>0</v>
      </c>
      <c r="U42">
        <v>0</v>
      </c>
      <c r="V42">
        <v>10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 t="shared" si="1"/>
        <v>100</v>
      </c>
      <c r="AJ42" t="s">
        <v>13</v>
      </c>
      <c r="AK42">
        <f>0.95*P42</f>
        <v>38</v>
      </c>
    </row>
    <row r="43" spans="1:37" x14ac:dyDescent="0.35">
      <c r="A43" t="s">
        <v>27</v>
      </c>
      <c r="B43">
        <v>44</v>
      </c>
      <c r="C43" t="s">
        <v>376</v>
      </c>
      <c r="D43" s="2">
        <v>38121</v>
      </c>
      <c r="E43">
        <v>0</v>
      </c>
      <c r="F43" s="3">
        <v>0.56805555555555554</v>
      </c>
      <c r="G43" s="3">
        <v>0.57847222222222217</v>
      </c>
      <c r="H43">
        <v>19.8</v>
      </c>
      <c r="I43">
        <v>47</v>
      </c>
      <c r="J43">
        <v>5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50</v>
      </c>
      <c r="S43">
        <v>10</v>
      </c>
      <c r="T43">
        <v>0</v>
      </c>
      <c r="U43">
        <v>0</v>
      </c>
      <c r="V43">
        <v>30</v>
      </c>
      <c r="W43">
        <v>10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f t="shared" si="1"/>
        <v>100</v>
      </c>
      <c r="AJ43" t="s">
        <v>84</v>
      </c>
      <c r="AK43">
        <v>0.1</v>
      </c>
    </row>
    <row r="44" spans="1:37" x14ac:dyDescent="0.35">
      <c r="A44" t="s">
        <v>27</v>
      </c>
      <c r="B44">
        <v>45</v>
      </c>
      <c r="C44" t="s">
        <v>377</v>
      </c>
      <c r="D44" s="2">
        <v>38121</v>
      </c>
      <c r="E44" t="s">
        <v>50</v>
      </c>
      <c r="F44" s="3">
        <v>0.58125000000000004</v>
      </c>
      <c r="G44" s="3">
        <v>0.59166666666666667</v>
      </c>
      <c r="H44">
        <v>21.1</v>
      </c>
      <c r="I44">
        <v>42</v>
      </c>
      <c r="J44">
        <v>5</v>
      </c>
      <c r="K44">
        <v>2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35</v>
      </c>
      <c r="S44">
        <v>6</v>
      </c>
      <c r="T44">
        <v>0</v>
      </c>
      <c r="U44">
        <v>0</v>
      </c>
      <c r="V44">
        <v>38</v>
      </c>
      <c r="W44">
        <v>20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f t="shared" si="1"/>
        <v>100</v>
      </c>
      <c r="AJ44" t="s">
        <v>83</v>
      </c>
      <c r="AK44">
        <f>0.4*R44</f>
        <v>14</v>
      </c>
    </row>
    <row r="45" spans="1:37" x14ac:dyDescent="0.35">
      <c r="A45" t="s">
        <v>27</v>
      </c>
      <c r="B45">
        <v>39</v>
      </c>
      <c r="C45" t="s">
        <v>378</v>
      </c>
      <c r="D45" s="2">
        <v>38121</v>
      </c>
      <c r="E45" t="s">
        <v>31</v>
      </c>
      <c r="F45" s="3">
        <v>0.4861111111111111</v>
      </c>
      <c r="G45" s="3">
        <v>0.49652777777777773</v>
      </c>
      <c r="H45">
        <v>16.100000000000001</v>
      </c>
      <c r="I45">
        <v>47</v>
      </c>
      <c r="J45">
        <v>5</v>
      </c>
      <c r="K45">
        <v>2</v>
      </c>
      <c r="L45">
        <v>35</v>
      </c>
      <c r="M45">
        <v>5</v>
      </c>
      <c r="N45">
        <v>60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f t="shared" si="1"/>
        <v>100</v>
      </c>
      <c r="AJ45" t="s">
        <v>11</v>
      </c>
      <c r="AK45">
        <v>0.1</v>
      </c>
    </row>
    <row r="46" spans="1:37" x14ac:dyDescent="0.35">
      <c r="A46" t="s">
        <v>27</v>
      </c>
      <c r="B46">
        <v>42</v>
      </c>
      <c r="C46" t="s">
        <v>379</v>
      </c>
      <c r="D46" s="2">
        <v>38121</v>
      </c>
      <c r="E46" t="s">
        <v>31</v>
      </c>
      <c r="F46" s="3">
        <v>0.53472222222222221</v>
      </c>
      <c r="G46" s="3">
        <v>0.54513888888888895</v>
      </c>
      <c r="H46">
        <v>18.3</v>
      </c>
      <c r="I46">
        <v>49</v>
      </c>
      <c r="J46">
        <v>5</v>
      </c>
      <c r="K46">
        <v>2</v>
      </c>
      <c r="L46">
        <v>0</v>
      </c>
      <c r="M46">
        <v>0</v>
      </c>
      <c r="N46">
        <v>100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f t="shared" si="1"/>
        <v>100</v>
      </c>
      <c r="AJ46" t="s">
        <v>11</v>
      </c>
      <c r="AK46">
        <v>0.1</v>
      </c>
    </row>
    <row r="47" spans="1:37" x14ac:dyDescent="0.35">
      <c r="A47" t="s">
        <v>27</v>
      </c>
      <c r="B47">
        <v>41</v>
      </c>
      <c r="C47" t="s">
        <v>380</v>
      </c>
      <c r="D47" s="2">
        <v>38121</v>
      </c>
      <c r="E47">
        <v>0</v>
      </c>
      <c r="F47" s="3">
        <v>0.52083333333333337</v>
      </c>
      <c r="G47" s="3">
        <v>0.53125</v>
      </c>
      <c r="H47">
        <v>16.8</v>
      </c>
      <c r="I47">
        <v>45</v>
      </c>
      <c r="J47">
        <v>5</v>
      </c>
      <c r="K47">
        <v>2</v>
      </c>
      <c r="L47">
        <v>0</v>
      </c>
      <c r="M47">
        <v>40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60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f t="shared" si="1"/>
        <v>100</v>
      </c>
      <c r="AJ47" t="s">
        <v>10</v>
      </c>
      <c r="AK47">
        <f>0.05*M47</f>
        <v>2</v>
      </c>
    </row>
    <row r="48" spans="1:37" x14ac:dyDescent="0.35">
      <c r="A48" t="s">
        <v>27</v>
      </c>
      <c r="B48">
        <v>48</v>
      </c>
      <c r="C48" t="s">
        <v>381</v>
      </c>
      <c r="D48" s="2">
        <v>38123</v>
      </c>
      <c r="E48">
        <v>0</v>
      </c>
      <c r="F48" s="3">
        <v>0.5229166666666667</v>
      </c>
      <c r="G48" s="3">
        <v>0.53333333333333333</v>
      </c>
      <c r="H48">
        <v>20.2</v>
      </c>
      <c r="I48">
        <v>52</v>
      </c>
      <c r="J48">
        <v>1</v>
      </c>
      <c r="K48">
        <v>3</v>
      </c>
      <c r="L48">
        <v>0</v>
      </c>
      <c r="M48">
        <v>0</v>
      </c>
      <c r="N48">
        <v>0</v>
      </c>
      <c r="O48">
        <v>0</v>
      </c>
      <c r="P48">
        <v>30</v>
      </c>
      <c r="Q48">
        <v>0</v>
      </c>
      <c r="R48">
        <v>0</v>
      </c>
      <c r="S48">
        <v>0</v>
      </c>
      <c r="T48">
        <v>0</v>
      </c>
      <c r="U48">
        <v>0</v>
      </c>
      <c r="V48">
        <v>70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f t="shared" si="1"/>
        <v>100</v>
      </c>
      <c r="AJ48" t="s">
        <v>13</v>
      </c>
      <c r="AK48">
        <f>0.9*P48</f>
        <v>27</v>
      </c>
    </row>
    <row r="49" spans="1:37" x14ac:dyDescent="0.35">
      <c r="A49" t="s">
        <v>27</v>
      </c>
      <c r="B49">
        <v>47</v>
      </c>
      <c r="C49" t="s">
        <v>382</v>
      </c>
      <c r="D49" s="2">
        <v>38123</v>
      </c>
      <c r="E49">
        <v>0</v>
      </c>
      <c r="F49" s="3">
        <v>0.51041666666666663</v>
      </c>
      <c r="G49" s="3">
        <v>0.52083333333333337</v>
      </c>
      <c r="H49">
        <v>21.9</v>
      </c>
      <c r="I49">
        <v>47</v>
      </c>
      <c r="J49">
        <v>1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90</v>
      </c>
      <c r="W49">
        <v>0</v>
      </c>
      <c r="X49">
        <v>0</v>
      </c>
      <c r="Y49">
        <v>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</v>
      </c>
      <c r="AF49">
        <v>0</v>
      </c>
      <c r="AG49">
        <v>0</v>
      </c>
      <c r="AH49">
        <v>0</v>
      </c>
      <c r="AI49">
        <f t="shared" si="1"/>
        <v>100</v>
      </c>
      <c r="AJ49" t="s">
        <v>86</v>
      </c>
      <c r="AK49">
        <v>1</v>
      </c>
    </row>
    <row r="50" spans="1:37" x14ac:dyDescent="0.35">
      <c r="A50" t="s">
        <v>27</v>
      </c>
      <c r="B50">
        <v>49</v>
      </c>
      <c r="C50" t="s">
        <v>383</v>
      </c>
      <c r="D50" s="2">
        <v>38123</v>
      </c>
      <c r="E50" t="s">
        <v>51</v>
      </c>
      <c r="F50" s="3">
        <v>0.53611111111111109</v>
      </c>
      <c r="G50" s="3">
        <v>0.54652777777777783</v>
      </c>
      <c r="H50">
        <v>17.8</v>
      </c>
      <c r="I50">
        <v>64</v>
      </c>
      <c r="J50">
        <v>5</v>
      </c>
      <c r="K50">
        <v>3</v>
      </c>
      <c r="L50">
        <v>0</v>
      </c>
      <c r="M50">
        <v>0</v>
      </c>
      <c r="N50">
        <v>0</v>
      </c>
      <c r="O50">
        <v>100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f t="shared" si="1"/>
        <v>100</v>
      </c>
      <c r="AJ50" t="s">
        <v>12</v>
      </c>
      <c r="AK50">
        <v>0.1</v>
      </c>
    </row>
    <row r="51" spans="1:37" x14ac:dyDescent="0.35">
      <c r="A51" t="s">
        <v>27</v>
      </c>
      <c r="B51">
        <v>46</v>
      </c>
      <c r="C51" t="s">
        <v>384</v>
      </c>
      <c r="D51" s="2">
        <v>38123</v>
      </c>
      <c r="E51">
        <v>0</v>
      </c>
      <c r="F51" s="3">
        <v>0.48958333333333331</v>
      </c>
      <c r="G51" s="3">
        <v>0.5</v>
      </c>
      <c r="H51">
        <v>22.6</v>
      </c>
      <c r="I51">
        <v>47</v>
      </c>
      <c r="J51">
        <v>1</v>
      </c>
      <c r="K51">
        <v>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90</v>
      </c>
      <c r="W51">
        <v>0</v>
      </c>
      <c r="X51">
        <v>0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 t="shared" si="1"/>
        <v>100</v>
      </c>
      <c r="AJ51" t="s">
        <v>85</v>
      </c>
      <c r="AK51">
        <f>1*Y51</f>
        <v>10</v>
      </c>
    </row>
    <row r="52" spans="1:37" x14ac:dyDescent="0.35">
      <c r="A52" t="s">
        <v>27</v>
      </c>
      <c r="B52">
        <v>54</v>
      </c>
      <c r="C52" t="s">
        <v>385</v>
      </c>
      <c r="D52" s="2">
        <v>38128</v>
      </c>
      <c r="E52" t="s">
        <v>49</v>
      </c>
      <c r="F52" s="3">
        <v>0.67013888888888884</v>
      </c>
      <c r="G52" s="3">
        <v>0.68055555555555547</v>
      </c>
      <c r="H52">
        <v>15.2</v>
      </c>
      <c r="I52">
        <v>40</v>
      </c>
      <c r="J52">
        <v>2</v>
      </c>
      <c r="K52">
        <v>2</v>
      </c>
      <c r="L52">
        <v>49</v>
      </c>
      <c r="M52">
        <v>1</v>
      </c>
      <c r="N52">
        <v>0</v>
      </c>
      <c r="O52">
        <v>0</v>
      </c>
      <c r="P52">
        <v>50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f t="shared" si="1"/>
        <v>100</v>
      </c>
      <c r="AJ52" t="s">
        <v>13</v>
      </c>
      <c r="AK52">
        <f>0.35*P52</f>
        <v>17.5</v>
      </c>
    </row>
    <row r="53" spans="1:37" x14ac:dyDescent="0.35">
      <c r="A53" t="s">
        <v>27</v>
      </c>
      <c r="B53">
        <v>51</v>
      </c>
      <c r="C53" t="s">
        <v>386</v>
      </c>
      <c r="D53" s="2">
        <v>38128</v>
      </c>
      <c r="E53" t="s">
        <v>37</v>
      </c>
      <c r="F53" s="3">
        <v>0.58333333333333337</v>
      </c>
      <c r="G53" s="3">
        <v>0.59375</v>
      </c>
      <c r="H53">
        <v>12.8</v>
      </c>
      <c r="I53">
        <v>53</v>
      </c>
      <c r="J53">
        <v>3</v>
      </c>
      <c r="K53">
        <v>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7</v>
      </c>
      <c r="T53">
        <v>0</v>
      </c>
      <c r="U53">
        <v>0</v>
      </c>
      <c r="V53">
        <v>63</v>
      </c>
      <c r="W53">
        <v>2</v>
      </c>
      <c r="X53">
        <v>0</v>
      </c>
      <c r="Y53">
        <v>22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6</v>
      </c>
      <c r="AF53">
        <v>0</v>
      </c>
      <c r="AG53">
        <v>0</v>
      </c>
      <c r="AH53">
        <v>0</v>
      </c>
      <c r="AI53">
        <f t="shared" si="1"/>
        <v>100</v>
      </c>
      <c r="AJ53" t="s">
        <v>86</v>
      </c>
      <c r="AK53">
        <f>0.2*Y53</f>
        <v>4.4000000000000004</v>
      </c>
    </row>
    <row r="54" spans="1:37" x14ac:dyDescent="0.35">
      <c r="A54" t="s">
        <v>27</v>
      </c>
      <c r="B54">
        <v>56</v>
      </c>
      <c r="C54" t="s">
        <v>387</v>
      </c>
      <c r="D54" s="2">
        <v>38128</v>
      </c>
      <c r="E54" t="s">
        <v>53</v>
      </c>
      <c r="F54" s="3">
        <v>0.55833333333333335</v>
      </c>
      <c r="G54" s="3">
        <v>0.56874999999999998</v>
      </c>
      <c r="H54">
        <v>12.5</v>
      </c>
      <c r="I54">
        <v>32</v>
      </c>
      <c r="J54">
        <v>2</v>
      </c>
      <c r="K54">
        <v>3</v>
      </c>
      <c r="L54">
        <v>50</v>
      </c>
      <c r="M54">
        <v>5</v>
      </c>
      <c r="N54">
        <v>0</v>
      </c>
      <c r="O54">
        <v>0</v>
      </c>
      <c r="P54">
        <v>0</v>
      </c>
      <c r="Q54">
        <v>0</v>
      </c>
      <c r="R54">
        <v>0</v>
      </c>
      <c r="S54">
        <v>20</v>
      </c>
      <c r="T54">
        <v>0</v>
      </c>
      <c r="U54">
        <v>15</v>
      </c>
      <c r="V54">
        <v>10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f t="shared" si="1"/>
        <v>100</v>
      </c>
      <c r="AJ54" t="s">
        <v>16</v>
      </c>
      <c r="AK54">
        <f>0.01*U54</f>
        <v>0.15</v>
      </c>
    </row>
    <row r="55" spans="1:37" x14ac:dyDescent="0.35">
      <c r="A55" t="s">
        <v>27</v>
      </c>
      <c r="B55">
        <v>58</v>
      </c>
      <c r="C55" t="s">
        <v>388</v>
      </c>
      <c r="D55" s="2">
        <v>38128</v>
      </c>
      <c r="E55" t="s">
        <v>46</v>
      </c>
      <c r="F55" s="3">
        <v>0.51736111111111105</v>
      </c>
      <c r="G55" s="3">
        <v>0.52777777777777779</v>
      </c>
      <c r="H55">
        <v>14.6</v>
      </c>
      <c r="I55">
        <v>29</v>
      </c>
      <c r="J55">
        <v>2</v>
      </c>
      <c r="K55">
        <v>3</v>
      </c>
      <c r="L55">
        <v>0</v>
      </c>
      <c r="M55">
        <v>10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25</v>
      </c>
      <c r="V55">
        <v>63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f t="shared" si="1"/>
        <v>100</v>
      </c>
      <c r="AJ55" t="s">
        <v>16</v>
      </c>
      <c r="AK55">
        <f>0.02*U55</f>
        <v>0.5</v>
      </c>
    </row>
    <row r="56" spans="1:37" x14ac:dyDescent="0.35">
      <c r="A56" t="s">
        <v>27</v>
      </c>
      <c r="B56">
        <v>52</v>
      </c>
      <c r="C56" t="s">
        <v>389</v>
      </c>
      <c r="D56" s="2">
        <v>38128</v>
      </c>
      <c r="E56" t="s">
        <v>52</v>
      </c>
      <c r="F56" s="3">
        <v>0.60416666666666663</v>
      </c>
      <c r="G56" s="3">
        <v>0.61458333333333337</v>
      </c>
      <c r="H56">
        <v>15.8</v>
      </c>
      <c r="I56">
        <v>45</v>
      </c>
      <c r="J56">
        <v>2</v>
      </c>
      <c r="K56">
        <v>2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61</v>
      </c>
      <c r="S56">
        <v>12</v>
      </c>
      <c r="T56">
        <v>0</v>
      </c>
      <c r="U56">
        <v>0</v>
      </c>
      <c r="V56">
        <v>5</v>
      </c>
      <c r="W56">
        <v>20</v>
      </c>
      <c r="X56">
        <v>0</v>
      </c>
      <c r="Y56">
        <v>0</v>
      </c>
      <c r="Z56">
        <v>0</v>
      </c>
      <c r="AA56">
        <v>2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f t="shared" si="1"/>
        <v>100</v>
      </c>
      <c r="AJ56" t="s">
        <v>84</v>
      </c>
      <c r="AK56">
        <f>0.6*R56</f>
        <v>36.6</v>
      </c>
    </row>
    <row r="57" spans="1:37" x14ac:dyDescent="0.35">
      <c r="A57" t="s">
        <v>27</v>
      </c>
      <c r="B57">
        <v>50</v>
      </c>
      <c r="C57" t="s">
        <v>390</v>
      </c>
      <c r="D57" s="2">
        <v>38128</v>
      </c>
      <c r="E57">
        <v>0</v>
      </c>
      <c r="F57" s="3">
        <v>0.54166666666666663</v>
      </c>
      <c r="G57" s="3">
        <v>0.55208333333333337</v>
      </c>
      <c r="H57">
        <v>12.9</v>
      </c>
      <c r="I57">
        <v>42</v>
      </c>
      <c r="J57">
        <v>2</v>
      </c>
      <c r="K57">
        <v>3</v>
      </c>
      <c r="L57">
        <v>44</v>
      </c>
      <c r="M57">
        <v>15</v>
      </c>
      <c r="N57">
        <v>0</v>
      </c>
      <c r="O57">
        <v>0</v>
      </c>
      <c r="P57">
        <v>0</v>
      </c>
      <c r="Q57">
        <v>0</v>
      </c>
      <c r="R57">
        <v>35</v>
      </c>
      <c r="S57">
        <v>1</v>
      </c>
      <c r="T57">
        <v>0</v>
      </c>
      <c r="U57">
        <v>0</v>
      </c>
      <c r="V57">
        <v>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f t="shared" si="1"/>
        <v>100</v>
      </c>
      <c r="AJ57" t="s">
        <v>83</v>
      </c>
      <c r="AK57">
        <f>0.3*R57</f>
        <v>10.5</v>
      </c>
    </row>
    <row r="58" spans="1:37" x14ac:dyDescent="0.35">
      <c r="A58" t="s">
        <v>27</v>
      </c>
      <c r="B58">
        <v>55</v>
      </c>
      <c r="C58" t="s">
        <v>391</v>
      </c>
      <c r="D58" s="2">
        <v>38128</v>
      </c>
      <c r="E58" t="s">
        <v>31</v>
      </c>
      <c r="F58" s="3">
        <v>0.57638888888888895</v>
      </c>
      <c r="G58" s="3">
        <v>0.58680555555555558</v>
      </c>
      <c r="H58">
        <v>12.5</v>
      </c>
      <c r="I58">
        <v>32</v>
      </c>
      <c r="J58">
        <v>2</v>
      </c>
      <c r="K58">
        <v>4</v>
      </c>
      <c r="L58">
        <v>34</v>
      </c>
      <c r="M58">
        <v>15</v>
      </c>
      <c r="N58">
        <v>50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f t="shared" si="1"/>
        <v>100</v>
      </c>
      <c r="AJ58" t="s">
        <v>11</v>
      </c>
      <c r="AK58">
        <f>0.15*N58</f>
        <v>7.5</v>
      </c>
    </row>
    <row r="59" spans="1:37" x14ac:dyDescent="0.35">
      <c r="A59" t="s">
        <v>27</v>
      </c>
      <c r="B59">
        <v>55</v>
      </c>
      <c r="C59" t="s">
        <v>391</v>
      </c>
      <c r="D59" s="2">
        <v>38128</v>
      </c>
      <c r="E59" t="s">
        <v>31</v>
      </c>
      <c r="F59" s="3">
        <v>0.57638888888888895</v>
      </c>
      <c r="G59" s="3">
        <v>0.58680555555555558</v>
      </c>
      <c r="H59">
        <v>12.5</v>
      </c>
      <c r="I59">
        <v>32</v>
      </c>
      <c r="J59">
        <v>2</v>
      </c>
      <c r="K59">
        <v>4</v>
      </c>
      <c r="L59">
        <v>34</v>
      </c>
      <c r="M59">
        <v>15</v>
      </c>
      <c r="N59">
        <v>50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f t="shared" si="1"/>
        <v>100</v>
      </c>
      <c r="AJ59" t="s">
        <v>10</v>
      </c>
      <c r="AK59">
        <f>0.1*M59</f>
        <v>1.5</v>
      </c>
    </row>
    <row r="60" spans="1:37" x14ac:dyDescent="0.35">
      <c r="A60" t="s">
        <v>27</v>
      </c>
      <c r="B60">
        <v>57</v>
      </c>
      <c r="C60" t="s">
        <v>392</v>
      </c>
      <c r="D60" s="2">
        <v>38128</v>
      </c>
      <c r="E60" t="s">
        <v>54</v>
      </c>
      <c r="F60" s="3">
        <v>0.47222222222222227</v>
      </c>
      <c r="G60" s="3">
        <v>0.4826388888888889</v>
      </c>
      <c r="H60">
        <v>12.3</v>
      </c>
      <c r="I60">
        <v>32</v>
      </c>
      <c r="J60">
        <v>2</v>
      </c>
      <c r="K60">
        <v>4</v>
      </c>
      <c r="L60">
        <v>10</v>
      </c>
      <c r="M60">
        <v>0</v>
      </c>
      <c r="N60">
        <v>0</v>
      </c>
      <c r="O60">
        <v>89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 t="shared" si="1"/>
        <v>100</v>
      </c>
      <c r="AJ60" t="s">
        <v>12</v>
      </c>
      <c r="AK60">
        <f>0.65*O60</f>
        <v>57.85</v>
      </c>
    </row>
    <row r="61" spans="1:37" x14ac:dyDescent="0.35">
      <c r="A61" t="s">
        <v>27</v>
      </c>
      <c r="B61">
        <v>53</v>
      </c>
      <c r="C61" t="s">
        <v>393</v>
      </c>
      <c r="D61" s="2">
        <v>38128</v>
      </c>
      <c r="E61" t="s">
        <v>53</v>
      </c>
      <c r="F61" s="3">
        <v>0.6479166666666667</v>
      </c>
      <c r="G61" s="3">
        <v>0.65833333333333333</v>
      </c>
      <c r="H61">
        <v>17.7</v>
      </c>
      <c r="I61">
        <v>44</v>
      </c>
      <c r="J61">
        <v>2</v>
      </c>
      <c r="K61">
        <v>3</v>
      </c>
      <c r="L61">
        <v>1</v>
      </c>
      <c r="M61">
        <v>71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25</v>
      </c>
      <c r="W61">
        <v>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 t="shared" si="1"/>
        <v>100</v>
      </c>
      <c r="AJ61" t="s">
        <v>10</v>
      </c>
      <c r="AK61">
        <f>0.5*M61</f>
        <v>35.5</v>
      </c>
    </row>
    <row r="62" spans="1:37" x14ac:dyDescent="0.35">
      <c r="A62" t="s">
        <v>27</v>
      </c>
      <c r="B62">
        <v>62</v>
      </c>
      <c r="C62" t="s">
        <v>394</v>
      </c>
      <c r="D62" s="2">
        <v>38130</v>
      </c>
      <c r="E62" t="s">
        <v>53</v>
      </c>
      <c r="F62" s="3">
        <v>0.69652777777777775</v>
      </c>
      <c r="G62" s="3">
        <v>0.70694444444444438</v>
      </c>
      <c r="H62">
        <v>14.6</v>
      </c>
      <c r="I62">
        <v>31</v>
      </c>
      <c r="J62">
        <v>0</v>
      </c>
      <c r="K62">
        <v>3</v>
      </c>
      <c r="L62">
        <v>0</v>
      </c>
      <c r="M62">
        <v>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20</v>
      </c>
      <c r="V62">
        <v>78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 t="shared" si="1"/>
        <v>100</v>
      </c>
      <c r="AJ62" t="s">
        <v>16</v>
      </c>
      <c r="AK62">
        <f>0.05*U62</f>
        <v>1</v>
      </c>
    </row>
    <row r="63" spans="1:37" x14ac:dyDescent="0.35">
      <c r="A63" t="s">
        <v>27</v>
      </c>
      <c r="B63">
        <v>59</v>
      </c>
      <c r="C63" t="s">
        <v>395</v>
      </c>
      <c r="D63" s="2">
        <v>38130</v>
      </c>
      <c r="E63" t="s">
        <v>33</v>
      </c>
      <c r="F63" s="3">
        <v>0.64583333333333337</v>
      </c>
      <c r="G63" s="3">
        <v>0.65625</v>
      </c>
      <c r="H63">
        <v>14.7</v>
      </c>
      <c r="I63">
        <v>34</v>
      </c>
      <c r="J63">
        <v>0</v>
      </c>
      <c r="K63">
        <v>3</v>
      </c>
      <c r="L63">
        <v>34</v>
      </c>
      <c r="M63">
        <v>15</v>
      </c>
      <c r="N63">
        <v>50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f t="shared" si="1"/>
        <v>100</v>
      </c>
      <c r="AJ63" t="s">
        <v>11</v>
      </c>
      <c r="AK63">
        <f>0.1*N63</f>
        <v>5</v>
      </c>
    </row>
    <row r="64" spans="1:37" x14ac:dyDescent="0.35">
      <c r="A64" t="s">
        <v>27</v>
      </c>
      <c r="B64">
        <v>61</v>
      </c>
      <c r="C64" t="s">
        <v>396</v>
      </c>
      <c r="D64" s="2">
        <v>38130</v>
      </c>
      <c r="E64" t="s">
        <v>49</v>
      </c>
      <c r="F64" s="3">
        <v>0.68125000000000002</v>
      </c>
      <c r="G64" s="3">
        <v>0.69166666666666676</v>
      </c>
      <c r="H64">
        <v>14.6</v>
      </c>
      <c r="I64">
        <v>31</v>
      </c>
      <c r="J64">
        <v>0</v>
      </c>
      <c r="K64">
        <v>3</v>
      </c>
      <c r="L64">
        <v>0</v>
      </c>
      <c r="M64">
        <v>0</v>
      </c>
      <c r="N64">
        <v>0</v>
      </c>
      <c r="O64">
        <v>96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f t="shared" si="1"/>
        <v>100</v>
      </c>
      <c r="AJ64" t="s">
        <v>12</v>
      </c>
      <c r="AK64">
        <f>0.9*O64</f>
        <v>86.4</v>
      </c>
    </row>
    <row r="65" spans="1:37" x14ac:dyDescent="0.35">
      <c r="A65" t="s">
        <v>27</v>
      </c>
      <c r="B65">
        <v>59</v>
      </c>
      <c r="C65" t="s">
        <v>395</v>
      </c>
      <c r="D65" s="2">
        <v>38130</v>
      </c>
      <c r="E65" t="s">
        <v>33</v>
      </c>
      <c r="F65" s="3">
        <v>0.64583333333333337</v>
      </c>
      <c r="G65" s="3">
        <v>0.65625</v>
      </c>
      <c r="H65">
        <v>14.7</v>
      </c>
      <c r="I65">
        <v>34</v>
      </c>
      <c r="J65">
        <v>0</v>
      </c>
      <c r="K65">
        <v>3</v>
      </c>
      <c r="L65">
        <v>34</v>
      </c>
      <c r="M65">
        <v>15</v>
      </c>
      <c r="N65">
        <v>50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 t="shared" si="1"/>
        <v>100</v>
      </c>
      <c r="AJ65" t="s">
        <v>10</v>
      </c>
      <c r="AK65">
        <f>0.1*M65</f>
        <v>1.5</v>
      </c>
    </row>
    <row r="66" spans="1:37" x14ac:dyDescent="0.35">
      <c r="A66" t="s">
        <v>27</v>
      </c>
      <c r="B66">
        <v>60</v>
      </c>
      <c r="C66" t="s">
        <v>397</v>
      </c>
      <c r="D66" s="2">
        <v>38130</v>
      </c>
      <c r="E66" t="s">
        <v>34</v>
      </c>
      <c r="F66" s="3">
        <v>0.66249999999999998</v>
      </c>
      <c r="G66" s="3">
        <v>0.67291666666666661</v>
      </c>
      <c r="H66">
        <v>14.8</v>
      </c>
      <c r="I66">
        <v>31</v>
      </c>
      <c r="J66">
        <v>0</v>
      </c>
      <c r="K66">
        <v>3</v>
      </c>
      <c r="L66">
        <v>0</v>
      </c>
      <c r="M66">
        <v>85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8</v>
      </c>
      <c r="W66">
        <v>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2</v>
      </c>
      <c r="AF66">
        <v>0</v>
      </c>
      <c r="AG66">
        <v>0</v>
      </c>
      <c r="AH66">
        <v>0</v>
      </c>
      <c r="AI66">
        <f t="shared" si="1"/>
        <v>100</v>
      </c>
      <c r="AJ66" t="s">
        <v>10</v>
      </c>
      <c r="AK66">
        <f>0.5*M66</f>
        <v>42.5</v>
      </c>
    </row>
    <row r="67" spans="1:37" x14ac:dyDescent="0.35">
      <c r="A67" t="s">
        <v>27</v>
      </c>
      <c r="B67">
        <v>63</v>
      </c>
      <c r="C67" t="s">
        <v>398</v>
      </c>
      <c r="D67" s="2">
        <v>38131</v>
      </c>
      <c r="E67" t="s">
        <v>49</v>
      </c>
      <c r="F67" s="3">
        <v>0.65555555555555556</v>
      </c>
      <c r="G67" s="3">
        <v>0.66597222222222219</v>
      </c>
      <c r="H67">
        <v>14.3</v>
      </c>
      <c r="I67">
        <v>41</v>
      </c>
      <c r="J67">
        <v>4</v>
      </c>
      <c r="K67">
        <v>3</v>
      </c>
      <c r="L67">
        <v>0</v>
      </c>
      <c r="M67">
        <v>0</v>
      </c>
      <c r="N67">
        <v>0</v>
      </c>
      <c r="O67">
        <v>90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5</v>
      </c>
      <c r="W67">
        <v>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 t="shared" si="1"/>
        <v>100</v>
      </c>
      <c r="AJ67" t="s">
        <v>12</v>
      </c>
      <c r="AK67">
        <f>0.7*O67</f>
        <v>62.999999999999993</v>
      </c>
    </row>
    <row r="68" spans="1:37" x14ac:dyDescent="0.35">
      <c r="A68" t="s">
        <v>27</v>
      </c>
      <c r="B68">
        <v>67</v>
      </c>
      <c r="C68" t="s">
        <v>399</v>
      </c>
      <c r="D68" s="2">
        <v>38134</v>
      </c>
      <c r="E68" t="s">
        <v>53</v>
      </c>
      <c r="F68" s="3">
        <v>0.52708333333333335</v>
      </c>
      <c r="G68" s="3">
        <v>0.53749999999999998</v>
      </c>
      <c r="H68">
        <v>18.600000000000001</v>
      </c>
      <c r="I68">
        <v>31</v>
      </c>
      <c r="J68">
        <v>1</v>
      </c>
      <c r="K68">
        <v>2</v>
      </c>
      <c r="L68">
        <v>0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S68">
        <v>15</v>
      </c>
      <c r="T68">
        <v>0</v>
      </c>
      <c r="U68">
        <v>0</v>
      </c>
      <c r="V68">
        <v>53</v>
      </c>
      <c r="W68">
        <v>0</v>
      </c>
      <c r="X68">
        <v>0</v>
      </c>
      <c r="Y68">
        <v>30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f t="shared" si="1"/>
        <v>100</v>
      </c>
      <c r="AJ68" t="s">
        <v>86</v>
      </c>
      <c r="AK68">
        <f>0.4*30</f>
        <v>12</v>
      </c>
    </row>
    <row r="69" spans="1:37" x14ac:dyDescent="0.35">
      <c r="A69" t="s">
        <v>27</v>
      </c>
      <c r="B69">
        <v>64</v>
      </c>
      <c r="C69" t="s">
        <v>400</v>
      </c>
      <c r="D69" s="2">
        <v>38134</v>
      </c>
      <c r="E69" t="s">
        <v>53</v>
      </c>
      <c r="F69" s="3">
        <v>0.47291666666666665</v>
      </c>
      <c r="G69" s="3">
        <v>0.48333333333333334</v>
      </c>
      <c r="H69">
        <v>17.5</v>
      </c>
      <c r="I69">
        <v>32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15</v>
      </c>
      <c r="T69">
        <v>0</v>
      </c>
      <c r="U69">
        <v>40</v>
      </c>
      <c r="V69">
        <v>44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f t="shared" si="1"/>
        <v>100</v>
      </c>
      <c r="AJ69" t="s">
        <v>16</v>
      </c>
      <c r="AK69">
        <f>0.06*U69</f>
        <v>2.4</v>
      </c>
    </row>
    <row r="70" spans="1:37" x14ac:dyDescent="0.35">
      <c r="A70" t="s">
        <v>27</v>
      </c>
      <c r="B70">
        <v>66</v>
      </c>
      <c r="C70" t="s">
        <v>401</v>
      </c>
      <c r="D70" s="2">
        <v>38134</v>
      </c>
      <c r="E70" t="s">
        <v>52</v>
      </c>
      <c r="F70" s="3">
        <v>0.50347222222222221</v>
      </c>
      <c r="G70" s="3">
        <v>0.51388888888888895</v>
      </c>
      <c r="H70">
        <v>19.100000000000001</v>
      </c>
      <c r="I70">
        <v>36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61</v>
      </c>
      <c r="S70">
        <v>12</v>
      </c>
      <c r="T70">
        <v>0</v>
      </c>
      <c r="U70">
        <v>0</v>
      </c>
      <c r="V70">
        <v>5</v>
      </c>
      <c r="W70">
        <v>20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f t="shared" si="1"/>
        <v>100</v>
      </c>
      <c r="AJ70" t="s">
        <v>84</v>
      </c>
      <c r="AK70">
        <f>0.6*R70</f>
        <v>36.6</v>
      </c>
    </row>
    <row r="71" spans="1:37" x14ac:dyDescent="0.35">
      <c r="A71" t="s">
        <v>27</v>
      </c>
      <c r="B71">
        <v>65</v>
      </c>
      <c r="C71" t="s">
        <v>402</v>
      </c>
      <c r="D71" s="2">
        <v>38134</v>
      </c>
      <c r="E71">
        <v>0</v>
      </c>
      <c r="F71" s="3">
        <v>0.48958333333333331</v>
      </c>
      <c r="G71" s="3">
        <v>0.5</v>
      </c>
      <c r="H71">
        <v>16.3</v>
      </c>
      <c r="I71">
        <v>35</v>
      </c>
      <c r="J71">
        <v>0</v>
      </c>
      <c r="K71">
        <v>1</v>
      </c>
      <c r="L71">
        <v>44</v>
      </c>
      <c r="M71">
        <v>15</v>
      </c>
      <c r="N71">
        <v>0</v>
      </c>
      <c r="O71">
        <v>0</v>
      </c>
      <c r="P71">
        <v>0</v>
      </c>
      <c r="Q71">
        <v>0</v>
      </c>
      <c r="R71">
        <v>35</v>
      </c>
      <c r="S71">
        <v>1</v>
      </c>
      <c r="T71">
        <v>0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f t="shared" si="1"/>
        <v>100</v>
      </c>
      <c r="AJ71" t="s">
        <v>83</v>
      </c>
      <c r="AK71">
        <f>0.1*R71</f>
        <v>3.5</v>
      </c>
    </row>
    <row r="72" spans="1:37" x14ac:dyDescent="0.35">
      <c r="A72" t="s">
        <v>27</v>
      </c>
      <c r="B72">
        <v>64</v>
      </c>
      <c r="C72" t="s">
        <v>400</v>
      </c>
      <c r="D72" s="2">
        <v>38134</v>
      </c>
      <c r="E72" t="s">
        <v>53</v>
      </c>
      <c r="F72" s="3">
        <v>0.47291666666666665</v>
      </c>
      <c r="G72" s="3">
        <v>0.48333333333333334</v>
      </c>
      <c r="H72">
        <v>17.5</v>
      </c>
      <c r="I72">
        <v>32</v>
      </c>
      <c r="J72">
        <v>0</v>
      </c>
      <c r="K72">
        <v>1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15</v>
      </c>
      <c r="T72">
        <v>0</v>
      </c>
      <c r="U72">
        <v>40</v>
      </c>
      <c r="V72">
        <v>44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f t="shared" si="1"/>
        <v>100</v>
      </c>
      <c r="AJ72" t="s">
        <v>10</v>
      </c>
      <c r="AK72">
        <f>0.5*M72</f>
        <v>0.5</v>
      </c>
    </row>
    <row r="73" spans="1:37" x14ac:dyDescent="0.35">
      <c r="A73" t="s">
        <v>27</v>
      </c>
      <c r="B73">
        <v>67</v>
      </c>
      <c r="C73" t="s">
        <v>399</v>
      </c>
      <c r="D73" s="2">
        <v>38134</v>
      </c>
      <c r="E73" t="s">
        <v>53</v>
      </c>
      <c r="F73" s="3">
        <v>0.52708333333333335</v>
      </c>
      <c r="G73" s="3">
        <v>0.53749999999999998</v>
      </c>
      <c r="H73">
        <v>18.600000000000001</v>
      </c>
      <c r="I73">
        <v>31</v>
      </c>
      <c r="J73">
        <v>1</v>
      </c>
      <c r="K73">
        <v>2</v>
      </c>
      <c r="L73">
        <v>0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15</v>
      </c>
      <c r="T73">
        <v>0</v>
      </c>
      <c r="U73">
        <v>0</v>
      </c>
      <c r="V73">
        <v>53</v>
      </c>
      <c r="W73">
        <v>0</v>
      </c>
      <c r="X73">
        <v>0</v>
      </c>
      <c r="Y73">
        <v>30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f t="shared" si="1"/>
        <v>100</v>
      </c>
      <c r="AJ73" t="s">
        <v>10</v>
      </c>
      <c r="AK73">
        <f>0.05*2</f>
        <v>0.1</v>
      </c>
    </row>
    <row r="74" spans="1:37" x14ac:dyDescent="0.35">
      <c r="A74" t="s">
        <v>27</v>
      </c>
      <c r="B74">
        <v>68</v>
      </c>
      <c r="C74" t="s">
        <v>403</v>
      </c>
      <c r="D74" s="2">
        <v>38135</v>
      </c>
      <c r="E74" t="s">
        <v>49</v>
      </c>
      <c r="F74" s="3">
        <v>0.42708333333333331</v>
      </c>
      <c r="G74" s="3">
        <v>0.4375</v>
      </c>
      <c r="H74">
        <v>10.3</v>
      </c>
      <c r="I74">
        <v>48</v>
      </c>
      <c r="J74">
        <v>5</v>
      </c>
      <c r="K74">
        <v>2</v>
      </c>
      <c r="L74">
        <v>10</v>
      </c>
      <c r="M74">
        <v>15</v>
      </c>
      <c r="N74">
        <v>0</v>
      </c>
      <c r="O74">
        <v>60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10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f t="shared" si="1"/>
        <v>100</v>
      </c>
      <c r="AJ74" t="s">
        <v>12</v>
      </c>
      <c r="AK74">
        <f>0.8*O74</f>
        <v>48</v>
      </c>
    </row>
    <row r="75" spans="1:37" x14ac:dyDescent="0.35">
      <c r="A75" t="s">
        <v>27</v>
      </c>
      <c r="B75">
        <v>68</v>
      </c>
      <c r="C75" t="s">
        <v>403</v>
      </c>
      <c r="D75" s="2">
        <v>38135</v>
      </c>
      <c r="E75" t="s">
        <v>49</v>
      </c>
      <c r="F75" s="3">
        <v>0.42708333333333331</v>
      </c>
      <c r="G75" s="3">
        <v>0.4375</v>
      </c>
      <c r="H75">
        <v>10.3</v>
      </c>
      <c r="I75">
        <v>48</v>
      </c>
      <c r="J75">
        <v>5</v>
      </c>
      <c r="K75">
        <v>2</v>
      </c>
      <c r="L75">
        <v>10</v>
      </c>
      <c r="M75">
        <v>15</v>
      </c>
      <c r="N75">
        <v>0</v>
      </c>
      <c r="O75">
        <v>60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5</v>
      </c>
      <c r="W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f t="shared" si="1"/>
        <v>100</v>
      </c>
      <c r="AJ75" t="s">
        <v>10</v>
      </c>
      <c r="AK75">
        <f>0.4*M75</f>
        <v>6</v>
      </c>
    </row>
    <row r="76" spans="1:37" x14ac:dyDescent="0.35">
      <c r="A76" t="s">
        <v>27</v>
      </c>
      <c r="B76">
        <v>69</v>
      </c>
      <c r="C76" t="s">
        <v>404</v>
      </c>
      <c r="D76" s="2">
        <v>38136</v>
      </c>
      <c r="E76" t="s">
        <v>31</v>
      </c>
      <c r="F76" s="3">
        <v>0.52638888888888891</v>
      </c>
      <c r="G76" s="3">
        <v>0.53680555555555554</v>
      </c>
      <c r="H76">
        <v>18.100000000000001</v>
      </c>
      <c r="I76">
        <v>43</v>
      </c>
      <c r="J76">
        <v>0</v>
      </c>
      <c r="K76">
        <v>2</v>
      </c>
      <c r="L76">
        <v>35</v>
      </c>
      <c r="M76">
        <v>30</v>
      </c>
      <c r="N76">
        <v>0</v>
      </c>
      <c r="O76">
        <v>0</v>
      </c>
      <c r="P76">
        <v>20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13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f t="shared" si="1"/>
        <v>100</v>
      </c>
      <c r="AJ76" t="s">
        <v>13</v>
      </c>
      <c r="AK76">
        <f>0.2*P76</f>
        <v>4</v>
      </c>
    </row>
    <row r="77" spans="1:37" x14ac:dyDescent="0.35">
      <c r="A77" t="s">
        <v>27</v>
      </c>
      <c r="B77">
        <v>71</v>
      </c>
      <c r="C77" t="s">
        <v>405</v>
      </c>
      <c r="D77" s="2">
        <v>38136</v>
      </c>
      <c r="E77">
        <v>0</v>
      </c>
      <c r="F77" s="3">
        <v>0.50763888888888886</v>
      </c>
      <c r="G77" s="3">
        <v>0.5180555555555556</v>
      </c>
      <c r="H77">
        <v>16</v>
      </c>
      <c r="I77">
        <v>32</v>
      </c>
      <c r="J77">
        <v>0</v>
      </c>
      <c r="K77">
        <v>2</v>
      </c>
      <c r="L77">
        <v>35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40</v>
      </c>
      <c r="V77">
        <v>24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 t="shared" si="1"/>
        <v>100</v>
      </c>
      <c r="AJ77" t="s">
        <v>16</v>
      </c>
      <c r="AK77">
        <f>0.02*U77</f>
        <v>0.8</v>
      </c>
    </row>
    <row r="78" spans="1:37" x14ac:dyDescent="0.35">
      <c r="A78" t="s">
        <v>27</v>
      </c>
      <c r="B78">
        <v>72</v>
      </c>
      <c r="C78" t="s">
        <v>406</v>
      </c>
      <c r="D78" s="2">
        <v>38136</v>
      </c>
      <c r="E78" t="s">
        <v>47</v>
      </c>
      <c r="F78" s="3">
        <v>0.4770833333333333</v>
      </c>
      <c r="G78" s="3">
        <v>0.48749999999999999</v>
      </c>
      <c r="H78">
        <v>16.600000000000001</v>
      </c>
      <c r="I78">
        <v>47</v>
      </c>
      <c r="J78">
        <v>0</v>
      </c>
      <c r="K78">
        <v>2</v>
      </c>
      <c r="L78">
        <v>65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20</v>
      </c>
      <c r="V78">
        <v>5</v>
      </c>
      <c r="W78">
        <v>0</v>
      </c>
      <c r="X78">
        <v>0</v>
      </c>
      <c r="Y78">
        <v>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f t="shared" si="1"/>
        <v>100</v>
      </c>
      <c r="AJ78" t="s">
        <v>16</v>
      </c>
      <c r="AK78">
        <f>0.01*U78</f>
        <v>0.2</v>
      </c>
    </row>
    <row r="79" spans="1:37" x14ac:dyDescent="0.35">
      <c r="A79" t="s">
        <v>27</v>
      </c>
      <c r="B79">
        <v>72</v>
      </c>
      <c r="C79" t="s">
        <v>406</v>
      </c>
      <c r="D79" s="2">
        <v>38136</v>
      </c>
      <c r="E79" t="s">
        <v>47</v>
      </c>
      <c r="F79" s="3">
        <v>0.4770833333333333</v>
      </c>
      <c r="G79" s="3">
        <v>0.48749999999999999</v>
      </c>
      <c r="H79">
        <v>16.600000000000001</v>
      </c>
      <c r="I79">
        <v>47</v>
      </c>
      <c r="J79">
        <v>0</v>
      </c>
      <c r="K79">
        <v>2</v>
      </c>
      <c r="L79">
        <v>65</v>
      </c>
      <c r="M79">
        <v>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20</v>
      </c>
      <c r="V79">
        <v>5</v>
      </c>
      <c r="W79">
        <v>0</v>
      </c>
      <c r="X79">
        <v>0</v>
      </c>
      <c r="Y79">
        <v>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f t="shared" si="1"/>
        <v>100</v>
      </c>
      <c r="AJ79" t="s">
        <v>93</v>
      </c>
      <c r="AK79">
        <f>0.5*Y79</f>
        <v>1.5</v>
      </c>
    </row>
    <row r="80" spans="1:37" x14ac:dyDescent="0.35">
      <c r="A80" t="s">
        <v>27</v>
      </c>
      <c r="B80">
        <v>70</v>
      </c>
      <c r="C80" t="s">
        <v>407</v>
      </c>
      <c r="D80" s="2">
        <v>38136</v>
      </c>
      <c r="E80">
        <v>0</v>
      </c>
      <c r="F80" s="3">
        <v>0.48888888888888887</v>
      </c>
      <c r="G80" s="3">
        <v>0.4993055555555555</v>
      </c>
      <c r="H80">
        <v>18</v>
      </c>
      <c r="I80">
        <v>31</v>
      </c>
      <c r="J80">
        <v>0</v>
      </c>
      <c r="K80">
        <v>2</v>
      </c>
      <c r="L80">
        <v>2</v>
      </c>
      <c r="M80">
        <v>0</v>
      </c>
      <c r="N80">
        <v>0</v>
      </c>
      <c r="O80">
        <v>98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 t="shared" si="1"/>
        <v>100</v>
      </c>
      <c r="AJ80" t="s">
        <v>12</v>
      </c>
      <c r="AK80">
        <f>0.65*O80</f>
        <v>63.7</v>
      </c>
    </row>
    <row r="81" spans="1:37" x14ac:dyDescent="0.35">
      <c r="A81" t="s">
        <v>27</v>
      </c>
      <c r="B81">
        <v>69</v>
      </c>
      <c r="C81" t="s">
        <v>404</v>
      </c>
      <c r="D81" s="2">
        <v>38136</v>
      </c>
      <c r="E81" t="s">
        <v>31</v>
      </c>
      <c r="F81" s="3">
        <v>0.52638888888888891</v>
      </c>
      <c r="G81" s="3">
        <v>0.53680555555555554</v>
      </c>
      <c r="H81">
        <v>18.100000000000001</v>
      </c>
      <c r="I81">
        <v>43</v>
      </c>
      <c r="J81">
        <v>0</v>
      </c>
      <c r="K81">
        <v>2</v>
      </c>
      <c r="L81">
        <v>35</v>
      </c>
      <c r="M81">
        <v>30</v>
      </c>
      <c r="N81">
        <v>0</v>
      </c>
      <c r="O81">
        <v>0</v>
      </c>
      <c r="P81">
        <v>20</v>
      </c>
      <c r="Q81">
        <v>0</v>
      </c>
      <c r="R81">
        <v>0</v>
      </c>
      <c r="S81">
        <v>0</v>
      </c>
      <c r="T81">
        <v>0</v>
      </c>
      <c r="U81">
        <v>0</v>
      </c>
      <c r="V81">
        <v>2</v>
      </c>
      <c r="W81">
        <v>13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 t="shared" si="1"/>
        <v>100</v>
      </c>
      <c r="AJ81" t="s">
        <v>10</v>
      </c>
      <c r="AK81">
        <f>0.55*M81</f>
        <v>16.5</v>
      </c>
    </row>
    <row r="82" spans="1:37" x14ac:dyDescent="0.35">
      <c r="A82" t="s">
        <v>27</v>
      </c>
      <c r="B82">
        <v>72</v>
      </c>
      <c r="C82" t="s">
        <v>406</v>
      </c>
      <c r="D82" s="2">
        <v>38136</v>
      </c>
      <c r="E82" t="s">
        <v>47</v>
      </c>
      <c r="F82" s="3">
        <v>0.4770833333333333</v>
      </c>
      <c r="G82" s="3">
        <v>0.48749999999999999</v>
      </c>
      <c r="H82">
        <v>16.600000000000001</v>
      </c>
      <c r="I82">
        <v>47</v>
      </c>
      <c r="J82">
        <v>0</v>
      </c>
      <c r="K82">
        <v>2</v>
      </c>
      <c r="L82">
        <v>65</v>
      </c>
      <c r="M82">
        <v>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20</v>
      </c>
      <c r="V82">
        <v>5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 t="shared" si="1"/>
        <v>100</v>
      </c>
      <c r="AJ82" t="s">
        <v>10</v>
      </c>
      <c r="AK82">
        <f>0.2*M82</f>
        <v>1.4000000000000001</v>
      </c>
    </row>
    <row r="83" spans="1:37" x14ac:dyDescent="0.35">
      <c r="A83" t="s">
        <v>27</v>
      </c>
      <c r="B83">
        <v>73</v>
      </c>
      <c r="C83" t="s">
        <v>408</v>
      </c>
      <c r="D83" s="2">
        <v>38138</v>
      </c>
      <c r="E83">
        <v>0</v>
      </c>
      <c r="F83" s="3">
        <v>0.4381944444444445</v>
      </c>
      <c r="G83" s="3">
        <v>0.44861111111111113</v>
      </c>
      <c r="H83">
        <v>18.600000000000001</v>
      </c>
      <c r="I83">
        <v>57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0</v>
      </c>
      <c r="U83">
        <v>0</v>
      </c>
      <c r="V83">
        <v>67</v>
      </c>
      <c r="W83">
        <v>0</v>
      </c>
      <c r="X83">
        <v>0</v>
      </c>
      <c r="Y83">
        <v>0</v>
      </c>
      <c r="Z83">
        <v>0</v>
      </c>
      <c r="AA83">
        <v>30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f t="shared" si="1"/>
        <v>100</v>
      </c>
      <c r="AJ83" t="s">
        <v>19</v>
      </c>
      <c r="AK83">
        <f>0.1*AA83</f>
        <v>3</v>
      </c>
    </row>
    <row r="84" spans="1:37" x14ac:dyDescent="0.35">
      <c r="A84" t="s">
        <v>27</v>
      </c>
      <c r="B84">
        <v>74</v>
      </c>
      <c r="C84" t="s">
        <v>409</v>
      </c>
      <c r="D84" s="2">
        <v>38138</v>
      </c>
      <c r="E84">
        <v>0</v>
      </c>
      <c r="F84" s="3">
        <v>0.4680555555555555</v>
      </c>
      <c r="G84" s="3">
        <v>0.47847222222222219</v>
      </c>
      <c r="H84">
        <v>21</v>
      </c>
      <c r="I84">
        <v>42</v>
      </c>
      <c r="J84">
        <v>2</v>
      </c>
      <c r="K84">
        <v>2</v>
      </c>
      <c r="L84">
        <v>10</v>
      </c>
      <c r="M84">
        <v>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</v>
      </c>
      <c r="U84">
        <v>25</v>
      </c>
      <c r="V84">
        <v>59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 t="shared" si="1"/>
        <v>100</v>
      </c>
      <c r="AJ84" t="s">
        <v>16</v>
      </c>
      <c r="AK84">
        <f>0.08*U84</f>
        <v>2</v>
      </c>
    </row>
    <row r="85" spans="1:37" x14ac:dyDescent="0.35">
      <c r="A85" t="s">
        <v>27</v>
      </c>
      <c r="B85">
        <v>75</v>
      </c>
      <c r="C85" t="s">
        <v>410</v>
      </c>
      <c r="D85" s="2">
        <v>38138</v>
      </c>
      <c r="E85">
        <v>0</v>
      </c>
      <c r="F85" s="3">
        <v>0.48402777777777778</v>
      </c>
      <c r="G85" s="3">
        <v>0.49444444444444446</v>
      </c>
      <c r="H85">
        <v>20.7</v>
      </c>
      <c r="I85">
        <v>30</v>
      </c>
      <c r="J85">
        <v>1</v>
      </c>
      <c r="K85">
        <v>2</v>
      </c>
      <c r="L85">
        <v>5</v>
      </c>
      <c r="M85">
        <v>0</v>
      </c>
      <c r="N85">
        <v>0</v>
      </c>
      <c r="O85">
        <v>90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 t="shared" si="1"/>
        <v>100</v>
      </c>
      <c r="AJ85" t="s">
        <v>12</v>
      </c>
      <c r="AK85">
        <f>0.7*O85</f>
        <v>62.999999999999993</v>
      </c>
    </row>
    <row r="86" spans="1:37" x14ac:dyDescent="0.35">
      <c r="A86" t="s">
        <v>27</v>
      </c>
      <c r="B86">
        <v>74</v>
      </c>
      <c r="C86" t="s">
        <v>409</v>
      </c>
      <c r="D86" s="2">
        <v>38138</v>
      </c>
      <c r="E86">
        <v>0</v>
      </c>
      <c r="F86" s="3">
        <v>0.4680555555555555</v>
      </c>
      <c r="G86" s="3">
        <v>0.47847222222222219</v>
      </c>
      <c r="H86">
        <v>21</v>
      </c>
      <c r="I86">
        <v>42</v>
      </c>
      <c r="J86">
        <v>2</v>
      </c>
      <c r="K86">
        <v>2</v>
      </c>
      <c r="L86">
        <v>10</v>
      </c>
      <c r="M86">
        <v>2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25</v>
      </c>
      <c r="V86">
        <v>59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f t="shared" ref="AI86:AI149" si="2">SUM(L86:AH86)</f>
        <v>100</v>
      </c>
      <c r="AJ86" t="s">
        <v>10</v>
      </c>
      <c r="AK86">
        <f>0.05*M86</f>
        <v>0.1</v>
      </c>
    </row>
    <row r="87" spans="1:37" x14ac:dyDescent="0.35">
      <c r="A87" t="s">
        <v>27</v>
      </c>
      <c r="B87">
        <v>76</v>
      </c>
      <c r="C87" t="s">
        <v>411</v>
      </c>
      <c r="D87" s="2">
        <v>38138</v>
      </c>
      <c r="E87" t="s">
        <v>50</v>
      </c>
      <c r="F87" s="3">
        <v>0.5</v>
      </c>
      <c r="G87" s="3">
        <v>0.51041666666666663</v>
      </c>
      <c r="H87">
        <v>20.6</v>
      </c>
      <c r="I87">
        <v>31</v>
      </c>
      <c r="J87">
        <v>1</v>
      </c>
      <c r="K87">
        <v>2</v>
      </c>
      <c r="L87">
        <v>1</v>
      </c>
      <c r="M87">
        <v>80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19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f t="shared" si="2"/>
        <v>100</v>
      </c>
      <c r="AJ87" t="s">
        <v>10</v>
      </c>
      <c r="AK87">
        <f>0.8*M87</f>
        <v>64</v>
      </c>
    </row>
    <row r="88" spans="1:37" x14ac:dyDescent="0.35">
      <c r="A88" t="s">
        <v>27</v>
      </c>
      <c r="B88">
        <v>81</v>
      </c>
      <c r="C88" t="s">
        <v>412</v>
      </c>
      <c r="D88" s="2">
        <v>38139</v>
      </c>
      <c r="E88" t="s">
        <v>46</v>
      </c>
      <c r="F88" s="3">
        <v>0.4291666666666667</v>
      </c>
      <c r="G88" s="3">
        <v>0.43958333333333338</v>
      </c>
      <c r="H88">
        <v>19.100000000000001</v>
      </c>
      <c r="I88">
        <v>29</v>
      </c>
      <c r="J88">
        <v>0</v>
      </c>
      <c r="K88">
        <v>2</v>
      </c>
      <c r="L88">
        <v>10</v>
      </c>
      <c r="M88">
        <v>20</v>
      </c>
      <c r="N88">
        <v>0</v>
      </c>
      <c r="O88">
        <v>0</v>
      </c>
      <c r="P88">
        <v>0</v>
      </c>
      <c r="Q88">
        <v>25</v>
      </c>
      <c r="R88">
        <v>0</v>
      </c>
      <c r="S88">
        <v>45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2"/>
        <v>100</v>
      </c>
      <c r="AJ88" t="s">
        <v>94</v>
      </c>
      <c r="AK88">
        <f>0.08*Q88</f>
        <v>2</v>
      </c>
    </row>
    <row r="89" spans="1:37" x14ac:dyDescent="0.35">
      <c r="A89" t="s">
        <v>27</v>
      </c>
      <c r="B89">
        <v>80</v>
      </c>
      <c r="C89" t="s">
        <v>413</v>
      </c>
      <c r="D89" s="2">
        <v>38139</v>
      </c>
      <c r="E89" t="s">
        <v>53</v>
      </c>
      <c r="F89" s="3">
        <v>0.41111111111111115</v>
      </c>
      <c r="G89" s="3">
        <v>0.42152777777777778</v>
      </c>
      <c r="H89">
        <v>17.399999999999999</v>
      </c>
      <c r="I89">
        <v>34</v>
      </c>
      <c r="J89">
        <v>0</v>
      </c>
      <c r="K89">
        <v>2</v>
      </c>
      <c r="L89">
        <v>67</v>
      </c>
      <c r="M89">
        <v>30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f t="shared" si="2"/>
        <v>100</v>
      </c>
      <c r="AJ89" t="s">
        <v>20</v>
      </c>
      <c r="AK89">
        <f>0.1*AC89</f>
        <v>0.30000000000000004</v>
      </c>
    </row>
    <row r="90" spans="1:37" x14ac:dyDescent="0.35">
      <c r="A90" t="s">
        <v>27</v>
      </c>
      <c r="B90">
        <v>79</v>
      </c>
      <c r="C90" t="s">
        <v>414</v>
      </c>
      <c r="D90" s="2">
        <v>38139</v>
      </c>
      <c r="E90">
        <v>0</v>
      </c>
      <c r="F90" s="3">
        <v>0.38750000000000001</v>
      </c>
      <c r="G90" s="3">
        <v>0.3979166666666667</v>
      </c>
      <c r="H90">
        <v>16.399999999999999</v>
      </c>
      <c r="I90">
        <v>32</v>
      </c>
      <c r="J90">
        <v>0</v>
      </c>
      <c r="K90">
        <v>3</v>
      </c>
      <c r="L90">
        <v>5</v>
      </c>
      <c r="M90">
        <v>0</v>
      </c>
      <c r="N90">
        <v>0</v>
      </c>
      <c r="O90">
        <v>90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f t="shared" si="2"/>
        <v>100</v>
      </c>
      <c r="AJ90" t="s">
        <v>12</v>
      </c>
      <c r="AK90">
        <f>0.7*O90</f>
        <v>62.999999999999993</v>
      </c>
    </row>
    <row r="91" spans="1:37" x14ac:dyDescent="0.35">
      <c r="A91" t="s">
        <v>27</v>
      </c>
      <c r="B91">
        <v>78</v>
      </c>
      <c r="C91" t="s">
        <v>415</v>
      </c>
      <c r="D91" s="2">
        <v>38139</v>
      </c>
      <c r="E91" t="s">
        <v>50</v>
      </c>
      <c r="F91" s="3">
        <v>0.37152777777777773</v>
      </c>
      <c r="G91" s="3">
        <v>0.38194444444444442</v>
      </c>
      <c r="H91">
        <v>16.3</v>
      </c>
      <c r="I91">
        <v>34</v>
      </c>
      <c r="J91">
        <v>0</v>
      </c>
      <c r="K91">
        <v>3</v>
      </c>
      <c r="L91">
        <v>1</v>
      </c>
      <c r="M91">
        <v>80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19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 t="shared" si="2"/>
        <v>100</v>
      </c>
      <c r="AJ91" t="s">
        <v>10</v>
      </c>
      <c r="AK91">
        <f>0.8*M91</f>
        <v>64</v>
      </c>
    </row>
    <row r="92" spans="1:37" x14ac:dyDescent="0.35">
      <c r="A92" t="s">
        <v>27</v>
      </c>
      <c r="B92">
        <v>80</v>
      </c>
      <c r="C92" t="s">
        <v>413</v>
      </c>
      <c r="D92" s="2">
        <v>38139</v>
      </c>
      <c r="E92" t="s">
        <v>53</v>
      </c>
      <c r="F92" s="3">
        <v>0.41111111111111115</v>
      </c>
      <c r="G92" s="3">
        <v>0.42152777777777778</v>
      </c>
      <c r="H92">
        <v>17.399999999999999</v>
      </c>
      <c r="I92">
        <v>34</v>
      </c>
      <c r="J92">
        <v>0</v>
      </c>
      <c r="K92">
        <v>2</v>
      </c>
      <c r="L92">
        <v>67</v>
      </c>
      <c r="M92">
        <v>30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f t="shared" si="2"/>
        <v>100</v>
      </c>
      <c r="AJ92" t="s">
        <v>10</v>
      </c>
      <c r="AK92">
        <f>0.8*M92</f>
        <v>24</v>
      </c>
    </row>
    <row r="93" spans="1:37" x14ac:dyDescent="0.35">
      <c r="A93" t="s">
        <v>27</v>
      </c>
      <c r="B93">
        <v>81</v>
      </c>
      <c r="C93" t="s">
        <v>412</v>
      </c>
      <c r="D93" s="2">
        <v>38139</v>
      </c>
      <c r="E93" t="s">
        <v>46</v>
      </c>
      <c r="F93" s="3">
        <v>0.4291666666666667</v>
      </c>
      <c r="G93" s="3">
        <v>0.43958333333333338</v>
      </c>
      <c r="H93">
        <v>19.100000000000001</v>
      </c>
      <c r="I93">
        <v>29</v>
      </c>
      <c r="J93">
        <v>0</v>
      </c>
      <c r="K93">
        <v>2</v>
      </c>
      <c r="L93">
        <v>10</v>
      </c>
      <c r="M93">
        <v>20</v>
      </c>
      <c r="N93">
        <v>0</v>
      </c>
      <c r="O93">
        <v>0</v>
      </c>
      <c r="P93">
        <v>0</v>
      </c>
      <c r="Q93">
        <v>25</v>
      </c>
      <c r="R93">
        <v>0</v>
      </c>
      <c r="S93">
        <v>45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f t="shared" si="2"/>
        <v>100</v>
      </c>
      <c r="AJ93" t="s">
        <v>10</v>
      </c>
      <c r="AK93">
        <f>0.9*M93</f>
        <v>18</v>
      </c>
    </row>
    <row r="94" spans="1:37" x14ac:dyDescent="0.35">
      <c r="A94" t="s">
        <v>27</v>
      </c>
      <c r="B94">
        <v>84</v>
      </c>
      <c r="C94" t="s">
        <v>416</v>
      </c>
      <c r="D94" s="2">
        <v>38140</v>
      </c>
      <c r="E94" t="s">
        <v>50</v>
      </c>
      <c r="F94" s="3">
        <v>0.59166666666666667</v>
      </c>
      <c r="G94" s="3">
        <v>0.6020833333333333</v>
      </c>
      <c r="H94">
        <v>22</v>
      </c>
      <c r="I94">
        <v>23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75</v>
      </c>
      <c r="W94">
        <v>0</v>
      </c>
      <c r="X94">
        <v>0</v>
      </c>
      <c r="Y94">
        <v>0</v>
      </c>
      <c r="Z94">
        <v>0</v>
      </c>
      <c r="AA94">
        <v>25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f t="shared" si="2"/>
        <v>100</v>
      </c>
      <c r="AJ94" t="s">
        <v>19</v>
      </c>
      <c r="AK94">
        <f>0.1*AA94</f>
        <v>2.5</v>
      </c>
    </row>
    <row r="95" spans="1:37" x14ac:dyDescent="0.35">
      <c r="A95" t="s">
        <v>27</v>
      </c>
      <c r="B95">
        <v>83</v>
      </c>
      <c r="C95" t="s">
        <v>417</v>
      </c>
      <c r="D95" s="2">
        <v>38140</v>
      </c>
      <c r="E95" t="s">
        <v>46</v>
      </c>
      <c r="F95" s="3">
        <v>0.56458333333333333</v>
      </c>
      <c r="G95" s="3">
        <v>0.57499999999999996</v>
      </c>
      <c r="H95">
        <v>23</v>
      </c>
      <c r="I95">
        <v>27</v>
      </c>
      <c r="J95">
        <v>0</v>
      </c>
      <c r="K95">
        <v>2</v>
      </c>
      <c r="L95">
        <v>10</v>
      </c>
      <c r="M95">
        <v>20</v>
      </c>
      <c r="N95">
        <v>0</v>
      </c>
      <c r="O95">
        <v>0</v>
      </c>
      <c r="P95">
        <v>0</v>
      </c>
      <c r="Q95">
        <v>25</v>
      </c>
      <c r="R95">
        <v>0</v>
      </c>
      <c r="S95">
        <v>45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 t="shared" si="2"/>
        <v>100</v>
      </c>
      <c r="AJ95" t="s">
        <v>94</v>
      </c>
      <c r="AK95">
        <f>0.2*Q95</f>
        <v>5</v>
      </c>
    </row>
    <row r="96" spans="1:37" x14ac:dyDescent="0.35">
      <c r="A96" t="s">
        <v>27</v>
      </c>
      <c r="B96">
        <v>82</v>
      </c>
      <c r="C96" t="s">
        <v>418</v>
      </c>
      <c r="D96" s="2">
        <v>38140</v>
      </c>
      <c r="E96" t="s">
        <v>46</v>
      </c>
      <c r="F96" s="3">
        <v>0.52847222222222223</v>
      </c>
      <c r="G96" s="3">
        <v>0.53888888888888886</v>
      </c>
      <c r="H96">
        <v>21.1</v>
      </c>
      <c r="I96">
        <v>28</v>
      </c>
      <c r="J96">
        <v>0</v>
      </c>
      <c r="K96">
        <v>2</v>
      </c>
      <c r="L96">
        <v>0</v>
      </c>
      <c r="M96">
        <v>80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8</v>
      </c>
      <c r="W96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 t="shared" si="2"/>
        <v>100</v>
      </c>
      <c r="AJ96" t="s">
        <v>16</v>
      </c>
      <c r="AK96">
        <f>0.15*U96</f>
        <v>1.5</v>
      </c>
    </row>
    <row r="97" spans="1:37" x14ac:dyDescent="0.35">
      <c r="A97" t="s">
        <v>27</v>
      </c>
      <c r="B97">
        <v>86</v>
      </c>
      <c r="C97" t="s">
        <v>419</v>
      </c>
      <c r="D97" s="2">
        <v>38140</v>
      </c>
      <c r="E97" t="s">
        <v>53</v>
      </c>
      <c r="F97" s="3">
        <v>0.64583333333333337</v>
      </c>
      <c r="G97" s="3">
        <v>0.65625</v>
      </c>
      <c r="H97">
        <v>21.5</v>
      </c>
      <c r="I97">
        <v>29</v>
      </c>
      <c r="J97">
        <v>0</v>
      </c>
      <c r="K97">
        <v>2</v>
      </c>
      <c r="L97">
        <v>67</v>
      </c>
      <c r="M97">
        <v>30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 t="shared" si="2"/>
        <v>100</v>
      </c>
      <c r="AJ97" t="s">
        <v>20</v>
      </c>
      <c r="AK97">
        <f>0.3*AC97</f>
        <v>0.89999999999999991</v>
      </c>
    </row>
    <row r="98" spans="1:37" x14ac:dyDescent="0.35">
      <c r="A98" t="s">
        <v>27</v>
      </c>
      <c r="B98">
        <v>85</v>
      </c>
      <c r="C98" t="s">
        <v>420</v>
      </c>
      <c r="D98" s="2">
        <v>38140</v>
      </c>
      <c r="E98">
        <v>0</v>
      </c>
      <c r="F98" s="3">
        <v>0.62083333333333335</v>
      </c>
      <c r="G98" s="3">
        <v>0.63263888888888886</v>
      </c>
      <c r="H98">
        <v>21.5</v>
      </c>
      <c r="I98">
        <v>29</v>
      </c>
      <c r="J98">
        <v>1</v>
      </c>
      <c r="K98">
        <v>2</v>
      </c>
      <c r="L98">
        <v>10</v>
      </c>
      <c r="M98">
        <v>0</v>
      </c>
      <c r="N98">
        <v>0</v>
      </c>
      <c r="O98">
        <v>84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5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f t="shared" si="2"/>
        <v>100</v>
      </c>
      <c r="AJ98" t="s">
        <v>12</v>
      </c>
      <c r="AK98">
        <f>0.5*O98</f>
        <v>42</v>
      </c>
    </row>
    <row r="99" spans="1:37" x14ac:dyDescent="0.35">
      <c r="A99" t="s">
        <v>27</v>
      </c>
      <c r="B99">
        <v>82</v>
      </c>
      <c r="C99" t="s">
        <v>418</v>
      </c>
      <c r="D99" s="2">
        <v>38140</v>
      </c>
      <c r="E99" t="s">
        <v>46</v>
      </c>
      <c r="F99" s="3">
        <v>0.52847222222222223</v>
      </c>
      <c r="G99" s="3">
        <v>0.53888888888888886</v>
      </c>
      <c r="H99">
        <v>21.1</v>
      </c>
      <c r="I99">
        <v>28</v>
      </c>
      <c r="J99">
        <v>0</v>
      </c>
      <c r="K99">
        <v>2</v>
      </c>
      <c r="L99">
        <v>0</v>
      </c>
      <c r="M99">
        <v>80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10</v>
      </c>
      <c r="V99">
        <v>8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 t="shared" si="2"/>
        <v>100</v>
      </c>
      <c r="AJ99" t="s">
        <v>10</v>
      </c>
      <c r="AK99">
        <f>0.7*M99</f>
        <v>56</v>
      </c>
    </row>
    <row r="100" spans="1:37" x14ac:dyDescent="0.35">
      <c r="A100" t="s">
        <v>27</v>
      </c>
      <c r="B100">
        <v>83</v>
      </c>
      <c r="C100" t="s">
        <v>417</v>
      </c>
      <c r="D100" s="2">
        <v>38140</v>
      </c>
      <c r="E100" t="s">
        <v>46</v>
      </c>
      <c r="F100" s="3">
        <v>0.56458333333333333</v>
      </c>
      <c r="G100" s="3">
        <v>0.57499999999999996</v>
      </c>
      <c r="H100">
        <v>23</v>
      </c>
      <c r="I100">
        <v>27</v>
      </c>
      <c r="J100">
        <v>0</v>
      </c>
      <c r="K100">
        <v>2</v>
      </c>
      <c r="L100">
        <v>10</v>
      </c>
      <c r="M100">
        <v>20</v>
      </c>
      <c r="N100">
        <v>0</v>
      </c>
      <c r="O100">
        <v>0</v>
      </c>
      <c r="P100">
        <v>0</v>
      </c>
      <c r="Q100">
        <v>25</v>
      </c>
      <c r="R100">
        <v>0</v>
      </c>
      <c r="S100">
        <v>45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2"/>
        <v>100</v>
      </c>
      <c r="AJ100" t="s">
        <v>10</v>
      </c>
      <c r="AK100">
        <f>0.9*M100</f>
        <v>18</v>
      </c>
    </row>
    <row r="101" spans="1:37" x14ac:dyDescent="0.35">
      <c r="A101" t="s">
        <v>27</v>
      </c>
      <c r="B101">
        <v>86</v>
      </c>
      <c r="C101" t="s">
        <v>419</v>
      </c>
      <c r="D101" s="2">
        <v>38140</v>
      </c>
      <c r="E101" t="s">
        <v>53</v>
      </c>
      <c r="F101" s="3">
        <v>0.64583333333333337</v>
      </c>
      <c r="G101" s="3">
        <v>0.65625</v>
      </c>
      <c r="H101">
        <v>21.5</v>
      </c>
      <c r="I101">
        <v>29</v>
      </c>
      <c r="J101">
        <v>0</v>
      </c>
      <c r="K101">
        <v>2</v>
      </c>
      <c r="L101">
        <v>67</v>
      </c>
      <c r="M101">
        <v>30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 t="shared" si="2"/>
        <v>100</v>
      </c>
      <c r="AJ101" t="s">
        <v>10</v>
      </c>
      <c r="AK101">
        <f>0.9*M101</f>
        <v>27</v>
      </c>
    </row>
    <row r="102" spans="1:37" x14ac:dyDescent="0.35">
      <c r="A102" t="s">
        <v>27</v>
      </c>
      <c r="B102">
        <v>87</v>
      </c>
      <c r="C102" t="s">
        <v>421</v>
      </c>
      <c r="D102" s="2">
        <v>38141</v>
      </c>
      <c r="E102" t="s">
        <v>50</v>
      </c>
      <c r="F102" s="3">
        <v>0.38611111111111113</v>
      </c>
      <c r="G102" s="3">
        <v>0.39652777777777781</v>
      </c>
      <c r="H102">
        <v>20</v>
      </c>
      <c r="I102">
        <v>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75</v>
      </c>
      <c r="AG102">
        <v>0</v>
      </c>
      <c r="AH102">
        <v>0</v>
      </c>
      <c r="AI102">
        <f t="shared" si="2"/>
        <v>100</v>
      </c>
      <c r="AJ102" t="s">
        <v>95</v>
      </c>
      <c r="AK102">
        <f>0.4*AF102</f>
        <v>30</v>
      </c>
    </row>
    <row r="103" spans="1:37" x14ac:dyDescent="0.35">
      <c r="A103" t="s">
        <v>27</v>
      </c>
      <c r="B103">
        <v>91</v>
      </c>
      <c r="C103" t="s">
        <v>422</v>
      </c>
      <c r="D103" s="2">
        <v>38141</v>
      </c>
      <c r="E103">
        <v>0</v>
      </c>
      <c r="F103" s="3">
        <v>0.48819444444444443</v>
      </c>
      <c r="G103" s="3">
        <v>0.49861111111111112</v>
      </c>
      <c r="H103">
        <v>21.7</v>
      </c>
      <c r="I103">
        <v>38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0</v>
      </c>
      <c r="V103">
        <v>37</v>
      </c>
      <c r="W103">
        <v>0</v>
      </c>
      <c r="X103">
        <v>0</v>
      </c>
      <c r="Y103">
        <v>25</v>
      </c>
      <c r="Z103">
        <v>0</v>
      </c>
      <c r="AA103">
        <v>30</v>
      </c>
      <c r="AB103">
        <v>0</v>
      </c>
      <c r="AC103">
        <v>0</v>
      </c>
      <c r="AD103">
        <v>0</v>
      </c>
      <c r="AE103">
        <v>5</v>
      </c>
      <c r="AF103">
        <v>0</v>
      </c>
      <c r="AG103">
        <v>0</v>
      </c>
      <c r="AH103">
        <v>0</v>
      </c>
      <c r="AI103">
        <f t="shared" si="2"/>
        <v>100</v>
      </c>
      <c r="AJ103" t="s">
        <v>19</v>
      </c>
      <c r="AK103">
        <f>0.12*AA103</f>
        <v>3.5999999999999996</v>
      </c>
    </row>
    <row r="104" spans="1:37" x14ac:dyDescent="0.35">
      <c r="A104" t="s">
        <v>27</v>
      </c>
      <c r="B104">
        <v>90</v>
      </c>
      <c r="C104" t="s">
        <v>423</v>
      </c>
      <c r="D104" s="2">
        <v>38141</v>
      </c>
      <c r="E104" t="s">
        <v>46</v>
      </c>
      <c r="F104" s="3">
        <v>0.46527777777777773</v>
      </c>
      <c r="G104" s="3">
        <v>0.47569444444444442</v>
      </c>
      <c r="H104">
        <v>21.6</v>
      </c>
      <c r="I104">
        <v>28</v>
      </c>
      <c r="J104">
        <v>0</v>
      </c>
      <c r="K104">
        <v>0</v>
      </c>
      <c r="L104">
        <v>55</v>
      </c>
      <c r="M104">
        <v>5</v>
      </c>
      <c r="N104">
        <v>8</v>
      </c>
      <c r="O104">
        <v>0</v>
      </c>
      <c r="P104">
        <v>0</v>
      </c>
      <c r="Q104">
        <v>30</v>
      </c>
      <c r="R104">
        <v>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 t="shared" si="2"/>
        <v>100</v>
      </c>
      <c r="AJ104" t="s">
        <v>94</v>
      </c>
      <c r="AK104">
        <f>0.3*Q104</f>
        <v>9</v>
      </c>
    </row>
    <row r="105" spans="1:37" x14ac:dyDescent="0.35">
      <c r="A105" t="s">
        <v>27</v>
      </c>
      <c r="B105">
        <v>91</v>
      </c>
      <c r="C105" t="s">
        <v>422</v>
      </c>
      <c r="D105" s="2">
        <v>38141</v>
      </c>
      <c r="E105">
        <v>0</v>
      </c>
      <c r="F105" s="3">
        <v>0.48819444444444443</v>
      </c>
      <c r="G105" s="3">
        <v>0.49861111111111112</v>
      </c>
      <c r="H105">
        <v>21.7</v>
      </c>
      <c r="I105">
        <v>38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3</v>
      </c>
      <c r="T105">
        <v>0</v>
      </c>
      <c r="U105">
        <v>0</v>
      </c>
      <c r="V105">
        <v>37</v>
      </c>
      <c r="W105">
        <v>0</v>
      </c>
      <c r="X105">
        <v>0</v>
      </c>
      <c r="Y105">
        <v>25</v>
      </c>
      <c r="Z105">
        <v>0</v>
      </c>
      <c r="AA105">
        <v>30</v>
      </c>
      <c r="AB105">
        <v>0</v>
      </c>
      <c r="AC105">
        <v>0</v>
      </c>
      <c r="AD105">
        <v>0</v>
      </c>
      <c r="AE105">
        <v>5</v>
      </c>
      <c r="AF105">
        <v>0</v>
      </c>
      <c r="AG105">
        <v>0</v>
      </c>
      <c r="AH105">
        <v>0</v>
      </c>
      <c r="AI105">
        <f t="shared" si="2"/>
        <v>100</v>
      </c>
      <c r="AJ105" t="s">
        <v>86</v>
      </c>
      <c r="AK105">
        <f>0.7*Y105</f>
        <v>17.5</v>
      </c>
    </row>
    <row r="106" spans="1:37" x14ac:dyDescent="0.35">
      <c r="A106" t="s">
        <v>27</v>
      </c>
      <c r="B106">
        <v>88</v>
      </c>
      <c r="C106" t="s">
        <v>424</v>
      </c>
      <c r="D106" s="2">
        <v>38141</v>
      </c>
      <c r="E106">
        <v>0</v>
      </c>
      <c r="F106" s="3">
        <v>0.41805555555555557</v>
      </c>
      <c r="G106" s="3">
        <v>0.4284722222222222</v>
      </c>
      <c r="H106">
        <v>19.399999999999999</v>
      </c>
      <c r="I106">
        <v>43</v>
      </c>
      <c r="J106">
        <v>0</v>
      </c>
      <c r="K106">
        <v>1</v>
      </c>
      <c r="L106">
        <v>20</v>
      </c>
      <c r="M106">
        <v>0</v>
      </c>
      <c r="N106">
        <v>0</v>
      </c>
      <c r="O106">
        <v>78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 t="shared" si="2"/>
        <v>100</v>
      </c>
      <c r="AJ106" t="s">
        <v>12</v>
      </c>
      <c r="AK106">
        <f>0.7*O106</f>
        <v>54.599999999999994</v>
      </c>
    </row>
    <row r="107" spans="1:37" x14ac:dyDescent="0.35">
      <c r="A107" t="s">
        <v>27</v>
      </c>
      <c r="B107">
        <v>89</v>
      </c>
      <c r="C107" t="s">
        <v>425</v>
      </c>
      <c r="D107" s="2">
        <v>38141</v>
      </c>
      <c r="E107" t="s">
        <v>50</v>
      </c>
      <c r="F107" s="3">
        <v>0.4465277777777778</v>
      </c>
      <c r="G107" s="3">
        <v>0.45694444444444443</v>
      </c>
      <c r="H107">
        <v>21</v>
      </c>
      <c r="I107">
        <v>32</v>
      </c>
      <c r="J107">
        <v>0</v>
      </c>
      <c r="K107">
        <v>0</v>
      </c>
      <c r="L107">
        <v>0</v>
      </c>
      <c r="M107">
        <v>85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15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 t="shared" si="2"/>
        <v>100</v>
      </c>
      <c r="AJ107" t="s">
        <v>10</v>
      </c>
      <c r="AK107">
        <f>0.8*M107</f>
        <v>68</v>
      </c>
    </row>
    <row r="108" spans="1:37" x14ac:dyDescent="0.35">
      <c r="A108" t="s">
        <v>27</v>
      </c>
      <c r="B108">
        <v>90</v>
      </c>
      <c r="C108" t="s">
        <v>423</v>
      </c>
      <c r="D108" s="2">
        <v>38141</v>
      </c>
      <c r="E108" t="s">
        <v>46</v>
      </c>
      <c r="F108" s="3">
        <v>0.46527777777777773</v>
      </c>
      <c r="G108" s="3">
        <v>0.47569444444444442</v>
      </c>
      <c r="H108">
        <v>21.6</v>
      </c>
      <c r="I108">
        <v>28</v>
      </c>
      <c r="J108">
        <v>0</v>
      </c>
      <c r="K108">
        <v>0</v>
      </c>
      <c r="L108">
        <v>55</v>
      </c>
      <c r="M108">
        <v>5</v>
      </c>
      <c r="N108">
        <v>8</v>
      </c>
      <c r="O108">
        <v>0</v>
      </c>
      <c r="P108">
        <v>0</v>
      </c>
      <c r="Q108">
        <v>30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 t="shared" si="2"/>
        <v>100</v>
      </c>
      <c r="AJ108" t="s">
        <v>10</v>
      </c>
      <c r="AK108">
        <f>0.9*M108</f>
        <v>4.5</v>
      </c>
    </row>
    <row r="109" spans="1:37" x14ac:dyDescent="0.35">
      <c r="A109" t="s">
        <v>27</v>
      </c>
      <c r="B109">
        <v>93</v>
      </c>
      <c r="C109" t="s">
        <v>426</v>
      </c>
      <c r="D109" s="2">
        <v>38145</v>
      </c>
      <c r="E109" t="s">
        <v>52</v>
      </c>
      <c r="F109" s="3">
        <v>0.44305555555555554</v>
      </c>
      <c r="G109" s="3">
        <v>0.45347222222222222</v>
      </c>
      <c r="H109">
        <v>19.100000000000001</v>
      </c>
      <c r="I109">
        <v>61</v>
      </c>
      <c r="J109">
        <v>5</v>
      </c>
      <c r="K109">
        <v>2</v>
      </c>
      <c r="L109">
        <v>1</v>
      </c>
      <c r="M109">
        <v>84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</v>
      </c>
      <c r="W109">
        <v>4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f t="shared" si="2"/>
        <v>100</v>
      </c>
      <c r="AJ109" t="s">
        <v>19</v>
      </c>
      <c r="AK109">
        <f>0.7*AA109</f>
        <v>0.7</v>
      </c>
    </row>
    <row r="110" spans="1:37" x14ac:dyDescent="0.35">
      <c r="A110" t="s">
        <v>27</v>
      </c>
      <c r="B110">
        <v>92</v>
      </c>
      <c r="C110" t="s">
        <v>427</v>
      </c>
      <c r="D110" s="2">
        <v>38145</v>
      </c>
      <c r="E110" t="s">
        <v>46</v>
      </c>
      <c r="F110" s="3">
        <v>0.42569444444444443</v>
      </c>
      <c r="G110" s="3">
        <v>0.43611111111111112</v>
      </c>
      <c r="H110">
        <v>17.7</v>
      </c>
      <c r="I110">
        <v>65</v>
      </c>
      <c r="J110">
        <v>5</v>
      </c>
      <c r="K110">
        <v>2</v>
      </c>
      <c r="L110">
        <v>10</v>
      </c>
      <c r="M110">
        <v>20</v>
      </c>
      <c r="N110">
        <v>0</v>
      </c>
      <c r="O110">
        <v>0</v>
      </c>
      <c r="P110">
        <v>0</v>
      </c>
      <c r="Q110">
        <v>25</v>
      </c>
      <c r="R110">
        <v>0</v>
      </c>
      <c r="S110">
        <v>45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f t="shared" si="2"/>
        <v>100</v>
      </c>
      <c r="AJ110" t="s">
        <v>94</v>
      </c>
      <c r="AK110">
        <f>0.95*Q110</f>
        <v>23.75</v>
      </c>
    </row>
    <row r="111" spans="1:37" x14ac:dyDescent="0.35">
      <c r="A111" t="s">
        <v>27</v>
      </c>
      <c r="B111">
        <v>94</v>
      </c>
      <c r="C111" t="s">
        <v>428</v>
      </c>
      <c r="D111" s="2">
        <v>38145</v>
      </c>
      <c r="E111">
        <v>0</v>
      </c>
      <c r="F111" s="3">
        <v>0.50972222222222219</v>
      </c>
      <c r="G111" s="3">
        <v>0.52013888888888882</v>
      </c>
      <c r="H111">
        <v>18.600000000000001</v>
      </c>
      <c r="I111">
        <v>55</v>
      </c>
      <c r="J111">
        <v>5</v>
      </c>
      <c r="K111">
        <v>2</v>
      </c>
      <c r="L111">
        <v>6</v>
      </c>
      <c r="M111">
        <v>0</v>
      </c>
      <c r="N111">
        <v>0</v>
      </c>
      <c r="O111">
        <v>93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 t="shared" si="2"/>
        <v>100</v>
      </c>
      <c r="AJ111" t="s">
        <v>12</v>
      </c>
      <c r="AK111">
        <f>0.1*O111</f>
        <v>9.3000000000000007</v>
      </c>
    </row>
    <row r="112" spans="1:37" x14ac:dyDescent="0.35">
      <c r="A112" t="s">
        <v>27</v>
      </c>
      <c r="B112">
        <v>92</v>
      </c>
      <c r="C112" t="s">
        <v>427</v>
      </c>
      <c r="D112" s="2">
        <v>38145</v>
      </c>
      <c r="E112" t="s">
        <v>46</v>
      </c>
      <c r="F112" s="3">
        <v>0.42569444444444443</v>
      </c>
      <c r="G112" s="3">
        <v>0.43611111111111112</v>
      </c>
      <c r="H112">
        <v>17.7</v>
      </c>
      <c r="I112">
        <v>65</v>
      </c>
      <c r="J112">
        <v>5</v>
      </c>
      <c r="K112">
        <v>2</v>
      </c>
      <c r="L112">
        <v>10</v>
      </c>
      <c r="M112">
        <v>20</v>
      </c>
      <c r="N112">
        <v>0</v>
      </c>
      <c r="O112">
        <v>0</v>
      </c>
      <c r="P112">
        <v>0</v>
      </c>
      <c r="Q112">
        <v>25</v>
      </c>
      <c r="R112">
        <v>0</v>
      </c>
      <c r="S112">
        <v>45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2"/>
        <v>100</v>
      </c>
      <c r="AJ112" t="s">
        <v>10</v>
      </c>
      <c r="AK112">
        <f>0.7*M112</f>
        <v>14</v>
      </c>
    </row>
    <row r="113" spans="1:37" x14ac:dyDescent="0.35">
      <c r="A113" t="s">
        <v>27</v>
      </c>
      <c r="B113">
        <v>93</v>
      </c>
      <c r="C113" t="s">
        <v>426</v>
      </c>
      <c r="D113" s="2">
        <v>38145</v>
      </c>
      <c r="E113" t="s">
        <v>52</v>
      </c>
      <c r="F113" s="3">
        <v>0.44305555555555554</v>
      </c>
      <c r="G113" s="3">
        <v>0.45347222222222222</v>
      </c>
      <c r="H113">
        <v>19.100000000000001</v>
      </c>
      <c r="I113">
        <v>61</v>
      </c>
      <c r="J113">
        <v>5</v>
      </c>
      <c r="K113">
        <v>2</v>
      </c>
      <c r="L113">
        <v>1</v>
      </c>
      <c r="M113">
        <v>84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</v>
      </c>
      <c r="W113">
        <v>4</v>
      </c>
      <c r="X113">
        <v>0</v>
      </c>
      <c r="Y113">
        <v>0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 t="shared" si="2"/>
        <v>100</v>
      </c>
      <c r="AJ113" t="s">
        <v>10</v>
      </c>
      <c r="AK113">
        <f>0.6*M113</f>
        <v>50.4</v>
      </c>
    </row>
    <row r="114" spans="1:37" x14ac:dyDescent="0.35">
      <c r="A114" t="s">
        <v>27</v>
      </c>
      <c r="B114">
        <v>96</v>
      </c>
      <c r="C114" t="s">
        <v>429</v>
      </c>
      <c r="D114" s="2">
        <v>38146</v>
      </c>
      <c r="E114">
        <v>0</v>
      </c>
      <c r="F114" s="3">
        <v>0.63402777777777775</v>
      </c>
      <c r="G114" s="3">
        <v>0.64444444444444449</v>
      </c>
      <c r="H114">
        <v>17.899999999999999</v>
      </c>
      <c r="I114">
        <v>48</v>
      </c>
      <c r="J114">
        <v>4</v>
      </c>
      <c r="K114">
        <v>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67</v>
      </c>
      <c r="W114">
        <v>0</v>
      </c>
      <c r="X114">
        <v>0</v>
      </c>
      <c r="Y114">
        <v>0</v>
      </c>
      <c r="Z114">
        <v>0</v>
      </c>
      <c r="AA114">
        <v>10</v>
      </c>
      <c r="AB114">
        <v>8</v>
      </c>
      <c r="AC114">
        <v>0</v>
      </c>
      <c r="AD114">
        <v>0</v>
      </c>
      <c r="AE114">
        <v>15</v>
      </c>
      <c r="AF114">
        <v>0</v>
      </c>
      <c r="AG114">
        <v>0</v>
      </c>
      <c r="AH114">
        <v>0</v>
      </c>
      <c r="AI114">
        <f t="shared" si="2"/>
        <v>100</v>
      </c>
      <c r="AJ114" t="s">
        <v>88</v>
      </c>
      <c r="AK114">
        <f>0.14*AB114</f>
        <v>1.1200000000000001</v>
      </c>
    </row>
    <row r="115" spans="1:37" x14ac:dyDescent="0.35">
      <c r="A115" t="s">
        <v>27</v>
      </c>
      <c r="B115">
        <v>96</v>
      </c>
      <c r="C115" t="s">
        <v>429</v>
      </c>
      <c r="D115" s="2">
        <v>38146</v>
      </c>
      <c r="E115">
        <v>0</v>
      </c>
      <c r="F115" s="3">
        <v>0.63402777777777775</v>
      </c>
      <c r="G115" s="3">
        <v>0.64444444444444449</v>
      </c>
      <c r="H115">
        <v>17.899999999999999</v>
      </c>
      <c r="I115">
        <v>48</v>
      </c>
      <c r="J115">
        <v>4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67</v>
      </c>
      <c r="W115">
        <v>0</v>
      </c>
      <c r="X115">
        <v>0</v>
      </c>
      <c r="Y115">
        <v>0</v>
      </c>
      <c r="Z115">
        <v>0</v>
      </c>
      <c r="AA115">
        <v>10</v>
      </c>
      <c r="AB115">
        <v>8</v>
      </c>
      <c r="AC115">
        <v>0</v>
      </c>
      <c r="AD115">
        <v>0</v>
      </c>
      <c r="AE115">
        <v>15</v>
      </c>
      <c r="AF115">
        <v>0</v>
      </c>
      <c r="AG115">
        <v>0</v>
      </c>
      <c r="AH115">
        <v>0</v>
      </c>
      <c r="AI115">
        <f t="shared" si="2"/>
        <v>100</v>
      </c>
      <c r="AJ115" t="s">
        <v>19</v>
      </c>
      <c r="AK115">
        <f>0.2*AA115</f>
        <v>2</v>
      </c>
    </row>
    <row r="116" spans="1:37" x14ac:dyDescent="0.35">
      <c r="A116" t="s">
        <v>27</v>
      </c>
      <c r="B116">
        <v>97</v>
      </c>
      <c r="C116" t="s">
        <v>430</v>
      </c>
      <c r="D116" s="2">
        <v>38146</v>
      </c>
      <c r="E116" t="s">
        <v>37</v>
      </c>
      <c r="F116" s="3">
        <v>0.65069444444444446</v>
      </c>
      <c r="G116" s="3">
        <v>0.66111111111111109</v>
      </c>
      <c r="H116">
        <v>20.100000000000001</v>
      </c>
      <c r="I116">
        <v>33</v>
      </c>
      <c r="J116">
        <v>2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</v>
      </c>
      <c r="T116">
        <v>0</v>
      </c>
      <c r="U116">
        <v>0</v>
      </c>
      <c r="V116">
        <v>63</v>
      </c>
      <c r="W116">
        <v>2</v>
      </c>
      <c r="X116">
        <v>0</v>
      </c>
      <c r="Y116">
        <v>22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6</v>
      </c>
      <c r="AF116">
        <v>0</v>
      </c>
      <c r="AG116">
        <v>0</v>
      </c>
      <c r="AH116">
        <v>0</v>
      </c>
      <c r="AI116">
        <f t="shared" si="2"/>
        <v>100</v>
      </c>
      <c r="AJ116" t="s">
        <v>86</v>
      </c>
      <c r="AK116">
        <f>0.08*Y116</f>
        <v>1.76</v>
      </c>
    </row>
    <row r="117" spans="1:37" x14ac:dyDescent="0.35">
      <c r="A117" t="s">
        <v>27</v>
      </c>
      <c r="B117">
        <v>95</v>
      </c>
      <c r="C117" t="s">
        <v>431</v>
      </c>
      <c r="D117" s="2">
        <v>38146</v>
      </c>
      <c r="E117" t="s">
        <v>53</v>
      </c>
      <c r="F117" s="3">
        <v>0.60069444444444442</v>
      </c>
      <c r="G117" s="3">
        <v>0.61111111111111105</v>
      </c>
      <c r="H117">
        <v>17.7</v>
      </c>
      <c r="I117">
        <v>43</v>
      </c>
      <c r="J117">
        <v>5</v>
      </c>
      <c r="K117">
        <v>2</v>
      </c>
      <c r="L117">
        <v>68</v>
      </c>
      <c r="M117">
        <v>20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 t="shared" si="2"/>
        <v>100</v>
      </c>
      <c r="AJ117" t="s">
        <v>16</v>
      </c>
      <c r="AK117">
        <f>0.2*U117</f>
        <v>0.4</v>
      </c>
    </row>
    <row r="118" spans="1:37" x14ac:dyDescent="0.35">
      <c r="A118" t="s">
        <v>27</v>
      </c>
      <c r="B118">
        <v>98</v>
      </c>
      <c r="C118" t="s">
        <v>432</v>
      </c>
      <c r="D118" s="2">
        <v>38146</v>
      </c>
      <c r="E118" t="s">
        <v>50</v>
      </c>
      <c r="F118" s="3">
        <v>0.66597222222222219</v>
      </c>
      <c r="G118" s="3">
        <v>0.67638888888888893</v>
      </c>
      <c r="H118">
        <v>18.3</v>
      </c>
      <c r="I118">
        <v>43</v>
      </c>
      <c r="J118">
        <v>4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50</v>
      </c>
      <c r="T118">
        <v>0</v>
      </c>
      <c r="U118">
        <v>30</v>
      </c>
      <c r="V118">
        <v>20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f t="shared" si="2"/>
        <v>100</v>
      </c>
      <c r="AJ118" t="s">
        <v>16</v>
      </c>
      <c r="AK118">
        <f>0.3*U118</f>
        <v>9</v>
      </c>
    </row>
    <row r="119" spans="1:37" x14ac:dyDescent="0.35">
      <c r="A119" t="s">
        <v>27</v>
      </c>
      <c r="B119">
        <v>95</v>
      </c>
      <c r="C119" t="s">
        <v>431</v>
      </c>
      <c r="D119" s="2">
        <v>38146</v>
      </c>
      <c r="E119" t="s">
        <v>53</v>
      </c>
      <c r="F119" s="3">
        <v>0.60069444444444442</v>
      </c>
      <c r="G119" s="3">
        <v>0.61111111111111105</v>
      </c>
      <c r="H119">
        <v>17.7</v>
      </c>
      <c r="I119">
        <v>43</v>
      </c>
      <c r="J119">
        <v>5</v>
      </c>
      <c r="K119">
        <v>2</v>
      </c>
      <c r="L119">
        <v>68</v>
      </c>
      <c r="M119">
        <v>20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f t="shared" si="2"/>
        <v>100</v>
      </c>
      <c r="AJ119" t="s">
        <v>20</v>
      </c>
      <c r="AK119">
        <f>0.35*AC119</f>
        <v>3.5</v>
      </c>
    </row>
    <row r="120" spans="1:37" x14ac:dyDescent="0.35">
      <c r="A120" t="s">
        <v>27</v>
      </c>
      <c r="B120">
        <v>95</v>
      </c>
      <c r="C120" t="s">
        <v>431</v>
      </c>
      <c r="D120" s="2">
        <v>38146</v>
      </c>
      <c r="E120" t="s">
        <v>53</v>
      </c>
      <c r="F120" s="3">
        <v>0.60069444444444442</v>
      </c>
      <c r="G120" s="3">
        <v>0.61111111111111105</v>
      </c>
      <c r="H120">
        <v>17.7</v>
      </c>
      <c r="I120">
        <v>43</v>
      </c>
      <c r="J120">
        <v>5</v>
      </c>
      <c r="K120">
        <v>2</v>
      </c>
      <c r="L120">
        <v>68</v>
      </c>
      <c r="M120">
        <v>20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10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 t="shared" si="2"/>
        <v>100</v>
      </c>
      <c r="AJ120" t="s">
        <v>10</v>
      </c>
      <c r="AK120">
        <f>0.3*M120</f>
        <v>6</v>
      </c>
    </row>
    <row r="121" spans="1:37" x14ac:dyDescent="0.35">
      <c r="A121" t="s">
        <v>27</v>
      </c>
      <c r="B121" t="s">
        <v>55</v>
      </c>
      <c r="C121" t="s">
        <v>433</v>
      </c>
      <c r="D121" s="2">
        <v>38148</v>
      </c>
      <c r="E121">
        <v>0</v>
      </c>
      <c r="F121" s="3">
        <v>0.44861111111111113</v>
      </c>
      <c r="G121" s="3">
        <v>0.45902777777777781</v>
      </c>
      <c r="H121">
        <v>20.8</v>
      </c>
      <c r="I121">
        <v>40</v>
      </c>
      <c r="J121">
        <v>1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10</v>
      </c>
      <c r="V121">
        <v>62</v>
      </c>
      <c r="W121">
        <v>0</v>
      </c>
      <c r="X121">
        <v>0</v>
      </c>
      <c r="Y121">
        <v>0</v>
      </c>
      <c r="Z121">
        <v>0</v>
      </c>
      <c r="AA121">
        <v>8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f t="shared" si="2"/>
        <v>100</v>
      </c>
      <c r="AJ121" t="s">
        <v>88</v>
      </c>
      <c r="AK121">
        <f>0.15*AB121</f>
        <v>3</v>
      </c>
    </row>
    <row r="122" spans="1:37" x14ac:dyDescent="0.35">
      <c r="A122" t="s">
        <v>27</v>
      </c>
      <c r="B122">
        <v>101</v>
      </c>
      <c r="C122" t="s">
        <v>434</v>
      </c>
      <c r="D122" s="2">
        <v>38148</v>
      </c>
      <c r="E122" t="s">
        <v>50</v>
      </c>
      <c r="F122" s="3">
        <v>0.4152777777777778</v>
      </c>
      <c r="G122" s="3">
        <v>0.42569444444444443</v>
      </c>
      <c r="H122">
        <v>19.5</v>
      </c>
      <c r="I122">
        <v>46</v>
      </c>
      <c r="J122">
        <v>1</v>
      </c>
      <c r="K122">
        <v>2</v>
      </c>
      <c r="L122">
        <v>15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50</v>
      </c>
      <c r="V122">
        <v>24</v>
      </c>
      <c r="W122">
        <v>0</v>
      </c>
      <c r="X122">
        <v>0</v>
      </c>
      <c r="Y122">
        <v>0</v>
      </c>
      <c r="Z122">
        <v>0</v>
      </c>
      <c r="AA122">
        <v>10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 t="shared" si="2"/>
        <v>100</v>
      </c>
      <c r="AJ122" t="s">
        <v>19</v>
      </c>
      <c r="AK122">
        <f>0.15*AA122</f>
        <v>1.5</v>
      </c>
    </row>
    <row r="123" spans="1:37" x14ac:dyDescent="0.35">
      <c r="A123" t="s">
        <v>27</v>
      </c>
      <c r="B123" t="s">
        <v>57</v>
      </c>
      <c r="C123" t="s">
        <v>435</v>
      </c>
      <c r="D123" s="2">
        <v>38148</v>
      </c>
      <c r="E123">
        <v>0</v>
      </c>
      <c r="F123" s="3">
        <v>0.49722222222222223</v>
      </c>
      <c r="G123" s="3">
        <v>0.50763888888888886</v>
      </c>
      <c r="H123">
        <v>22.6</v>
      </c>
      <c r="I123">
        <v>41</v>
      </c>
      <c r="J123">
        <v>1</v>
      </c>
      <c r="K123">
        <v>3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62</v>
      </c>
      <c r="W123">
        <v>0</v>
      </c>
      <c r="X123">
        <v>0</v>
      </c>
      <c r="Y123">
        <v>0</v>
      </c>
      <c r="Z123">
        <v>0</v>
      </c>
      <c r="AA123">
        <v>8</v>
      </c>
      <c r="AB123">
        <v>20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 t="shared" si="2"/>
        <v>100</v>
      </c>
      <c r="AJ123" t="s">
        <v>19</v>
      </c>
      <c r="AK123">
        <f>0.3*AA123</f>
        <v>2.4</v>
      </c>
    </row>
    <row r="124" spans="1:37" x14ac:dyDescent="0.35">
      <c r="A124" t="s">
        <v>27</v>
      </c>
      <c r="B124">
        <v>104</v>
      </c>
      <c r="C124" t="s">
        <v>436</v>
      </c>
      <c r="D124" s="2">
        <v>38148</v>
      </c>
      <c r="E124" t="s">
        <v>54</v>
      </c>
      <c r="F124" s="3">
        <v>0.53472222222222221</v>
      </c>
      <c r="G124" s="3">
        <v>0.54513888888888895</v>
      </c>
      <c r="H124">
        <v>21.6</v>
      </c>
      <c r="I124">
        <v>25</v>
      </c>
      <c r="J124">
        <v>1</v>
      </c>
      <c r="K124">
        <v>3</v>
      </c>
      <c r="L124">
        <v>45</v>
      </c>
      <c r="M124">
        <v>10</v>
      </c>
      <c r="N124">
        <v>5</v>
      </c>
      <c r="O124">
        <v>0</v>
      </c>
      <c r="P124">
        <v>0</v>
      </c>
      <c r="Q124">
        <v>40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2"/>
        <v>100</v>
      </c>
      <c r="AJ124" t="s">
        <v>94</v>
      </c>
      <c r="AK124">
        <f>0.75*Q124</f>
        <v>30</v>
      </c>
    </row>
    <row r="125" spans="1:37" x14ac:dyDescent="0.35">
      <c r="A125" t="s">
        <v>27</v>
      </c>
      <c r="B125">
        <v>99</v>
      </c>
      <c r="C125" t="s">
        <v>437</v>
      </c>
      <c r="D125" s="2">
        <v>38148</v>
      </c>
      <c r="E125" t="s">
        <v>37</v>
      </c>
      <c r="F125" s="3">
        <v>0.47986111111111113</v>
      </c>
      <c r="G125" s="3">
        <v>0.49027777777777781</v>
      </c>
      <c r="H125">
        <v>22.2</v>
      </c>
      <c r="I125">
        <v>64</v>
      </c>
      <c r="J125">
        <v>0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</v>
      </c>
      <c r="T125">
        <v>0</v>
      </c>
      <c r="U125">
        <v>0</v>
      </c>
      <c r="V125">
        <v>63</v>
      </c>
      <c r="W125">
        <v>2</v>
      </c>
      <c r="X125">
        <v>0</v>
      </c>
      <c r="Y125">
        <v>22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6</v>
      </c>
      <c r="AF125">
        <v>0</v>
      </c>
      <c r="AG125">
        <v>0</v>
      </c>
      <c r="AH125">
        <v>0</v>
      </c>
      <c r="AI125">
        <f t="shared" si="2"/>
        <v>100</v>
      </c>
      <c r="AJ125" t="s">
        <v>86</v>
      </c>
      <c r="AK125">
        <f>0.09*Y125</f>
        <v>1.98</v>
      </c>
    </row>
    <row r="126" spans="1:37" x14ac:dyDescent="0.35">
      <c r="A126" t="s">
        <v>27</v>
      </c>
      <c r="B126">
        <v>101</v>
      </c>
      <c r="C126" t="s">
        <v>434</v>
      </c>
      <c r="D126" s="2">
        <v>38148</v>
      </c>
      <c r="E126" t="s">
        <v>50</v>
      </c>
      <c r="F126" s="3">
        <v>0.4152777777777778</v>
      </c>
      <c r="G126" s="3">
        <v>0.42569444444444443</v>
      </c>
      <c r="H126">
        <v>19.5</v>
      </c>
      <c r="I126">
        <v>46</v>
      </c>
      <c r="J126">
        <v>1</v>
      </c>
      <c r="K126">
        <v>2</v>
      </c>
      <c r="L126">
        <v>15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50</v>
      </c>
      <c r="V126">
        <v>24</v>
      </c>
      <c r="W126">
        <v>0</v>
      </c>
      <c r="X126">
        <v>0</v>
      </c>
      <c r="Y126">
        <v>0</v>
      </c>
      <c r="Z126">
        <v>0</v>
      </c>
      <c r="AA126">
        <v>10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f t="shared" si="2"/>
        <v>100</v>
      </c>
      <c r="AJ126" t="s">
        <v>16</v>
      </c>
      <c r="AK126">
        <f>0.25*U126</f>
        <v>12.5</v>
      </c>
    </row>
    <row r="127" spans="1:37" x14ac:dyDescent="0.35">
      <c r="A127" t="s">
        <v>27</v>
      </c>
      <c r="B127" t="s">
        <v>56</v>
      </c>
      <c r="C127" t="s">
        <v>438</v>
      </c>
      <c r="D127" s="2">
        <v>38148</v>
      </c>
      <c r="E127">
        <v>0</v>
      </c>
      <c r="F127" s="3">
        <v>0.45902777777777781</v>
      </c>
      <c r="G127" s="3">
        <v>0.4694444444444445</v>
      </c>
      <c r="H127">
        <v>20.8</v>
      </c>
      <c r="I127">
        <v>40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62</v>
      </c>
      <c r="W127">
        <v>0</v>
      </c>
      <c r="X127">
        <v>0</v>
      </c>
      <c r="Y127">
        <v>0</v>
      </c>
      <c r="Z127">
        <v>0</v>
      </c>
      <c r="AA127">
        <v>8</v>
      </c>
      <c r="AB127">
        <v>20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f t="shared" si="2"/>
        <v>100</v>
      </c>
      <c r="AJ127" t="s">
        <v>16</v>
      </c>
      <c r="AK127">
        <f>0.1*U127</f>
        <v>1</v>
      </c>
    </row>
    <row r="128" spans="1:37" x14ac:dyDescent="0.35">
      <c r="A128" t="s">
        <v>27</v>
      </c>
      <c r="B128">
        <v>103</v>
      </c>
      <c r="C128" t="s">
        <v>439</v>
      </c>
      <c r="D128" s="2">
        <v>38148</v>
      </c>
      <c r="E128" t="s">
        <v>53</v>
      </c>
      <c r="F128" s="3">
        <v>0.52013888888888882</v>
      </c>
      <c r="G128" s="3">
        <v>0.53055555555555556</v>
      </c>
      <c r="H128">
        <v>22</v>
      </c>
      <c r="I128">
        <v>38</v>
      </c>
      <c r="J128">
        <v>1</v>
      </c>
      <c r="K128">
        <v>3</v>
      </c>
      <c r="L128">
        <v>74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</v>
      </c>
      <c r="V128">
        <v>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f t="shared" si="2"/>
        <v>100</v>
      </c>
      <c r="AJ128" t="s">
        <v>16</v>
      </c>
      <c r="AK128">
        <f>0.1*U128</f>
        <v>0.30000000000000004</v>
      </c>
    </row>
    <row r="129" spans="1:37" x14ac:dyDescent="0.35">
      <c r="A129" t="s">
        <v>27</v>
      </c>
      <c r="B129">
        <v>103</v>
      </c>
      <c r="C129" t="s">
        <v>439</v>
      </c>
      <c r="D129" s="2">
        <v>38148</v>
      </c>
      <c r="E129" t="s">
        <v>53</v>
      </c>
      <c r="F129" s="3">
        <v>0.52013888888888882</v>
      </c>
      <c r="G129" s="3">
        <v>0.53055555555555556</v>
      </c>
      <c r="H129">
        <v>22</v>
      </c>
      <c r="I129">
        <v>38</v>
      </c>
      <c r="J129">
        <v>1</v>
      </c>
      <c r="K129">
        <v>3</v>
      </c>
      <c r="L129">
        <v>74</v>
      </c>
      <c r="M129">
        <v>10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</v>
      </c>
      <c r="V129">
        <v>3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 t="shared" si="2"/>
        <v>100</v>
      </c>
      <c r="AJ129" t="s">
        <v>20</v>
      </c>
      <c r="AK129">
        <f>0.3*AC129</f>
        <v>3</v>
      </c>
    </row>
    <row r="130" spans="1:37" x14ac:dyDescent="0.35">
      <c r="A130" t="s">
        <v>27</v>
      </c>
      <c r="B130">
        <v>100</v>
      </c>
      <c r="C130" t="s">
        <v>440</v>
      </c>
      <c r="D130" s="2">
        <v>38148</v>
      </c>
      <c r="E130">
        <v>0</v>
      </c>
      <c r="F130" s="3">
        <v>0.39513888888888887</v>
      </c>
      <c r="G130" s="3">
        <v>0.4055555555555555</v>
      </c>
      <c r="H130">
        <v>19</v>
      </c>
      <c r="I130">
        <v>62</v>
      </c>
      <c r="J130">
        <v>1</v>
      </c>
      <c r="K130">
        <v>2</v>
      </c>
      <c r="L130">
        <v>65</v>
      </c>
      <c r="M130">
        <v>35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 t="shared" si="2"/>
        <v>100</v>
      </c>
      <c r="AJ130" t="s">
        <v>10</v>
      </c>
      <c r="AK130">
        <f>0.25*M130</f>
        <v>8.75</v>
      </c>
    </row>
    <row r="131" spans="1:37" x14ac:dyDescent="0.35">
      <c r="A131" t="s">
        <v>27</v>
      </c>
      <c r="B131">
        <v>101</v>
      </c>
      <c r="C131" t="s">
        <v>434</v>
      </c>
      <c r="D131" s="2">
        <v>38148</v>
      </c>
      <c r="E131" t="s">
        <v>50</v>
      </c>
      <c r="F131" s="3">
        <v>0.4152777777777778</v>
      </c>
      <c r="G131" s="3">
        <v>0.42569444444444443</v>
      </c>
      <c r="H131">
        <v>19.5</v>
      </c>
      <c r="I131">
        <v>46</v>
      </c>
      <c r="J131">
        <v>1</v>
      </c>
      <c r="K131">
        <v>2</v>
      </c>
      <c r="L131">
        <v>15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50</v>
      </c>
      <c r="V131">
        <v>24</v>
      </c>
      <c r="W131">
        <v>0</v>
      </c>
      <c r="X131">
        <v>0</v>
      </c>
      <c r="Y131">
        <v>0</v>
      </c>
      <c r="Z131">
        <v>0</v>
      </c>
      <c r="AA131">
        <v>10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f t="shared" si="2"/>
        <v>100</v>
      </c>
      <c r="AJ131" t="s">
        <v>10</v>
      </c>
      <c r="AK131">
        <f>0.1*M131</f>
        <v>0.1</v>
      </c>
    </row>
    <row r="132" spans="1:37" x14ac:dyDescent="0.35">
      <c r="A132" t="s">
        <v>27</v>
      </c>
      <c r="B132">
        <v>103</v>
      </c>
      <c r="C132" t="s">
        <v>439</v>
      </c>
      <c r="D132" s="2">
        <v>38148</v>
      </c>
      <c r="E132" t="s">
        <v>53</v>
      </c>
      <c r="F132" s="3">
        <v>0.52013888888888882</v>
      </c>
      <c r="G132" s="3">
        <v>0.53055555555555556</v>
      </c>
      <c r="H132">
        <v>22</v>
      </c>
      <c r="I132">
        <v>38</v>
      </c>
      <c r="J132">
        <v>1</v>
      </c>
      <c r="K132">
        <v>3</v>
      </c>
      <c r="L132">
        <v>74</v>
      </c>
      <c r="M132">
        <v>10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 t="shared" si="2"/>
        <v>100</v>
      </c>
      <c r="AJ132" t="s">
        <v>10</v>
      </c>
      <c r="AK132">
        <f>0.15*M132</f>
        <v>1.5</v>
      </c>
    </row>
    <row r="133" spans="1:37" x14ac:dyDescent="0.35">
      <c r="A133" t="s">
        <v>27</v>
      </c>
      <c r="B133">
        <v>104</v>
      </c>
      <c r="C133" t="s">
        <v>436</v>
      </c>
      <c r="D133" s="2">
        <v>38148</v>
      </c>
      <c r="E133" t="s">
        <v>54</v>
      </c>
      <c r="F133" s="3">
        <v>0.53472222222222221</v>
      </c>
      <c r="G133" s="3">
        <v>0.54513888888888895</v>
      </c>
      <c r="H133">
        <v>21.6</v>
      </c>
      <c r="I133">
        <v>25</v>
      </c>
      <c r="J133">
        <v>1</v>
      </c>
      <c r="K133">
        <v>3</v>
      </c>
      <c r="L133">
        <v>45</v>
      </c>
      <c r="M133">
        <v>10</v>
      </c>
      <c r="N133">
        <v>5</v>
      </c>
      <c r="O133">
        <v>0</v>
      </c>
      <c r="P133">
        <v>0</v>
      </c>
      <c r="Q133">
        <v>40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 t="shared" si="2"/>
        <v>100</v>
      </c>
      <c r="AJ133" t="s">
        <v>10</v>
      </c>
      <c r="AK133">
        <f>0.2*M133</f>
        <v>2</v>
      </c>
    </row>
    <row r="134" spans="1:37" x14ac:dyDescent="0.35">
      <c r="A134" t="s">
        <v>27</v>
      </c>
      <c r="B134">
        <v>105</v>
      </c>
      <c r="C134" t="s">
        <v>441</v>
      </c>
      <c r="D134" s="2">
        <v>38166</v>
      </c>
      <c r="E134">
        <v>0</v>
      </c>
      <c r="F134" s="3">
        <v>0.56666666666666665</v>
      </c>
      <c r="G134" s="3">
        <v>0.57708333333333328</v>
      </c>
      <c r="H134">
        <v>16.8</v>
      </c>
      <c r="I134">
        <v>70</v>
      </c>
      <c r="J134">
        <v>5</v>
      </c>
      <c r="K134">
        <v>3</v>
      </c>
      <c r="L134">
        <v>40</v>
      </c>
      <c r="M134">
        <v>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</v>
      </c>
      <c r="W134">
        <v>0</v>
      </c>
      <c r="X134">
        <v>0</v>
      </c>
      <c r="Y134">
        <v>0</v>
      </c>
      <c r="Z134">
        <v>0</v>
      </c>
      <c r="AA134" t="s">
        <v>87</v>
      </c>
      <c r="AB134">
        <v>35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 t="shared" si="2"/>
        <v>100</v>
      </c>
      <c r="AJ134" t="s">
        <v>88</v>
      </c>
      <c r="AK134">
        <f>0.35*AB134</f>
        <v>12.25</v>
      </c>
    </row>
    <row r="135" spans="1:37" x14ac:dyDescent="0.35">
      <c r="A135" t="s">
        <v>27</v>
      </c>
      <c r="B135">
        <v>113</v>
      </c>
      <c r="C135" t="s">
        <v>442</v>
      </c>
      <c r="D135" s="2">
        <v>38166</v>
      </c>
      <c r="E135">
        <v>0</v>
      </c>
      <c r="F135" s="3">
        <v>0.55069444444444449</v>
      </c>
      <c r="G135" s="3">
        <v>0.56111111111111112</v>
      </c>
      <c r="H135">
        <v>17.5</v>
      </c>
      <c r="I135">
        <v>68</v>
      </c>
      <c r="J135">
        <v>4</v>
      </c>
      <c r="K135">
        <v>3</v>
      </c>
      <c r="L135">
        <v>30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</v>
      </c>
      <c r="U135">
        <v>35</v>
      </c>
      <c r="V135">
        <v>32</v>
      </c>
      <c r="W135">
        <v>0</v>
      </c>
      <c r="X135">
        <v>0</v>
      </c>
      <c r="Y135">
        <v>0</v>
      </c>
      <c r="Z135">
        <v>0</v>
      </c>
      <c r="AA135" t="s">
        <v>87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 t="shared" si="2"/>
        <v>100</v>
      </c>
      <c r="AJ135" t="s">
        <v>15</v>
      </c>
      <c r="AK135">
        <f>0.3*T135</f>
        <v>0.89999999999999991</v>
      </c>
    </row>
    <row r="136" spans="1:37" x14ac:dyDescent="0.35">
      <c r="A136" t="s">
        <v>27</v>
      </c>
      <c r="B136">
        <v>113</v>
      </c>
      <c r="C136" t="s">
        <v>442</v>
      </c>
      <c r="D136" s="2">
        <v>38166</v>
      </c>
      <c r="E136">
        <v>0</v>
      </c>
      <c r="F136" s="3">
        <v>0.55069444444444449</v>
      </c>
      <c r="G136" s="3">
        <v>0.56111111111111112</v>
      </c>
      <c r="H136">
        <v>17.5</v>
      </c>
      <c r="I136">
        <v>68</v>
      </c>
      <c r="J136">
        <v>4</v>
      </c>
      <c r="K136">
        <v>3</v>
      </c>
      <c r="L136">
        <v>30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35</v>
      </c>
      <c r="V136">
        <v>32</v>
      </c>
      <c r="W136">
        <v>0</v>
      </c>
      <c r="X136">
        <v>0</v>
      </c>
      <c r="Y136">
        <v>0</v>
      </c>
      <c r="Z136">
        <v>0</v>
      </c>
      <c r="AA136" t="s">
        <v>87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 t="shared" si="2"/>
        <v>100</v>
      </c>
      <c r="AJ136" t="s">
        <v>19</v>
      </c>
      <c r="AK136">
        <f>0.1</f>
        <v>0.1</v>
      </c>
    </row>
    <row r="137" spans="1:37" x14ac:dyDescent="0.35">
      <c r="A137" t="s">
        <v>27</v>
      </c>
      <c r="B137">
        <v>113</v>
      </c>
      <c r="C137" t="s">
        <v>442</v>
      </c>
      <c r="D137" s="2">
        <v>38166</v>
      </c>
      <c r="E137">
        <v>0</v>
      </c>
      <c r="F137" s="3">
        <v>0.55069444444444449</v>
      </c>
      <c r="G137" s="3">
        <v>0.56111111111111112</v>
      </c>
      <c r="H137">
        <v>17.5</v>
      </c>
      <c r="I137">
        <v>68</v>
      </c>
      <c r="J137">
        <v>4</v>
      </c>
      <c r="K137">
        <v>3</v>
      </c>
      <c r="L137">
        <v>30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</v>
      </c>
      <c r="U137">
        <v>35</v>
      </c>
      <c r="V137">
        <v>32</v>
      </c>
      <c r="W137">
        <v>0</v>
      </c>
      <c r="X137">
        <v>0</v>
      </c>
      <c r="Y137">
        <v>0</v>
      </c>
      <c r="Z137">
        <v>0</v>
      </c>
      <c r="AA137" t="s">
        <v>87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 t="shared" si="2"/>
        <v>100</v>
      </c>
      <c r="AJ137" t="s">
        <v>16</v>
      </c>
      <c r="AK137">
        <f>0.2*U137</f>
        <v>7</v>
      </c>
    </row>
    <row r="138" spans="1:37" x14ac:dyDescent="0.35">
      <c r="A138" t="s">
        <v>27</v>
      </c>
      <c r="B138">
        <v>105</v>
      </c>
      <c r="C138" t="s">
        <v>441</v>
      </c>
      <c r="D138" s="2">
        <v>38166</v>
      </c>
      <c r="E138">
        <v>0</v>
      </c>
      <c r="F138" s="3">
        <v>0.56666666666666665</v>
      </c>
      <c r="G138" s="3">
        <v>0.57708333333333328</v>
      </c>
      <c r="H138">
        <v>16.8</v>
      </c>
      <c r="I138">
        <v>70</v>
      </c>
      <c r="J138">
        <v>5</v>
      </c>
      <c r="K138">
        <v>3</v>
      </c>
      <c r="L138">
        <v>40</v>
      </c>
      <c r="M138">
        <v>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</v>
      </c>
      <c r="W138">
        <v>0</v>
      </c>
      <c r="X138">
        <v>0</v>
      </c>
      <c r="Y138">
        <v>0</v>
      </c>
      <c r="Z138">
        <v>0</v>
      </c>
      <c r="AA138" t="s">
        <v>87</v>
      </c>
      <c r="AB138">
        <v>35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f t="shared" si="2"/>
        <v>100</v>
      </c>
      <c r="AJ138" t="s">
        <v>10</v>
      </c>
      <c r="AK138">
        <f>0.05*M138</f>
        <v>0.75</v>
      </c>
    </row>
    <row r="139" spans="1:37" x14ac:dyDescent="0.35">
      <c r="A139" t="s">
        <v>27</v>
      </c>
      <c r="B139">
        <v>106</v>
      </c>
      <c r="C139" t="s">
        <v>443</v>
      </c>
      <c r="D139" s="2">
        <v>38167</v>
      </c>
      <c r="E139" t="s">
        <v>46</v>
      </c>
      <c r="F139" s="3">
        <v>0.62916666666666665</v>
      </c>
      <c r="G139" s="3">
        <v>0.63958333333333328</v>
      </c>
      <c r="H139">
        <v>16.100000000000001</v>
      </c>
      <c r="I139">
        <v>74</v>
      </c>
      <c r="J139">
        <v>5</v>
      </c>
      <c r="K139">
        <v>3</v>
      </c>
      <c r="L139">
        <v>5</v>
      </c>
      <c r="M139">
        <v>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45</v>
      </c>
      <c r="W139">
        <v>0</v>
      </c>
      <c r="X139">
        <v>0</v>
      </c>
      <c r="Y139">
        <v>0</v>
      </c>
      <c r="Z139">
        <v>0</v>
      </c>
      <c r="AA139">
        <v>5</v>
      </c>
      <c r="AB139">
        <v>35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f t="shared" si="2"/>
        <v>100</v>
      </c>
      <c r="AJ139" t="s">
        <v>88</v>
      </c>
      <c r="AK139">
        <f>0.72*AB139</f>
        <v>25.2</v>
      </c>
    </row>
    <row r="140" spans="1:37" x14ac:dyDescent="0.35">
      <c r="A140" t="s">
        <v>27</v>
      </c>
      <c r="B140">
        <v>107</v>
      </c>
      <c r="C140" t="s">
        <v>444</v>
      </c>
      <c r="D140" s="2">
        <v>38167</v>
      </c>
      <c r="E140">
        <v>0</v>
      </c>
      <c r="F140" s="3">
        <v>0.64513888888888882</v>
      </c>
      <c r="G140" s="3">
        <v>0.65555555555555556</v>
      </c>
      <c r="H140">
        <v>16</v>
      </c>
      <c r="I140">
        <v>70</v>
      </c>
      <c r="J140">
        <v>4</v>
      </c>
      <c r="K140">
        <v>3</v>
      </c>
      <c r="L140">
        <v>60</v>
      </c>
      <c r="M140">
        <v>10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25</v>
      </c>
      <c r="U140">
        <v>0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 t="shared" si="2"/>
        <v>100</v>
      </c>
      <c r="AJ140" t="s">
        <v>15</v>
      </c>
      <c r="AK140">
        <f>0.04*T140</f>
        <v>1</v>
      </c>
    </row>
    <row r="141" spans="1:37" x14ac:dyDescent="0.35">
      <c r="A141" t="s">
        <v>27</v>
      </c>
      <c r="B141">
        <v>108</v>
      </c>
      <c r="C141" t="s">
        <v>445</v>
      </c>
      <c r="D141" s="2">
        <v>38167</v>
      </c>
      <c r="E141" t="s">
        <v>52</v>
      </c>
      <c r="F141" s="3">
        <v>0.64513888888888882</v>
      </c>
      <c r="G141" s="3">
        <v>0.65555555555555556</v>
      </c>
      <c r="H141">
        <v>16</v>
      </c>
      <c r="I141">
        <v>70</v>
      </c>
      <c r="J141">
        <v>5</v>
      </c>
      <c r="K141">
        <v>3</v>
      </c>
      <c r="L141">
        <v>0</v>
      </c>
      <c r="M141">
        <v>20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30</v>
      </c>
      <c r="U141">
        <v>0</v>
      </c>
      <c r="V141">
        <v>50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 t="shared" si="2"/>
        <v>100</v>
      </c>
      <c r="AJ141" t="s">
        <v>15</v>
      </c>
      <c r="AK141">
        <f>0.1*T141</f>
        <v>3</v>
      </c>
    </row>
    <row r="142" spans="1:37" x14ac:dyDescent="0.35">
      <c r="A142" t="s">
        <v>27</v>
      </c>
      <c r="B142">
        <v>106</v>
      </c>
      <c r="C142" t="s">
        <v>443</v>
      </c>
      <c r="D142" s="2">
        <v>38167</v>
      </c>
      <c r="E142" t="s">
        <v>46</v>
      </c>
      <c r="F142" s="3">
        <v>0.62916666666666665</v>
      </c>
      <c r="G142" s="3">
        <v>0.63958333333333328</v>
      </c>
      <c r="H142">
        <v>16.100000000000001</v>
      </c>
      <c r="I142">
        <v>74</v>
      </c>
      <c r="J142">
        <v>5</v>
      </c>
      <c r="K142">
        <v>3</v>
      </c>
      <c r="L142">
        <v>5</v>
      </c>
      <c r="M142">
        <v>10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45</v>
      </c>
      <c r="W142">
        <v>0</v>
      </c>
      <c r="X142">
        <v>0</v>
      </c>
      <c r="Y142">
        <v>0</v>
      </c>
      <c r="Z142">
        <v>0</v>
      </c>
      <c r="AA142">
        <v>5</v>
      </c>
      <c r="AB142">
        <v>35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 t="shared" si="2"/>
        <v>100</v>
      </c>
      <c r="AJ142" t="s">
        <v>19</v>
      </c>
      <c r="AK142">
        <f>0.05*AA142</f>
        <v>0.25</v>
      </c>
    </row>
    <row r="143" spans="1:37" x14ac:dyDescent="0.35">
      <c r="A143" t="s">
        <v>27</v>
      </c>
      <c r="B143">
        <v>107</v>
      </c>
      <c r="C143" t="s">
        <v>444</v>
      </c>
      <c r="D143" s="2">
        <v>38167</v>
      </c>
      <c r="E143">
        <v>0</v>
      </c>
      <c r="F143" s="3">
        <v>0.64513888888888882</v>
      </c>
      <c r="G143" s="3">
        <v>0.65555555555555556</v>
      </c>
      <c r="H143">
        <v>16</v>
      </c>
      <c r="I143">
        <v>70</v>
      </c>
      <c r="J143">
        <v>4</v>
      </c>
      <c r="K143">
        <v>3</v>
      </c>
      <c r="L143">
        <v>60</v>
      </c>
      <c r="M143">
        <v>10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25</v>
      </c>
      <c r="U143">
        <v>0</v>
      </c>
      <c r="V143">
        <v>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 t="shared" si="2"/>
        <v>100</v>
      </c>
      <c r="AJ143" t="s">
        <v>10</v>
      </c>
      <c r="AK143">
        <f>0.05*M143</f>
        <v>0.5</v>
      </c>
    </row>
    <row r="144" spans="1:37" x14ac:dyDescent="0.35">
      <c r="A144" t="s">
        <v>27</v>
      </c>
      <c r="B144">
        <v>108</v>
      </c>
      <c r="C144" t="s">
        <v>445</v>
      </c>
      <c r="D144" s="2">
        <v>38167</v>
      </c>
      <c r="E144" t="s">
        <v>52</v>
      </c>
      <c r="F144" s="3">
        <v>0.64513888888888882</v>
      </c>
      <c r="G144" s="3">
        <v>0.65555555555555556</v>
      </c>
      <c r="H144">
        <v>16</v>
      </c>
      <c r="I144">
        <v>70</v>
      </c>
      <c r="J144">
        <v>5</v>
      </c>
      <c r="K144">
        <v>3</v>
      </c>
      <c r="L144">
        <v>0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30</v>
      </c>
      <c r="U144">
        <v>0</v>
      </c>
      <c r="V144">
        <v>50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f t="shared" si="2"/>
        <v>100</v>
      </c>
      <c r="AJ144" t="s">
        <v>10</v>
      </c>
      <c r="AK144">
        <f>0.05*M149</f>
        <v>0.1</v>
      </c>
    </row>
    <row r="145" spans="1:37" x14ac:dyDescent="0.35">
      <c r="A145" t="s">
        <v>27</v>
      </c>
      <c r="B145">
        <v>114</v>
      </c>
      <c r="C145" t="s">
        <v>446</v>
      </c>
      <c r="D145" s="2">
        <v>38168</v>
      </c>
      <c r="E145">
        <v>0</v>
      </c>
      <c r="F145" s="3">
        <v>0.3576388888888889</v>
      </c>
      <c r="G145" s="3">
        <v>0.36805555555555558</v>
      </c>
      <c r="H145">
        <v>14.4</v>
      </c>
      <c r="I145">
        <v>70</v>
      </c>
      <c r="J145">
        <v>4</v>
      </c>
      <c r="K145">
        <v>2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72</v>
      </c>
      <c r="W145">
        <v>0</v>
      </c>
      <c r="X145">
        <v>0</v>
      </c>
      <c r="Y145">
        <v>0</v>
      </c>
      <c r="Z145">
        <v>0</v>
      </c>
      <c r="AA145">
        <v>2</v>
      </c>
      <c r="AB145">
        <v>25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f t="shared" si="2"/>
        <v>100</v>
      </c>
      <c r="AJ145" t="s">
        <v>88</v>
      </c>
      <c r="AK145">
        <f>0.5*AB145</f>
        <v>12.5</v>
      </c>
    </row>
    <row r="146" spans="1:37" x14ac:dyDescent="0.35">
      <c r="A146" t="s">
        <v>27</v>
      </c>
      <c r="B146">
        <v>117</v>
      </c>
      <c r="C146" t="s">
        <v>447</v>
      </c>
      <c r="D146" s="2">
        <v>38168</v>
      </c>
      <c r="E146">
        <v>0</v>
      </c>
      <c r="F146" s="3">
        <v>0.46736111111111112</v>
      </c>
      <c r="G146" s="3">
        <v>0.4777777777777778</v>
      </c>
      <c r="H146">
        <v>18.899999999999999</v>
      </c>
      <c r="I146">
        <v>42</v>
      </c>
      <c r="J146">
        <v>2</v>
      </c>
      <c r="K146">
        <v>2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64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30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 t="shared" si="2"/>
        <v>100</v>
      </c>
      <c r="AJ146" t="s">
        <v>88</v>
      </c>
      <c r="AK146">
        <f>0.3*AB146</f>
        <v>9</v>
      </c>
    </row>
    <row r="147" spans="1:37" x14ac:dyDescent="0.35">
      <c r="A147" t="s">
        <v>27</v>
      </c>
      <c r="B147">
        <v>110</v>
      </c>
      <c r="C147" t="s">
        <v>448</v>
      </c>
      <c r="D147" s="2">
        <v>38168</v>
      </c>
      <c r="E147">
        <v>0</v>
      </c>
      <c r="F147" s="3">
        <v>0.3888888888888889</v>
      </c>
      <c r="G147" s="3">
        <v>0.39930555555555558</v>
      </c>
      <c r="H147">
        <v>17.3</v>
      </c>
      <c r="I147">
        <v>65</v>
      </c>
      <c r="J147">
        <v>3</v>
      </c>
      <c r="K147">
        <v>2</v>
      </c>
      <c r="L147">
        <v>30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15</v>
      </c>
      <c r="U147">
        <v>2</v>
      </c>
      <c r="V147">
        <v>15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f t="shared" si="2"/>
        <v>100</v>
      </c>
      <c r="AJ147" t="s">
        <v>15</v>
      </c>
      <c r="AK147">
        <f>0.15*T147</f>
        <v>2.25</v>
      </c>
    </row>
    <row r="148" spans="1:37" x14ac:dyDescent="0.35">
      <c r="A148" t="s">
        <v>27</v>
      </c>
      <c r="B148">
        <v>112</v>
      </c>
      <c r="C148" t="s">
        <v>449</v>
      </c>
      <c r="D148" s="2">
        <v>38168</v>
      </c>
      <c r="E148">
        <v>0</v>
      </c>
      <c r="F148" s="3">
        <v>0.43263888888888885</v>
      </c>
      <c r="G148" s="3">
        <v>0.44236111111111115</v>
      </c>
      <c r="H148">
        <v>17.600000000000001</v>
      </c>
      <c r="I148">
        <v>47</v>
      </c>
      <c r="J148">
        <v>2</v>
      </c>
      <c r="K148">
        <v>2</v>
      </c>
      <c r="L148">
        <v>0</v>
      </c>
      <c r="M148">
        <v>20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15</v>
      </c>
      <c r="U148">
        <v>0</v>
      </c>
      <c r="V148">
        <v>64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100</v>
      </c>
      <c r="AJ148" t="s">
        <v>15</v>
      </c>
      <c r="AK148">
        <f>0.15*T148</f>
        <v>2.25</v>
      </c>
    </row>
    <row r="149" spans="1:37" x14ac:dyDescent="0.35">
      <c r="A149" t="s">
        <v>27</v>
      </c>
      <c r="B149">
        <v>109</v>
      </c>
      <c r="C149" t="s">
        <v>450</v>
      </c>
      <c r="D149" s="2">
        <v>38168</v>
      </c>
      <c r="E149">
        <v>0</v>
      </c>
      <c r="F149" s="3">
        <v>0.3743055555555555</v>
      </c>
      <c r="G149" s="3">
        <v>0.38472222222222219</v>
      </c>
      <c r="H149">
        <v>16.399999999999999</v>
      </c>
      <c r="I149">
        <v>64</v>
      </c>
      <c r="J149">
        <v>3</v>
      </c>
      <c r="K149">
        <v>2</v>
      </c>
      <c r="L149">
        <v>5</v>
      </c>
      <c r="M149">
        <v>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58</v>
      </c>
      <c r="W149">
        <v>0</v>
      </c>
      <c r="X149">
        <v>0</v>
      </c>
      <c r="Y149">
        <v>0</v>
      </c>
      <c r="Z149">
        <v>0</v>
      </c>
      <c r="AA149">
        <v>35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f t="shared" si="2"/>
        <v>100</v>
      </c>
      <c r="AJ149" t="s">
        <v>19</v>
      </c>
      <c r="AK149">
        <f>0.6*AA149</f>
        <v>21</v>
      </c>
    </row>
    <row r="150" spans="1:37" x14ac:dyDescent="0.35">
      <c r="A150" t="s">
        <v>27</v>
      </c>
      <c r="B150">
        <v>114</v>
      </c>
      <c r="C150" t="s">
        <v>446</v>
      </c>
      <c r="D150" s="2">
        <v>38168</v>
      </c>
      <c r="E150">
        <v>0</v>
      </c>
      <c r="F150" s="3">
        <v>0.3576388888888889</v>
      </c>
      <c r="G150" s="3">
        <v>0.36805555555555558</v>
      </c>
      <c r="H150">
        <v>14.4</v>
      </c>
      <c r="I150">
        <v>70</v>
      </c>
      <c r="J150">
        <v>4</v>
      </c>
      <c r="K150">
        <v>2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72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25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 t="shared" ref="AI150:AI213" si="3">SUM(L150:AH150)</f>
        <v>100</v>
      </c>
      <c r="AJ150" t="s">
        <v>19</v>
      </c>
      <c r="AK150">
        <f>0.02*AA150</f>
        <v>0.04</v>
      </c>
    </row>
    <row r="151" spans="1:37" x14ac:dyDescent="0.35">
      <c r="A151" t="s">
        <v>27</v>
      </c>
      <c r="B151">
        <v>117</v>
      </c>
      <c r="C151" t="s">
        <v>447</v>
      </c>
      <c r="D151" s="2">
        <v>38168</v>
      </c>
      <c r="E151">
        <v>0</v>
      </c>
      <c r="F151" s="3">
        <v>0.46736111111111112</v>
      </c>
      <c r="G151" s="3">
        <v>0.4777777777777778</v>
      </c>
      <c r="H151">
        <v>18.899999999999999</v>
      </c>
      <c r="I151">
        <v>42</v>
      </c>
      <c r="J151">
        <v>2</v>
      </c>
      <c r="K151">
        <v>2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</v>
      </c>
      <c r="V151">
        <v>64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30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 t="shared" si="3"/>
        <v>100</v>
      </c>
      <c r="AJ151" t="s">
        <v>19</v>
      </c>
      <c r="AK151">
        <f>0.02*AA151</f>
        <v>0.02</v>
      </c>
    </row>
    <row r="152" spans="1:37" x14ac:dyDescent="0.35">
      <c r="A152" t="s">
        <v>27</v>
      </c>
      <c r="B152">
        <v>118</v>
      </c>
      <c r="C152" t="s">
        <v>451</v>
      </c>
      <c r="D152" s="2">
        <v>38168</v>
      </c>
      <c r="E152" t="s">
        <v>36</v>
      </c>
      <c r="F152" s="3">
        <v>0.65416666666666667</v>
      </c>
      <c r="G152" s="3">
        <v>0.6645833333333333</v>
      </c>
      <c r="H152">
        <v>20</v>
      </c>
      <c r="I152">
        <v>56</v>
      </c>
      <c r="J152">
        <v>2</v>
      </c>
      <c r="K152">
        <v>2</v>
      </c>
      <c r="L152">
        <v>42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30</v>
      </c>
      <c r="V152">
        <v>15</v>
      </c>
      <c r="W152">
        <v>0</v>
      </c>
      <c r="X152">
        <v>0</v>
      </c>
      <c r="Y152">
        <v>5</v>
      </c>
      <c r="Z152">
        <v>0</v>
      </c>
      <c r="AA152">
        <v>5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 t="shared" si="3"/>
        <v>100</v>
      </c>
      <c r="AJ152" t="s">
        <v>19</v>
      </c>
      <c r="AK152">
        <f>0.5*AA152</f>
        <v>2.5</v>
      </c>
    </row>
    <row r="153" spans="1:37" x14ac:dyDescent="0.35">
      <c r="A153" t="s">
        <v>27</v>
      </c>
      <c r="B153">
        <v>110</v>
      </c>
      <c r="C153" t="s">
        <v>448</v>
      </c>
      <c r="D153" s="2">
        <v>38168</v>
      </c>
      <c r="E153">
        <v>0</v>
      </c>
      <c r="F153" s="3">
        <v>0.3888888888888889</v>
      </c>
      <c r="G153" s="3">
        <v>0.39930555555555558</v>
      </c>
      <c r="H153">
        <v>17.3</v>
      </c>
      <c r="I153">
        <v>65</v>
      </c>
      <c r="J153">
        <v>3</v>
      </c>
      <c r="K153">
        <v>2</v>
      </c>
      <c r="L153">
        <v>30</v>
      </c>
      <c r="M153">
        <v>10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15</v>
      </c>
      <c r="U153">
        <v>2</v>
      </c>
      <c r="V153">
        <v>15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28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 t="shared" si="3"/>
        <v>100</v>
      </c>
      <c r="AJ153" t="s">
        <v>16</v>
      </c>
      <c r="AK153">
        <f>0.02*U153</f>
        <v>0.04</v>
      </c>
    </row>
    <row r="154" spans="1:37" x14ac:dyDescent="0.35">
      <c r="A154" t="s">
        <v>27</v>
      </c>
      <c r="B154">
        <v>115</v>
      </c>
      <c r="C154" t="s">
        <v>452</v>
      </c>
      <c r="D154" s="2">
        <v>38168</v>
      </c>
      <c r="E154">
        <v>0</v>
      </c>
      <c r="F154" s="3">
        <v>0.40486111111111112</v>
      </c>
      <c r="G154" s="3">
        <v>0.4152777777777778</v>
      </c>
      <c r="H154">
        <v>17</v>
      </c>
      <c r="I154">
        <v>73</v>
      </c>
      <c r="J154">
        <v>3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35</v>
      </c>
      <c r="V154">
        <v>65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 t="shared" si="3"/>
        <v>100</v>
      </c>
      <c r="AJ154" t="s">
        <v>16</v>
      </c>
      <c r="AK154">
        <f>0.25*U154</f>
        <v>8.75</v>
      </c>
    </row>
    <row r="155" spans="1:37" x14ac:dyDescent="0.35">
      <c r="A155" t="s">
        <v>27</v>
      </c>
      <c r="B155">
        <v>117</v>
      </c>
      <c r="C155" t="s">
        <v>447</v>
      </c>
      <c r="D155" s="2">
        <v>38168</v>
      </c>
      <c r="E155">
        <v>0</v>
      </c>
      <c r="F155" s="3">
        <v>0.46736111111111112</v>
      </c>
      <c r="G155" s="3">
        <v>0.4777777777777778</v>
      </c>
      <c r="H155">
        <v>18.899999999999999</v>
      </c>
      <c r="I155">
        <v>42</v>
      </c>
      <c r="J155">
        <v>2</v>
      </c>
      <c r="K155">
        <v>2</v>
      </c>
      <c r="L155">
        <v>0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64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30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 t="shared" si="3"/>
        <v>100</v>
      </c>
      <c r="AJ155" t="s">
        <v>16</v>
      </c>
      <c r="AK155">
        <f>0.05*U155</f>
        <v>0.15000000000000002</v>
      </c>
    </row>
    <row r="156" spans="1:37" x14ac:dyDescent="0.35">
      <c r="A156" t="s">
        <v>27</v>
      </c>
      <c r="B156">
        <v>118</v>
      </c>
      <c r="C156" t="s">
        <v>451</v>
      </c>
      <c r="D156" s="2">
        <v>38168</v>
      </c>
      <c r="E156" t="s">
        <v>36</v>
      </c>
      <c r="F156" s="3">
        <v>0.65416666666666667</v>
      </c>
      <c r="G156" s="3">
        <v>0.6645833333333333</v>
      </c>
      <c r="H156">
        <v>20</v>
      </c>
      <c r="I156">
        <v>56</v>
      </c>
      <c r="J156">
        <v>2</v>
      </c>
      <c r="K156">
        <v>2</v>
      </c>
      <c r="L156">
        <v>42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30</v>
      </c>
      <c r="V156">
        <v>15</v>
      </c>
      <c r="W156">
        <v>0</v>
      </c>
      <c r="X156">
        <v>0</v>
      </c>
      <c r="Y156">
        <v>5</v>
      </c>
      <c r="Z156">
        <v>0</v>
      </c>
      <c r="AA156">
        <v>5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f t="shared" si="3"/>
        <v>100</v>
      </c>
      <c r="AJ156" t="s">
        <v>16</v>
      </c>
      <c r="AK156">
        <f>0.25*U156</f>
        <v>7.5</v>
      </c>
    </row>
    <row r="157" spans="1:37" x14ac:dyDescent="0.35">
      <c r="A157" t="s">
        <v>27</v>
      </c>
      <c r="B157">
        <v>111</v>
      </c>
      <c r="C157" t="s">
        <v>453</v>
      </c>
      <c r="D157" s="2">
        <v>38168</v>
      </c>
      <c r="E157" t="s">
        <v>60</v>
      </c>
      <c r="F157" s="3">
        <v>0.4201388888888889</v>
      </c>
      <c r="G157" s="3">
        <v>0.43055555555555558</v>
      </c>
      <c r="H157">
        <v>16.8</v>
      </c>
      <c r="I157">
        <v>65</v>
      </c>
      <c r="J157">
        <v>2</v>
      </c>
      <c r="K157">
        <v>2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10</v>
      </c>
      <c r="T157">
        <v>0</v>
      </c>
      <c r="U157">
        <v>0</v>
      </c>
      <c r="V157">
        <v>82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7</v>
      </c>
      <c r="AE157">
        <v>0</v>
      </c>
      <c r="AF157">
        <v>0</v>
      </c>
      <c r="AG157">
        <v>0</v>
      </c>
      <c r="AH157">
        <v>0</v>
      </c>
      <c r="AI157">
        <f t="shared" si="3"/>
        <v>100</v>
      </c>
      <c r="AJ157" t="s">
        <v>21</v>
      </c>
      <c r="AK157">
        <f>0.1*AD157</f>
        <v>0.70000000000000007</v>
      </c>
    </row>
    <row r="158" spans="1:37" x14ac:dyDescent="0.35">
      <c r="A158" t="s">
        <v>27</v>
      </c>
      <c r="B158">
        <v>116</v>
      </c>
      <c r="C158" t="s">
        <v>454</v>
      </c>
      <c r="D158" s="2">
        <v>38168</v>
      </c>
      <c r="E158" t="s">
        <v>36</v>
      </c>
      <c r="F158" s="3">
        <v>0.45416666666666666</v>
      </c>
      <c r="G158" s="3">
        <v>0.46458333333333335</v>
      </c>
      <c r="H158">
        <v>20</v>
      </c>
      <c r="I158">
        <v>33</v>
      </c>
      <c r="J158">
        <v>2</v>
      </c>
      <c r="K158">
        <v>2</v>
      </c>
      <c r="L158">
        <v>50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0</v>
      </c>
      <c r="U158">
        <v>0</v>
      </c>
      <c r="V158">
        <v>43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5</v>
      </c>
      <c r="AE158">
        <v>0</v>
      </c>
      <c r="AF158">
        <v>0</v>
      </c>
      <c r="AG158">
        <v>0</v>
      </c>
      <c r="AH158">
        <v>0</v>
      </c>
      <c r="AI158">
        <f t="shared" si="3"/>
        <v>100</v>
      </c>
      <c r="AJ158" t="s">
        <v>21</v>
      </c>
      <c r="AK158">
        <f>0.1*AD158</f>
        <v>0.5</v>
      </c>
    </row>
    <row r="159" spans="1:37" x14ac:dyDescent="0.35">
      <c r="A159" t="s">
        <v>27</v>
      </c>
      <c r="B159">
        <v>110</v>
      </c>
      <c r="C159" t="s">
        <v>448</v>
      </c>
      <c r="D159" s="2">
        <v>38168</v>
      </c>
      <c r="E159">
        <v>0</v>
      </c>
      <c r="F159" s="3">
        <v>0.3888888888888889</v>
      </c>
      <c r="G159" s="3">
        <v>0.39930555555555558</v>
      </c>
      <c r="H159">
        <v>17.3</v>
      </c>
      <c r="I159">
        <v>65</v>
      </c>
      <c r="J159">
        <v>3</v>
      </c>
      <c r="K159">
        <v>2</v>
      </c>
      <c r="L159">
        <v>30</v>
      </c>
      <c r="M159">
        <v>10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15</v>
      </c>
      <c r="U159">
        <v>2</v>
      </c>
      <c r="V159">
        <v>15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f t="shared" si="3"/>
        <v>100</v>
      </c>
      <c r="AJ159" t="s">
        <v>20</v>
      </c>
      <c r="AK159">
        <f>0.07*AC159</f>
        <v>1.9600000000000002</v>
      </c>
    </row>
    <row r="160" spans="1:37" x14ac:dyDescent="0.35">
      <c r="A160" t="s">
        <v>27</v>
      </c>
      <c r="B160">
        <v>112</v>
      </c>
      <c r="C160" t="s">
        <v>449</v>
      </c>
      <c r="D160" s="2">
        <v>38168</v>
      </c>
      <c r="E160">
        <v>0</v>
      </c>
      <c r="F160" s="3">
        <v>0.43263888888888885</v>
      </c>
      <c r="G160" s="3">
        <v>0.44236111111111115</v>
      </c>
      <c r="H160">
        <v>17.600000000000001</v>
      </c>
      <c r="I160">
        <v>47</v>
      </c>
      <c r="J160">
        <v>2</v>
      </c>
      <c r="K160">
        <v>2</v>
      </c>
      <c r="L160">
        <v>0</v>
      </c>
      <c r="M160">
        <v>20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15</v>
      </c>
      <c r="U160">
        <v>0</v>
      </c>
      <c r="V160">
        <v>64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 t="shared" si="3"/>
        <v>100</v>
      </c>
      <c r="AJ160" t="s">
        <v>10</v>
      </c>
      <c r="AK160">
        <f>0.02*M160</f>
        <v>0.4</v>
      </c>
    </row>
    <row r="161" spans="1:37" x14ac:dyDescent="0.35">
      <c r="A161" t="s">
        <v>27</v>
      </c>
      <c r="B161">
        <v>121</v>
      </c>
      <c r="C161" t="s">
        <v>455</v>
      </c>
      <c r="D161" s="2">
        <v>38169</v>
      </c>
      <c r="E161">
        <v>0</v>
      </c>
      <c r="F161" s="3">
        <v>0.51875000000000004</v>
      </c>
      <c r="G161" s="3">
        <v>0.52916666666666667</v>
      </c>
      <c r="H161">
        <v>19.899999999999999</v>
      </c>
      <c r="I161">
        <v>49</v>
      </c>
      <c r="J161">
        <v>2</v>
      </c>
      <c r="K161">
        <v>2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72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f t="shared" si="3"/>
        <v>100</v>
      </c>
      <c r="AJ161" t="s">
        <v>88</v>
      </c>
      <c r="AK161">
        <f>0.54*AB161</f>
        <v>13.5</v>
      </c>
    </row>
    <row r="162" spans="1:37" x14ac:dyDescent="0.35">
      <c r="A162" t="s">
        <v>27</v>
      </c>
      <c r="B162">
        <v>122</v>
      </c>
      <c r="C162" t="s">
        <v>456</v>
      </c>
      <c r="D162" s="2">
        <v>38169</v>
      </c>
      <c r="E162">
        <v>0</v>
      </c>
      <c r="F162" s="3">
        <v>0.53611111111111109</v>
      </c>
      <c r="G162" s="3">
        <v>0.54722222222222217</v>
      </c>
      <c r="H162">
        <v>19.899999999999999</v>
      </c>
      <c r="I162">
        <v>49</v>
      </c>
      <c r="J162">
        <v>2</v>
      </c>
      <c r="K162">
        <v>2</v>
      </c>
      <c r="L162">
        <v>0</v>
      </c>
      <c r="M162">
        <v>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30</v>
      </c>
      <c r="T162">
        <v>20</v>
      </c>
      <c r="U162">
        <v>2</v>
      </c>
      <c r="V162">
        <v>35</v>
      </c>
      <c r="W162">
        <v>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 t="shared" si="3"/>
        <v>100</v>
      </c>
      <c r="AJ162" t="s">
        <v>15</v>
      </c>
      <c r="AK162">
        <f>0.5*T162</f>
        <v>10</v>
      </c>
    </row>
    <row r="163" spans="1:37" x14ac:dyDescent="0.35">
      <c r="A163" t="s">
        <v>27</v>
      </c>
      <c r="B163">
        <v>122</v>
      </c>
      <c r="C163" t="s">
        <v>456</v>
      </c>
      <c r="D163" s="2">
        <v>38169</v>
      </c>
      <c r="E163">
        <v>0</v>
      </c>
      <c r="F163" s="3">
        <v>0.53611111111111109</v>
      </c>
      <c r="G163" s="3">
        <v>0.54722222222222217</v>
      </c>
      <c r="H163">
        <v>19.899999999999999</v>
      </c>
      <c r="I163">
        <v>49</v>
      </c>
      <c r="J163">
        <v>2</v>
      </c>
      <c r="K163">
        <v>2</v>
      </c>
      <c r="L163">
        <v>0</v>
      </c>
      <c r="M163">
        <v>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30</v>
      </c>
      <c r="T163">
        <v>20</v>
      </c>
      <c r="U163">
        <v>2</v>
      </c>
      <c r="V163">
        <v>35</v>
      </c>
      <c r="W163">
        <v>5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f t="shared" si="3"/>
        <v>100</v>
      </c>
      <c r="AJ163" t="s">
        <v>16</v>
      </c>
      <c r="AK163">
        <f>0.2*U163</f>
        <v>0.4</v>
      </c>
    </row>
    <row r="164" spans="1:37" x14ac:dyDescent="0.35">
      <c r="A164" t="s">
        <v>27</v>
      </c>
      <c r="B164">
        <v>119</v>
      </c>
      <c r="C164" t="s">
        <v>457</v>
      </c>
      <c r="D164" s="2">
        <v>38169</v>
      </c>
      <c r="E164" t="s">
        <v>60</v>
      </c>
      <c r="F164" s="3">
        <v>0.47986111111111113</v>
      </c>
      <c r="G164" s="3">
        <v>0.49027777777777781</v>
      </c>
      <c r="H164">
        <v>19.100000000000001</v>
      </c>
      <c r="I164">
        <v>70</v>
      </c>
      <c r="J164">
        <v>2</v>
      </c>
      <c r="K164">
        <v>2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10</v>
      </c>
      <c r="T164">
        <v>0</v>
      </c>
      <c r="U164">
        <v>0</v>
      </c>
      <c r="V164">
        <v>82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</v>
      </c>
      <c r="AE164">
        <v>0</v>
      </c>
      <c r="AF164">
        <v>0</v>
      </c>
      <c r="AG164">
        <v>0</v>
      </c>
      <c r="AH164">
        <v>0</v>
      </c>
      <c r="AI164">
        <f t="shared" si="3"/>
        <v>100</v>
      </c>
      <c r="AJ164" t="s">
        <v>21</v>
      </c>
      <c r="AK164">
        <f>0.18*AD164</f>
        <v>1.26</v>
      </c>
    </row>
    <row r="165" spans="1:37" x14ac:dyDescent="0.35">
      <c r="A165" t="s">
        <v>27</v>
      </c>
      <c r="B165">
        <v>120</v>
      </c>
      <c r="C165" t="s">
        <v>458</v>
      </c>
      <c r="D165" s="2">
        <v>38169</v>
      </c>
      <c r="E165" t="s">
        <v>36</v>
      </c>
      <c r="F165" s="3">
        <v>0.49513888888888885</v>
      </c>
      <c r="G165" s="3">
        <v>0.50555555555555554</v>
      </c>
      <c r="H165">
        <v>19.7</v>
      </c>
      <c r="I165">
        <v>42</v>
      </c>
      <c r="J165">
        <v>2</v>
      </c>
      <c r="K165">
        <v>2</v>
      </c>
      <c r="L165">
        <v>50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  <c r="U165">
        <v>0</v>
      </c>
      <c r="V165">
        <v>43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5</v>
      </c>
      <c r="AE165">
        <v>0</v>
      </c>
      <c r="AF165">
        <v>0</v>
      </c>
      <c r="AG165">
        <v>0</v>
      </c>
      <c r="AH165">
        <v>0</v>
      </c>
      <c r="AI165">
        <f t="shared" si="3"/>
        <v>100</v>
      </c>
      <c r="AJ165" t="s">
        <v>21</v>
      </c>
      <c r="AK165">
        <f>0.2*AD165</f>
        <v>1</v>
      </c>
    </row>
    <row r="166" spans="1:37" x14ac:dyDescent="0.35">
      <c r="A166" t="s">
        <v>27</v>
      </c>
      <c r="B166">
        <v>126</v>
      </c>
      <c r="C166" t="s">
        <v>459</v>
      </c>
      <c r="D166" s="2">
        <v>38170</v>
      </c>
      <c r="E166" t="s">
        <v>40</v>
      </c>
      <c r="F166" s="3">
        <v>0.65972222222222221</v>
      </c>
      <c r="G166" s="3">
        <v>0.67013888888888884</v>
      </c>
      <c r="H166">
        <v>19.899999999999999</v>
      </c>
      <c r="I166">
        <v>38</v>
      </c>
      <c r="J166">
        <v>2</v>
      </c>
      <c r="K166">
        <v>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v>66</v>
      </c>
      <c r="W166">
        <v>0</v>
      </c>
      <c r="X166">
        <v>0</v>
      </c>
      <c r="Y166">
        <v>0</v>
      </c>
      <c r="Z166">
        <v>0</v>
      </c>
      <c r="AA166">
        <v>2</v>
      </c>
      <c r="AB166">
        <v>30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 t="shared" si="3"/>
        <v>100</v>
      </c>
      <c r="AJ166" t="s">
        <v>88</v>
      </c>
      <c r="AK166">
        <f>0.275*AB166</f>
        <v>8.25</v>
      </c>
    </row>
    <row r="167" spans="1:37" x14ac:dyDescent="0.35">
      <c r="A167" t="s">
        <v>27</v>
      </c>
      <c r="B167">
        <v>123</v>
      </c>
      <c r="C167" t="s">
        <v>460</v>
      </c>
      <c r="D167" s="2">
        <v>38170</v>
      </c>
      <c r="E167">
        <v>0</v>
      </c>
      <c r="F167" s="3">
        <v>0.61250000000000004</v>
      </c>
      <c r="G167" s="3">
        <v>0.62291666666666667</v>
      </c>
      <c r="H167">
        <v>20.100000000000001</v>
      </c>
      <c r="I167">
        <v>61</v>
      </c>
      <c r="J167">
        <v>2</v>
      </c>
      <c r="K167">
        <v>3</v>
      </c>
      <c r="L167">
        <v>60</v>
      </c>
      <c r="M167">
        <v>10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25</v>
      </c>
      <c r="U167">
        <v>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f t="shared" si="3"/>
        <v>100</v>
      </c>
      <c r="AJ167" t="s">
        <v>15</v>
      </c>
      <c r="AK167">
        <f>0.75*T167</f>
        <v>18.75</v>
      </c>
    </row>
    <row r="168" spans="1:37" x14ac:dyDescent="0.35">
      <c r="A168" t="s">
        <v>27</v>
      </c>
      <c r="B168">
        <v>124</v>
      </c>
      <c r="C168" t="s">
        <v>461</v>
      </c>
      <c r="D168" s="2">
        <v>38170</v>
      </c>
      <c r="E168">
        <v>0</v>
      </c>
      <c r="F168" s="3">
        <v>0.62847222222222221</v>
      </c>
      <c r="G168" s="3">
        <v>0.63888888888888895</v>
      </c>
      <c r="H168">
        <v>19</v>
      </c>
      <c r="I168">
        <v>37</v>
      </c>
      <c r="J168">
        <v>2</v>
      </c>
      <c r="K168">
        <v>2</v>
      </c>
      <c r="L168">
        <v>10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10</v>
      </c>
      <c r="T168">
        <v>0</v>
      </c>
      <c r="U168">
        <v>50</v>
      </c>
      <c r="V168">
        <v>25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f t="shared" si="3"/>
        <v>100</v>
      </c>
      <c r="AJ168" t="s">
        <v>19</v>
      </c>
      <c r="AK168">
        <f>0.4*AA168</f>
        <v>1.2000000000000002</v>
      </c>
    </row>
    <row r="169" spans="1:37" x14ac:dyDescent="0.35">
      <c r="A169" t="s">
        <v>27</v>
      </c>
      <c r="B169">
        <v>124</v>
      </c>
      <c r="C169" t="s">
        <v>461</v>
      </c>
      <c r="D169" s="2">
        <v>38170</v>
      </c>
      <c r="E169">
        <v>0</v>
      </c>
      <c r="F169" s="3">
        <v>0.62847222222222221</v>
      </c>
      <c r="G169" s="3">
        <v>0.63888888888888895</v>
      </c>
      <c r="H169">
        <v>19</v>
      </c>
      <c r="I169">
        <v>37</v>
      </c>
      <c r="J169">
        <v>2</v>
      </c>
      <c r="K169">
        <v>2</v>
      </c>
      <c r="L169">
        <v>10</v>
      </c>
      <c r="M169">
        <v>2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10</v>
      </c>
      <c r="T169">
        <v>0</v>
      </c>
      <c r="U169">
        <v>50</v>
      </c>
      <c r="V169">
        <v>25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f t="shared" si="3"/>
        <v>100</v>
      </c>
      <c r="AJ169" t="s">
        <v>16</v>
      </c>
      <c r="AK169">
        <f>0.25*U169</f>
        <v>12.5</v>
      </c>
    </row>
    <row r="170" spans="1:37" x14ac:dyDescent="0.35">
      <c r="A170" t="s">
        <v>27</v>
      </c>
      <c r="B170">
        <v>126</v>
      </c>
      <c r="C170" t="s">
        <v>459</v>
      </c>
      <c r="D170" s="2">
        <v>38170</v>
      </c>
      <c r="E170" t="s">
        <v>40</v>
      </c>
      <c r="F170" s="3">
        <v>0.65972222222222221</v>
      </c>
      <c r="G170" s="3">
        <v>0.67013888888888884</v>
      </c>
      <c r="H170">
        <v>19.899999999999999</v>
      </c>
      <c r="I170">
        <v>38</v>
      </c>
      <c r="J170">
        <v>2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66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30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 t="shared" si="3"/>
        <v>100</v>
      </c>
      <c r="AJ170" t="s">
        <v>16</v>
      </c>
      <c r="AK170">
        <f>0.05*U170</f>
        <v>0.1</v>
      </c>
    </row>
    <row r="171" spans="1:37" x14ac:dyDescent="0.35">
      <c r="A171" t="s">
        <v>27</v>
      </c>
      <c r="B171">
        <v>125</v>
      </c>
      <c r="C171" t="s">
        <v>462</v>
      </c>
      <c r="D171" s="2">
        <v>38170</v>
      </c>
      <c r="E171" t="s">
        <v>60</v>
      </c>
      <c r="F171" s="3">
        <v>0.6479166666666667</v>
      </c>
      <c r="G171" s="3">
        <v>0.65833333333333333</v>
      </c>
      <c r="H171">
        <v>20</v>
      </c>
      <c r="I171">
        <v>38</v>
      </c>
      <c r="J171">
        <v>2</v>
      </c>
      <c r="K171">
        <v>2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10</v>
      </c>
      <c r="T171">
        <v>0</v>
      </c>
      <c r="U171">
        <v>0</v>
      </c>
      <c r="V171">
        <v>82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>
        <v>0</v>
      </c>
      <c r="AI171">
        <f t="shared" si="3"/>
        <v>100</v>
      </c>
      <c r="AJ171" t="s">
        <v>21</v>
      </c>
      <c r="AK171">
        <f>0.2*AD171</f>
        <v>1.4000000000000001</v>
      </c>
    </row>
    <row r="172" spans="1:37" x14ac:dyDescent="0.35">
      <c r="A172" t="s">
        <v>27</v>
      </c>
      <c r="B172">
        <v>123</v>
      </c>
      <c r="C172" t="s">
        <v>460</v>
      </c>
      <c r="D172" s="2">
        <v>38170</v>
      </c>
      <c r="E172">
        <v>0</v>
      </c>
      <c r="F172" s="3">
        <v>0.61250000000000004</v>
      </c>
      <c r="G172" s="3">
        <v>0.62291666666666667</v>
      </c>
      <c r="H172">
        <v>20.100000000000001</v>
      </c>
      <c r="I172">
        <v>61</v>
      </c>
      <c r="J172">
        <v>2</v>
      </c>
      <c r="K172">
        <v>3</v>
      </c>
      <c r="L172">
        <v>60</v>
      </c>
      <c r="M172">
        <v>10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25</v>
      </c>
      <c r="U172">
        <v>0</v>
      </c>
      <c r="V172">
        <v>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3"/>
        <v>100</v>
      </c>
      <c r="AJ172" t="s">
        <v>10</v>
      </c>
      <c r="AK172">
        <f>0.01*M172</f>
        <v>0.1</v>
      </c>
    </row>
    <row r="173" spans="1:37" x14ac:dyDescent="0.35">
      <c r="A173" t="s">
        <v>27</v>
      </c>
      <c r="B173">
        <v>128</v>
      </c>
      <c r="C173" t="s">
        <v>463</v>
      </c>
      <c r="D173" s="2">
        <v>38173</v>
      </c>
      <c r="E173">
        <v>0</v>
      </c>
      <c r="F173" s="3">
        <v>0.52083333333333337</v>
      </c>
      <c r="G173" s="3">
        <v>0.53125</v>
      </c>
      <c r="H173">
        <v>18.3</v>
      </c>
      <c r="I173">
        <v>40</v>
      </c>
      <c r="J173">
        <v>2</v>
      </c>
      <c r="K173">
        <v>3</v>
      </c>
      <c r="L173">
        <v>40</v>
      </c>
      <c r="M173">
        <v>15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</v>
      </c>
      <c r="W173">
        <v>0</v>
      </c>
      <c r="X173">
        <v>0</v>
      </c>
      <c r="Y173">
        <v>0</v>
      </c>
      <c r="Z173">
        <v>0</v>
      </c>
      <c r="AA173" t="s">
        <v>87</v>
      </c>
      <c r="AB173">
        <v>35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f t="shared" si="3"/>
        <v>100</v>
      </c>
      <c r="AJ173" t="s">
        <v>88</v>
      </c>
      <c r="AK173">
        <f>0.36*AB173</f>
        <v>12.6</v>
      </c>
    </row>
    <row r="174" spans="1:37" x14ac:dyDescent="0.35">
      <c r="A174" t="s">
        <v>27</v>
      </c>
      <c r="B174">
        <v>130</v>
      </c>
      <c r="C174" t="s">
        <v>464</v>
      </c>
      <c r="D174" s="2">
        <v>38173</v>
      </c>
      <c r="E174">
        <v>0</v>
      </c>
      <c r="F174" s="3">
        <v>0.57847222222222217</v>
      </c>
      <c r="G174" s="3">
        <v>0.58888888888888891</v>
      </c>
      <c r="H174">
        <v>17.7</v>
      </c>
      <c r="I174">
        <v>43</v>
      </c>
      <c r="J174">
        <v>2</v>
      </c>
      <c r="K174">
        <v>3</v>
      </c>
      <c r="L174">
        <v>10</v>
      </c>
      <c r="M174">
        <v>25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45</v>
      </c>
      <c r="U174">
        <v>0</v>
      </c>
      <c r="V174">
        <v>20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 t="shared" si="3"/>
        <v>100</v>
      </c>
      <c r="AJ174" t="s">
        <v>15</v>
      </c>
      <c r="AK174">
        <f>0.65*T174</f>
        <v>29.25</v>
      </c>
    </row>
    <row r="175" spans="1:37" x14ac:dyDescent="0.35">
      <c r="A175" t="s">
        <v>27</v>
      </c>
      <c r="B175">
        <v>127</v>
      </c>
      <c r="C175" t="s">
        <v>465</v>
      </c>
      <c r="D175" s="2">
        <v>38173</v>
      </c>
      <c r="E175">
        <v>0</v>
      </c>
      <c r="F175" s="3">
        <v>0.4694444444444445</v>
      </c>
      <c r="G175" s="3">
        <v>0.47986111111111113</v>
      </c>
      <c r="H175">
        <v>16.7</v>
      </c>
      <c r="I175">
        <v>66</v>
      </c>
      <c r="J175">
        <v>2</v>
      </c>
      <c r="K175">
        <v>3</v>
      </c>
      <c r="L175">
        <v>34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30</v>
      </c>
      <c r="V175">
        <v>25</v>
      </c>
      <c r="W175">
        <v>0</v>
      </c>
      <c r="X175">
        <v>0</v>
      </c>
      <c r="Y175">
        <v>0</v>
      </c>
      <c r="Z175">
        <v>0</v>
      </c>
      <c r="AA175">
        <v>10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 t="shared" si="3"/>
        <v>100</v>
      </c>
      <c r="AJ175" t="s">
        <v>19</v>
      </c>
      <c r="AK175">
        <f>0.25*AA175</f>
        <v>2.5</v>
      </c>
    </row>
    <row r="176" spans="1:37" x14ac:dyDescent="0.35">
      <c r="A176" t="s">
        <v>27</v>
      </c>
      <c r="B176">
        <v>127</v>
      </c>
      <c r="C176" t="s">
        <v>465</v>
      </c>
      <c r="D176" s="2">
        <v>38173</v>
      </c>
      <c r="E176">
        <v>0</v>
      </c>
      <c r="F176" s="3">
        <v>0.4694444444444445</v>
      </c>
      <c r="G176" s="3">
        <v>0.47986111111111113</v>
      </c>
      <c r="H176">
        <v>16.7</v>
      </c>
      <c r="I176">
        <v>66</v>
      </c>
      <c r="J176">
        <v>2</v>
      </c>
      <c r="K176">
        <v>3</v>
      </c>
      <c r="L176">
        <v>34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30</v>
      </c>
      <c r="V176">
        <v>25</v>
      </c>
      <c r="W176">
        <v>0</v>
      </c>
      <c r="X176">
        <v>0</v>
      </c>
      <c r="Y176">
        <v>0</v>
      </c>
      <c r="Z176">
        <v>0</v>
      </c>
      <c r="AA176">
        <v>10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 t="shared" si="3"/>
        <v>100</v>
      </c>
      <c r="AJ176" t="s">
        <v>16</v>
      </c>
      <c r="AK176">
        <f>0.25*U176</f>
        <v>7.5</v>
      </c>
    </row>
    <row r="177" spans="1:37" x14ac:dyDescent="0.35">
      <c r="A177" t="s">
        <v>27</v>
      </c>
      <c r="B177">
        <v>129</v>
      </c>
      <c r="C177" t="s">
        <v>466</v>
      </c>
      <c r="D177" s="2">
        <v>38173</v>
      </c>
      <c r="E177">
        <v>0</v>
      </c>
      <c r="F177" s="3">
        <v>0.53333333333333333</v>
      </c>
      <c r="G177" s="3">
        <v>0.54374999999999996</v>
      </c>
      <c r="H177">
        <v>20.5</v>
      </c>
      <c r="I177">
        <v>47</v>
      </c>
      <c r="J177">
        <v>2</v>
      </c>
      <c r="K177">
        <v>3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</v>
      </c>
      <c r="T177">
        <v>0</v>
      </c>
      <c r="U177">
        <v>0</v>
      </c>
      <c r="V177">
        <v>82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7</v>
      </c>
      <c r="AE177">
        <v>0</v>
      </c>
      <c r="AF177">
        <v>0</v>
      </c>
      <c r="AG177">
        <v>0</v>
      </c>
      <c r="AH177">
        <v>0</v>
      </c>
      <c r="AI177">
        <f t="shared" si="3"/>
        <v>100</v>
      </c>
      <c r="AJ177" t="s">
        <v>21</v>
      </c>
      <c r="AK177">
        <f>0.18*AD177</f>
        <v>1.26</v>
      </c>
    </row>
    <row r="178" spans="1:37" x14ac:dyDescent="0.35">
      <c r="A178" t="s">
        <v>27</v>
      </c>
      <c r="B178">
        <v>128</v>
      </c>
      <c r="C178" t="s">
        <v>463</v>
      </c>
      <c r="D178" s="2">
        <v>38173</v>
      </c>
      <c r="E178">
        <v>0</v>
      </c>
      <c r="F178" s="3">
        <v>0.52083333333333337</v>
      </c>
      <c r="G178" s="3">
        <v>0.53125</v>
      </c>
      <c r="H178">
        <v>18.3</v>
      </c>
      <c r="I178">
        <v>40</v>
      </c>
      <c r="J178">
        <v>2</v>
      </c>
      <c r="K178">
        <v>3</v>
      </c>
      <c r="L178">
        <v>40</v>
      </c>
      <c r="M178">
        <v>15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</v>
      </c>
      <c r="W178">
        <v>0</v>
      </c>
      <c r="X178">
        <v>0</v>
      </c>
      <c r="Y178">
        <v>0</v>
      </c>
      <c r="Z178">
        <v>0</v>
      </c>
      <c r="AA178" t="s">
        <v>87</v>
      </c>
      <c r="AB178">
        <v>35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f t="shared" si="3"/>
        <v>100</v>
      </c>
      <c r="AJ178" t="s">
        <v>10</v>
      </c>
      <c r="AK178">
        <f>0.02*M178</f>
        <v>0.3</v>
      </c>
    </row>
    <row r="179" spans="1:37" x14ac:dyDescent="0.35">
      <c r="A179" t="s">
        <v>27</v>
      </c>
      <c r="B179">
        <v>131</v>
      </c>
      <c r="C179" t="s">
        <v>467</v>
      </c>
      <c r="D179" s="2">
        <v>38175</v>
      </c>
      <c r="E179" t="s">
        <v>49</v>
      </c>
      <c r="F179" s="3">
        <v>0.53541666666666665</v>
      </c>
      <c r="G179" s="3">
        <v>0.54583333333333328</v>
      </c>
      <c r="H179">
        <v>17.8</v>
      </c>
      <c r="I179">
        <v>57</v>
      </c>
      <c r="J179">
        <v>3</v>
      </c>
      <c r="K179">
        <v>2</v>
      </c>
      <c r="L179">
        <v>39</v>
      </c>
      <c r="M179">
        <v>15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25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20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f t="shared" si="3"/>
        <v>100</v>
      </c>
      <c r="AJ179" t="s">
        <v>88</v>
      </c>
      <c r="AK179">
        <f>0.65*AB179</f>
        <v>13</v>
      </c>
    </row>
    <row r="180" spans="1:37" x14ac:dyDescent="0.35">
      <c r="A180" t="s">
        <v>27</v>
      </c>
      <c r="B180">
        <v>134</v>
      </c>
      <c r="C180" t="s">
        <v>468</v>
      </c>
      <c r="D180" s="2">
        <v>38175</v>
      </c>
      <c r="E180">
        <v>0</v>
      </c>
      <c r="F180" s="3">
        <v>0.60416666666666663</v>
      </c>
      <c r="G180" s="3">
        <v>0.61458333333333337</v>
      </c>
      <c r="H180">
        <v>19.399999999999999</v>
      </c>
      <c r="I180">
        <v>35</v>
      </c>
      <c r="J180">
        <v>2</v>
      </c>
      <c r="K180">
        <v>2</v>
      </c>
      <c r="L180">
        <v>0</v>
      </c>
      <c r="M180">
        <v>0</v>
      </c>
      <c r="N180">
        <v>0</v>
      </c>
      <c r="O180">
        <v>10</v>
      </c>
      <c r="P180">
        <v>0</v>
      </c>
      <c r="Q180">
        <v>0</v>
      </c>
      <c r="R180">
        <v>0</v>
      </c>
      <c r="S180">
        <v>0</v>
      </c>
      <c r="T180">
        <v>25</v>
      </c>
      <c r="U180">
        <v>0</v>
      </c>
      <c r="V180">
        <v>65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 t="shared" si="3"/>
        <v>100</v>
      </c>
      <c r="AJ180" t="s">
        <v>15</v>
      </c>
      <c r="AK180">
        <f>0.15*T180</f>
        <v>3.75</v>
      </c>
    </row>
    <row r="181" spans="1:37" x14ac:dyDescent="0.35">
      <c r="A181" t="s">
        <v>27</v>
      </c>
      <c r="B181">
        <v>133</v>
      </c>
      <c r="C181" t="s">
        <v>469</v>
      </c>
      <c r="D181" s="2">
        <v>38175</v>
      </c>
      <c r="E181" t="s">
        <v>53</v>
      </c>
      <c r="F181" s="3">
        <v>0.5805555555555556</v>
      </c>
      <c r="G181" s="3">
        <v>0.59097222222222223</v>
      </c>
      <c r="H181">
        <v>20.7</v>
      </c>
      <c r="I181">
        <v>34</v>
      </c>
      <c r="J181">
        <v>2</v>
      </c>
      <c r="K181">
        <v>2</v>
      </c>
      <c r="L181">
        <v>30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45</v>
      </c>
      <c r="V181">
        <v>22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f t="shared" si="3"/>
        <v>100</v>
      </c>
      <c r="AJ181" t="s">
        <v>19</v>
      </c>
      <c r="AK181">
        <f>0.2*AA181</f>
        <v>0.60000000000000009</v>
      </c>
    </row>
    <row r="182" spans="1:37" x14ac:dyDescent="0.35">
      <c r="A182" t="s">
        <v>27</v>
      </c>
      <c r="B182">
        <v>136</v>
      </c>
      <c r="C182" t="s">
        <v>470</v>
      </c>
      <c r="D182" s="2">
        <v>38175</v>
      </c>
      <c r="E182">
        <v>0</v>
      </c>
      <c r="F182" s="3">
        <v>0.64375000000000004</v>
      </c>
      <c r="G182" s="3">
        <v>0.65416666666666667</v>
      </c>
      <c r="H182">
        <v>18.5</v>
      </c>
      <c r="I182">
        <v>28</v>
      </c>
      <c r="J182">
        <v>2</v>
      </c>
      <c r="K182">
        <v>3</v>
      </c>
      <c r="L182">
        <v>20</v>
      </c>
      <c r="M182">
        <v>8</v>
      </c>
      <c r="N182">
        <v>0</v>
      </c>
      <c r="O182">
        <v>0</v>
      </c>
      <c r="P182">
        <v>7</v>
      </c>
      <c r="Q182">
        <v>0</v>
      </c>
      <c r="R182">
        <v>0</v>
      </c>
      <c r="S182">
        <v>60</v>
      </c>
      <c r="T182">
        <v>0</v>
      </c>
      <c r="U182">
        <v>0</v>
      </c>
      <c r="V182">
        <v>2</v>
      </c>
      <c r="W182">
        <v>0</v>
      </c>
      <c r="X182">
        <v>3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f t="shared" si="3"/>
        <v>100</v>
      </c>
      <c r="AJ182" t="s">
        <v>13</v>
      </c>
      <c r="AK182">
        <f>0.65*P182</f>
        <v>4.55</v>
      </c>
    </row>
    <row r="183" spans="1:37" x14ac:dyDescent="0.35">
      <c r="A183" t="s">
        <v>27</v>
      </c>
      <c r="B183">
        <v>132</v>
      </c>
      <c r="C183" t="s">
        <v>471</v>
      </c>
      <c r="D183" s="2">
        <v>38175</v>
      </c>
      <c r="E183">
        <v>0</v>
      </c>
      <c r="F183" s="3">
        <v>0.55486111111111114</v>
      </c>
      <c r="G183" s="3">
        <v>0.56527777777777777</v>
      </c>
      <c r="H183">
        <v>17.8</v>
      </c>
      <c r="I183">
        <v>48</v>
      </c>
      <c r="J183">
        <v>3</v>
      </c>
      <c r="K183">
        <v>2</v>
      </c>
      <c r="L183">
        <v>35</v>
      </c>
      <c r="M183">
        <v>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40</v>
      </c>
      <c r="V183">
        <v>20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f t="shared" si="3"/>
        <v>100</v>
      </c>
      <c r="AJ183" t="s">
        <v>16</v>
      </c>
      <c r="AK183">
        <f>0.4*U183</f>
        <v>16</v>
      </c>
    </row>
    <row r="184" spans="1:37" x14ac:dyDescent="0.35">
      <c r="A184" t="s">
        <v>27</v>
      </c>
      <c r="B184">
        <v>133</v>
      </c>
      <c r="C184" t="s">
        <v>469</v>
      </c>
      <c r="D184" s="2">
        <v>38175</v>
      </c>
      <c r="E184" t="s">
        <v>53</v>
      </c>
      <c r="F184" s="3">
        <v>0.5805555555555556</v>
      </c>
      <c r="G184" s="3">
        <v>0.59097222222222223</v>
      </c>
      <c r="H184">
        <v>20.7</v>
      </c>
      <c r="I184">
        <v>34</v>
      </c>
      <c r="J184">
        <v>2</v>
      </c>
      <c r="K184">
        <v>2</v>
      </c>
      <c r="L184">
        <v>30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45</v>
      </c>
      <c r="V184">
        <v>22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3"/>
        <v>100</v>
      </c>
      <c r="AJ184" t="s">
        <v>16</v>
      </c>
      <c r="AK184">
        <f>0.15*U184</f>
        <v>6.75</v>
      </c>
    </row>
    <row r="185" spans="1:37" x14ac:dyDescent="0.35">
      <c r="A185" t="s">
        <v>27</v>
      </c>
      <c r="B185">
        <v>135</v>
      </c>
      <c r="C185" t="s">
        <v>472</v>
      </c>
      <c r="D185" s="2">
        <v>38175</v>
      </c>
      <c r="E185" t="s">
        <v>50</v>
      </c>
      <c r="F185" s="3">
        <v>0.62152777777777779</v>
      </c>
      <c r="G185" s="3">
        <v>0.63194444444444442</v>
      </c>
      <c r="H185">
        <v>20.399999999999999</v>
      </c>
      <c r="I185">
        <v>42</v>
      </c>
      <c r="J185">
        <v>2</v>
      </c>
      <c r="K185">
        <v>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0</v>
      </c>
      <c r="V185">
        <v>90</v>
      </c>
      <c r="W185">
        <v>0</v>
      </c>
      <c r="X185">
        <v>0</v>
      </c>
      <c r="Y185">
        <v>0</v>
      </c>
      <c r="Z185">
        <v>0</v>
      </c>
      <c r="AA185">
        <v>2</v>
      </c>
      <c r="AB185">
        <v>0</v>
      </c>
      <c r="AC185">
        <v>0</v>
      </c>
      <c r="AD185">
        <v>3</v>
      </c>
      <c r="AE185">
        <v>0</v>
      </c>
      <c r="AF185">
        <v>0</v>
      </c>
      <c r="AG185">
        <v>0</v>
      </c>
      <c r="AH185">
        <v>0</v>
      </c>
      <c r="AI185">
        <f t="shared" si="3"/>
        <v>100</v>
      </c>
      <c r="AJ185" t="s">
        <v>21</v>
      </c>
      <c r="AK185">
        <f>0.2*AD185</f>
        <v>0.60000000000000009</v>
      </c>
    </row>
    <row r="186" spans="1:37" x14ac:dyDescent="0.35">
      <c r="A186" t="s">
        <v>27</v>
      </c>
      <c r="B186">
        <v>137</v>
      </c>
      <c r="C186" t="s">
        <v>473</v>
      </c>
      <c r="D186" s="2">
        <v>38176</v>
      </c>
      <c r="E186" t="s">
        <v>49</v>
      </c>
      <c r="F186" s="3">
        <v>0.57430555555555551</v>
      </c>
      <c r="G186" s="3">
        <v>0.58472222222222225</v>
      </c>
      <c r="H186">
        <v>23.8</v>
      </c>
      <c r="I186">
        <v>59</v>
      </c>
      <c r="J186">
        <v>2</v>
      </c>
      <c r="K186">
        <v>1</v>
      </c>
      <c r="L186">
        <v>68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25</v>
      </c>
      <c r="V186">
        <v>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 t="shared" si="3"/>
        <v>100</v>
      </c>
      <c r="AJ186" t="s">
        <v>16</v>
      </c>
      <c r="AK186">
        <f>0.2*U186</f>
        <v>5</v>
      </c>
    </row>
    <row r="187" spans="1:37" x14ac:dyDescent="0.35">
      <c r="A187" t="s">
        <v>27</v>
      </c>
      <c r="B187">
        <v>142</v>
      </c>
      <c r="C187" t="s">
        <v>474</v>
      </c>
      <c r="D187" s="2">
        <v>38184</v>
      </c>
      <c r="E187" t="s">
        <v>49</v>
      </c>
      <c r="F187" s="3">
        <v>0.66597222222222219</v>
      </c>
      <c r="G187" s="3">
        <v>0.67638888888888893</v>
      </c>
      <c r="H187">
        <v>21.2</v>
      </c>
      <c r="I187">
        <v>43</v>
      </c>
      <c r="J187">
        <v>2</v>
      </c>
      <c r="K187">
        <v>2</v>
      </c>
      <c r="L187">
        <v>39</v>
      </c>
      <c r="M187">
        <v>15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25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20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 t="shared" si="3"/>
        <v>100</v>
      </c>
      <c r="AJ187" t="s">
        <v>88</v>
      </c>
      <c r="AK187">
        <f>0.34*AB187</f>
        <v>6.8000000000000007</v>
      </c>
    </row>
    <row r="188" spans="1:37" x14ac:dyDescent="0.35">
      <c r="A188" t="s">
        <v>27</v>
      </c>
      <c r="B188">
        <v>139</v>
      </c>
      <c r="C188" t="s">
        <v>475</v>
      </c>
      <c r="D188" s="2">
        <v>38184</v>
      </c>
      <c r="E188">
        <v>0</v>
      </c>
      <c r="F188" s="3">
        <v>0.57499999999999996</v>
      </c>
      <c r="G188" s="3">
        <v>0.5854166666666667</v>
      </c>
      <c r="H188">
        <v>17.2</v>
      </c>
      <c r="I188">
        <v>47</v>
      </c>
      <c r="J188">
        <v>2</v>
      </c>
      <c r="K188">
        <v>2</v>
      </c>
      <c r="L188">
        <v>10</v>
      </c>
      <c r="M188">
        <v>25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45</v>
      </c>
      <c r="U188">
        <v>0</v>
      </c>
      <c r="V188">
        <v>20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 t="shared" si="3"/>
        <v>100</v>
      </c>
      <c r="AJ188" t="s">
        <v>15</v>
      </c>
      <c r="AK188">
        <f>0.4*T188</f>
        <v>18</v>
      </c>
    </row>
    <row r="189" spans="1:37" x14ac:dyDescent="0.35">
      <c r="A189" t="s">
        <v>27</v>
      </c>
      <c r="B189">
        <v>138</v>
      </c>
      <c r="C189" t="s">
        <v>476</v>
      </c>
      <c r="D189" s="2">
        <v>38184</v>
      </c>
      <c r="E189">
        <v>0</v>
      </c>
      <c r="F189" s="3">
        <v>0.54652777777777783</v>
      </c>
      <c r="G189" s="3">
        <v>0.55694444444444446</v>
      </c>
      <c r="H189">
        <v>17.2</v>
      </c>
      <c r="I189">
        <v>47</v>
      </c>
      <c r="J189">
        <v>2</v>
      </c>
      <c r="K189">
        <v>2</v>
      </c>
      <c r="L189">
        <v>20</v>
      </c>
      <c r="M189">
        <v>8</v>
      </c>
      <c r="N189">
        <v>0</v>
      </c>
      <c r="O189">
        <v>0</v>
      </c>
      <c r="P189">
        <v>7</v>
      </c>
      <c r="Q189">
        <v>0</v>
      </c>
      <c r="R189">
        <v>0</v>
      </c>
      <c r="S189">
        <v>60</v>
      </c>
      <c r="T189">
        <v>0</v>
      </c>
      <c r="U189">
        <v>0</v>
      </c>
      <c r="V189">
        <v>2</v>
      </c>
      <c r="W189">
        <v>0</v>
      </c>
      <c r="X189">
        <v>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f t="shared" si="3"/>
        <v>100</v>
      </c>
      <c r="AJ189" t="s">
        <v>13</v>
      </c>
      <c r="AK189">
        <f>0.61*P189</f>
        <v>4.2699999999999996</v>
      </c>
    </row>
    <row r="190" spans="1:37" x14ac:dyDescent="0.35">
      <c r="A190" t="s">
        <v>27</v>
      </c>
      <c r="B190">
        <v>140</v>
      </c>
      <c r="C190" t="s">
        <v>477</v>
      </c>
      <c r="D190" s="2">
        <v>38184</v>
      </c>
      <c r="E190">
        <v>0</v>
      </c>
      <c r="F190" s="3">
        <v>0.59513888888888888</v>
      </c>
      <c r="G190" s="3">
        <v>0.60555555555555551</v>
      </c>
      <c r="H190">
        <v>20</v>
      </c>
      <c r="I190">
        <v>41</v>
      </c>
      <c r="J190">
        <v>2</v>
      </c>
      <c r="K190">
        <v>2</v>
      </c>
      <c r="L190">
        <v>15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74</v>
      </c>
      <c r="V190">
        <v>10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f t="shared" si="3"/>
        <v>100</v>
      </c>
      <c r="AJ190" t="s">
        <v>16</v>
      </c>
      <c r="AK190">
        <f>0.2*U190</f>
        <v>14.8</v>
      </c>
    </row>
    <row r="191" spans="1:37" x14ac:dyDescent="0.35">
      <c r="A191" t="s">
        <v>27</v>
      </c>
      <c r="B191">
        <v>141</v>
      </c>
      <c r="C191" t="s">
        <v>478</v>
      </c>
      <c r="D191" s="2">
        <v>38184</v>
      </c>
      <c r="E191">
        <v>0</v>
      </c>
      <c r="F191" s="3">
        <v>0.625</v>
      </c>
      <c r="G191" s="3">
        <v>0.63541666666666663</v>
      </c>
      <c r="H191">
        <v>18.399999999999999</v>
      </c>
      <c r="I191">
        <v>45</v>
      </c>
      <c r="J191">
        <v>2</v>
      </c>
      <c r="K191">
        <v>2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10</v>
      </c>
      <c r="T191">
        <v>0</v>
      </c>
      <c r="U191">
        <v>0</v>
      </c>
      <c r="V191">
        <v>82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7</v>
      </c>
      <c r="AE191">
        <v>0</v>
      </c>
      <c r="AF191">
        <v>0</v>
      </c>
      <c r="AG191">
        <v>0</v>
      </c>
      <c r="AH191">
        <v>0</v>
      </c>
      <c r="AI191">
        <f t="shared" si="3"/>
        <v>100</v>
      </c>
      <c r="AJ191" t="s">
        <v>21</v>
      </c>
      <c r="AK191">
        <f>0.35*AD191</f>
        <v>2.4499999999999997</v>
      </c>
    </row>
    <row r="192" spans="1:37" x14ac:dyDescent="0.35">
      <c r="A192" t="s">
        <v>27</v>
      </c>
      <c r="B192">
        <v>144</v>
      </c>
      <c r="C192" t="s">
        <v>479</v>
      </c>
      <c r="D192" s="2">
        <v>38187</v>
      </c>
      <c r="E192" t="s">
        <v>52</v>
      </c>
      <c r="F192" s="3">
        <v>0.63194444444444442</v>
      </c>
      <c r="G192" s="3">
        <v>0.64236111111111105</v>
      </c>
      <c r="H192">
        <v>20.6</v>
      </c>
      <c r="I192">
        <v>49</v>
      </c>
      <c r="J192">
        <v>3</v>
      </c>
      <c r="K192">
        <v>2</v>
      </c>
      <c r="L192">
        <v>0</v>
      </c>
      <c r="M192">
        <v>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80</v>
      </c>
      <c r="T192">
        <v>0</v>
      </c>
      <c r="U192">
        <v>0</v>
      </c>
      <c r="V192">
        <v>0</v>
      </c>
      <c r="W192">
        <v>7</v>
      </c>
      <c r="X192">
        <v>3</v>
      </c>
      <c r="Y192">
        <v>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v>0</v>
      </c>
      <c r="AI192">
        <f t="shared" si="3"/>
        <v>100</v>
      </c>
      <c r="AJ192" t="s">
        <v>14</v>
      </c>
      <c r="AK192">
        <f>0.005*S192</f>
        <v>0.4</v>
      </c>
    </row>
    <row r="193" spans="1:37" x14ac:dyDescent="0.35">
      <c r="A193" t="s">
        <v>27</v>
      </c>
      <c r="B193">
        <v>143</v>
      </c>
      <c r="C193" t="s">
        <v>480</v>
      </c>
      <c r="D193" s="2">
        <v>38187</v>
      </c>
      <c r="E193">
        <v>0</v>
      </c>
      <c r="F193" s="3">
        <v>0.61875000000000002</v>
      </c>
      <c r="G193" s="3">
        <v>0.62916666666666665</v>
      </c>
      <c r="H193">
        <v>18.399999999999999</v>
      </c>
      <c r="I193">
        <v>65</v>
      </c>
      <c r="J193">
        <v>4</v>
      </c>
      <c r="K193">
        <v>2</v>
      </c>
      <c r="L193"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10</v>
      </c>
      <c r="V193">
        <v>40</v>
      </c>
      <c r="W193">
        <v>0</v>
      </c>
      <c r="X193">
        <v>0</v>
      </c>
      <c r="Y193">
        <v>0</v>
      </c>
      <c r="Z193">
        <v>0</v>
      </c>
      <c r="AA193">
        <v>40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f t="shared" si="3"/>
        <v>100</v>
      </c>
      <c r="AJ193" t="s">
        <v>19</v>
      </c>
      <c r="AK193">
        <f>0.15*AA193</f>
        <v>6</v>
      </c>
    </row>
    <row r="194" spans="1:37" x14ac:dyDescent="0.35">
      <c r="A194" t="s">
        <v>27</v>
      </c>
      <c r="B194">
        <v>144</v>
      </c>
      <c r="C194" t="s">
        <v>479</v>
      </c>
      <c r="D194" s="2">
        <v>38187</v>
      </c>
      <c r="E194" t="s">
        <v>52</v>
      </c>
      <c r="F194" s="3">
        <v>0.63194444444444442</v>
      </c>
      <c r="G194" s="3">
        <v>0.64236111111111105</v>
      </c>
      <c r="H194">
        <v>20.6</v>
      </c>
      <c r="I194">
        <v>49</v>
      </c>
      <c r="J194">
        <v>3</v>
      </c>
      <c r="K194">
        <v>2</v>
      </c>
      <c r="L194">
        <v>0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80</v>
      </c>
      <c r="T194">
        <v>0</v>
      </c>
      <c r="U194">
        <v>0</v>
      </c>
      <c r="V194">
        <v>0</v>
      </c>
      <c r="W194">
        <v>7</v>
      </c>
      <c r="X194">
        <v>3</v>
      </c>
      <c r="Y194">
        <v>2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v>0</v>
      </c>
      <c r="AI194">
        <f t="shared" si="3"/>
        <v>100</v>
      </c>
      <c r="AJ194" t="s">
        <v>18</v>
      </c>
      <c r="AK194">
        <f>0.24*Y194</f>
        <v>0.48</v>
      </c>
    </row>
    <row r="195" spans="1:37" x14ac:dyDescent="0.35">
      <c r="A195" t="s">
        <v>27</v>
      </c>
      <c r="B195">
        <v>143</v>
      </c>
      <c r="C195" t="s">
        <v>480</v>
      </c>
      <c r="D195" s="2">
        <v>38187</v>
      </c>
      <c r="E195">
        <v>0</v>
      </c>
      <c r="F195" s="3">
        <v>0.61875000000000002</v>
      </c>
      <c r="G195" s="3">
        <v>0.62916666666666665</v>
      </c>
      <c r="H195">
        <v>18.399999999999999</v>
      </c>
      <c r="I195">
        <v>65</v>
      </c>
      <c r="J195">
        <v>4</v>
      </c>
      <c r="K195">
        <v>2</v>
      </c>
      <c r="L195">
        <v>10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10</v>
      </c>
      <c r="V195">
        <v>40</v>
      </c>
      <c r="W195">
        <v>0</v>
      </c>
      <c r="X195">
        <v>0</v>
      </c>
      <c r="Y195">
        <v>0</v>
      </c>
      <c r="Z195">
        <v>0</v>
      </c>
      <c r="AA195">
        <v>40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f t="shared" si="3"/>
        <v>100</v>
      </c>
      <c r="AJ195" t="s">
        <v>16</v>
      </c>
      <c r="AK195">
        <f>0.1*U195</f>
        <v>1</v>
      </c>
    </row>
    <row r="196" spans="1:37" x14ac:dyDescent="0.35">
      <c r="A196" t="s">
        <v>27</v>
      </c>
      <c r="B196">
        <v>148</v>
      </c>
      <c r="C196" t="s">
        <v>481</v>
      </c>
      <c r="D196" s="2">
        <v>38188</v>
      </c>
      <c r="E196">
        <v>0</v>
      </c>
      <c r="F196" s="3">
        <v>0.4777777777777778</v>
      </c>
      <c r="G196" s="3">
        <v>0.48819444444444443</v>
      </c>
      <c r="H196">
        <v>21.8</v>
      </c>
      <c r="I196">
        <v>43</v>
      </c>
      <c r="J196">
        <v>2</v>
      </c>
      <c r="K196">
        <v>0</v>
      </c>
      <c r="L196">
        <v>70</v>
      </c>
      <c r="M196">
        <v>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25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100</v>
      </c>
      <c r="AJ196" t="s">
        <v>14</v>
      </c>
      <c r="AK196">
        <f>0.3*S196</f>
        <v>7.5</v>
      </c>
    </row>
    <row r="197" spans="1:37" x14ac:dyDescent="0.35">
      <c r="A197" t="s">
        <v>27</v>
      </c>
      <c r="B197">
        <v>150</v>
      </c>
      <c r="C197" t="s">
        <v>482</v>
      </c>
      <c r="D197" s="2">
        <v>38188</v>
      </c>
      <c r="E197" t="s">
        <v>62</v>
      </c>
      <c r="F197" s="3">
        <v>0.51875000000000004</v>
      </c>
      <c r="G197" s="3">
        <v>0.52916666666666667</v>
      </c>
      <c r="H197">
        <v>21.5</v>
      </c>
      <c r="I197">
        <v>44</v>
      </c>
      <c r="J197">
        <v>3</v>
      </c>
      <c r="K197">
        <v>1</v>
      </c>
      <c r="L197">
        <v>0</v>
      </c>
      <c r="M197">
        <v>2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64</v>
      </c>
      <c r="T197">
        <v>0</v>
      </c>
      <c r="U197">
        <v>0</v>
      </c>
      <c r="V197">
        <v>30</v>
      </c>
      <c r="W197">
        <v>0</v>
      </c>
      <c r="X197">
        <v>0</v>
      </c>
      <c r="Y197">
        <v>0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f t="shared" si="3"/>
        <v>100</v>
      </c>
      <c r="AJ197" t="s">
        <v>89</v>
      </c>
      <c r="AK197">
        <f>0.3*Z197</f>
        <v>1.2</v>
      </c>
    </row>
    <row r="198" spans="1:37" x14ac:dyDescent="0.35">
      <c r="A198" t="s">
        <v>27</v>
      </c>
      <c r="B198">
        <v>145</v>
      </c>
      <c r="C198" t="s">
        <v>483</v>
      </c>
      <c r="D198" s="2">
        <v>38188</v>
      </c>
      <c r="E198">
        <v>0</v>
      </c>
      <c r="F198" s="3">
        <v>0.4201388888888889</v>
      </c>
      <c r="G198" s="3">
        <v>0.43055555555555558</v>
      </c>
      <c r="H198">
        <v>19.600000000000001</v>
      </c>
      <c r="I198">
        <v>56</v>
      </c>
      <c r="J198">
        <v>0</v>
      </c>
      <c r="K198">
        <v>0</v>
      </c>
      <c r="L198">
        <v>37</v>
      </c>
      <c r="M198">
        <v>7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15</v>
      </c>
      <c r="T198">
        <v>20</v>
      </c>
      <c r="U198">
        <v>0</v>
      </c>
      <c r="V198">
        <v>20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 t="shared" si="3"/>
        <v>100</v>
      </c>
      <c r="AJ198" t="s">
        <v>15</v>
      </c>
      <c r="AK198">
        <f>0.4*T198</f>
        <v>8</v>
      </c>
    </row>
    <row r="199" spans="1:37" x14ac:dyDescent="0.35">
      <c r="A199" t="s">
        <v>27</v>
      </c>
      <c r="B199">
        <v>149</v>
      </c>
      <c r="C199" t="s">
        <v>484</v>
      </c>
      <c r="D199" s="2">
        <v>38188</v>
      </c>
      <c r="E199" t="s">
        <v>31</v>
      </c>
      <c r="F199" s="3">
        <v>0.49861111111111112</v>
      </c>
      <c r="G199" s="3">
        <v>0.50902777777777775</v>
      </c>
      <c r="H199">
        <v>20.2</v>
      </c>
      <c r="I199">
        <v>54</v>
      </c>
      <c r="J199">
        <v>4</v>
      </c>
      <c r="K199">
        <v>0</v>
      </c>
      <c r="L199">
        <v>72</v>
      </c>
      <c r="M199">
        <v>3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25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 t="shared" si="3"/>
        <v>100</v>
      </c>
      <c r="AJ199" t="s">
        <v>16</v>
      </c>
      <c r="AK199">
        <f>0.15*U199</f>
        <v>3.75</v>
      </c>
    </row>
    <row r="200" spans="1:37" x14ac:dyDescent="0.35">
      <c r="A200" t="s">
        <v>27</v>
      </c>
      <c r="B200">
        <v>146</v>
      </c>
      <c r="C200" t="s">
        <v>485</v>
      </c>
      <c r="D200" s="2">
        <v>38188</v>
      </c>
      <c r="E200" t="s">
        <v>50</v>
      </c>
      <c r="F200" s="3">
        <v>0.43402777777777773</v>
      </c>
      <c r="G200" s="3">
        <v>0.44444444444444442</v>
      </c>
      <c r="H200">
        <v>20.7</v>
      </c>
      <c r="I200">
        <v>40</v>
      </c>
      <c r="J200">
        <v>1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70</v>
      </c>
      <c r="T200">
        <v>0</v>
      </c>
      <c r="U200">
        <v>0</v>
      </c>
      <c r="V200">
        <v>27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3</v>
      </c>
      <c r="AE200">
        <v>0</v>
      </c>
      <c r="AF200">
        <v>0</v>
      </c>
      <c r="AG200">
        <v>0</v>
      </c>
      <c r="AH200">
        <v>0</v>
      </c>
      <c r="AI200">
        <f t="shared" si="3"/>
        <v>100</v>
      </c>
      <c r="AJ200" t="s">
        <v>21</v>
      </c>
      <c r="AK200">
        <f>0.34*AD200</f>
        <v>1.02</v>
      </c>
    </row>
    <row r="201" spans="1:37" x14ac:dyDescent="0.35">
      <c r="A201" t="s">
        <v>27</v>
      </c>
      <c r="B201">
        <v>147</v>
      </c>
      <c r="C201" t="s">
        <v>486</v>
      </c>
      <c r="D201" s="2">
        <v>38188</v>
      </c>
      <c r="E201" t="s">
        <v>50</v>
      </c>
      <c r="F201" s="3">
        <v>0.45833333333333331</v>
      </c>
      <c r="G201" s="3">
        <v>0.46875</v>
      </c>
      <c r="H201">
        <v>21.3</v>
      </c>
      <c r="I201">
        <v>57</v>
      </c>
      <c r="J201">
        <v>2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60</v>
      </c>
      <c r="S201">
        <v>0</v>
      </c>
      <c r="T201">
        <v>0</v>
      </c>
      <c r="U201">
        <v>0</v>
      </c>
      <c r="V201">
        <v>25</v>
      </c>
      <c r="W201">
        <v>10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5</v>
      </c>
      <c r="AE201">
        <v>0</v>
      </c>
      <c r="AF201">
        <v>0</v>
      </c>
      <c r="AG201">
        <v>0</v>
      </c>
      <c r="AH201">
        <v>0</v>
      </c>
      <c r="AI201">
        <f t="shared" si="3"/>
        <v>100</v>
      </c>
      <c r="AJ201" t="s">
        <v>21</v>
      </c>
      <c r="AK201">
        <f>0.75*AD201</f>
        <v>3.75</v>
      </c>
    </row>
    <row r="202" spans="1:37" x14ac:dyDescent="0.35">
      <c r="A202" t="s">
        <v>27</v>
      </c>
      <c r="B202">
        <v>152</v>
      </c>
      <c r="C202" t="s">
        <v>487</v>
      </c>
      <c r="D202" s="2">
        <v>38189</v>
      </c>
      <c r="E202" t="s">
        <v>49</v>
      </c>
      <c r="F202" s="3">
        <v>0.65</v>
      </c>
      <c r="G202" s="3">
        <v>0.66041666666666665</v>
      </c>
      <c r="H202">
        <v>18.3</v>
      </c>
      <c r="I202">
        <v>64</v>
      </c>
      <c r="J202">
        <v>5</v>
      </c>
      <c r="K202">
        <v>1</v>
      </c>
      <c r="L202">
        <v>39</v>
      </c>
      <c r="M202">
        <v>15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25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20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 t="shared" si="3"/>
        <v>100</v>
      </c>
      <c r="AJ202" t="s">
        <v>88</v>
      </c>
      <c r="AK202">
        <f>0.09*AB202</f>
        <v>1.7999999999999998</v>
      </c>
    </row>
    <row r="203" spans="1:37" x14ac:dyDescent="0.35">
      <c r="A203" t="s">
        <v>27</v>
      </c>
      <c r="B203">
        <v>151</v>
      </c>
      <c r="C203" t="s">
        <v>488</v>
      </c>
      <c r="D203" s="2">
        <v>38189</v>
      </c>
      <c r="E203" t="s">
        <v>46</v>
      </c>
      <c r="F203" s="3">
        <v>0.59444444444444444</v>
      </c>
      <c r="G203" s="3">
        <v>0.60486111111111118</v>
      </c>
      <c r="H203">
        <v>19</v>
      </c>
      <c r="I203">
        <v>68</v>
      </c>
      <c r="J203">
        <v>4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50</v>
      </c>
      <c r="T203">
        <v>0</v>
      </c>
      <c r="U203">
        <v>0</v>
      </c>
      <c r="V203">
        <v>44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3</v>
      </c>
      <c r="AE203">
        <v>0</v>
      </c>
      <c r="AF203">
        <v>0</v>
      </c>
      <c r="AG203">
        <v>0</v>
      </c>
      <c r="AH203">
        <v>0</v>
      </c>
      <c r="AI203">
        <f t="shared" si="3"/>
        <v>100</v>
      </c>
      <c r="AJ203" t="s">
        <v>21</v>
      </c>
      <c r="AK203">
        <f>0.8*AD203</f>
        <v>2.4000000000000004</v>
      </c>
    </row>
    <row r="204" spans="1:37" x14ac:dyDescent="0.35">
      <c r="A204" t="s">
        <v>27</v>
      </c>
      <c r="B204">
        <v>153</v>
      </c>
      <c r="C204" t="s">
        <v>489</v>
      </c>
      <c r="D204" s="2">
        <v>38190</v>
      </c>
      <c r="E204" t="s">
        <v>54</v>
      </c>
      <c r="F204" s="3">
        <v>0.66111111111111109</v>
      </c>
      <c r="G204" s="3">
        <v>0.67152777777777783</v>
      </c>
      <c r="H204">
        <v>20.8</v>
      </c>
      <c r="I204">
        <v>65</v>
      </c>
      <c r="J204">
        <v>5</v>
      </c>
      <c r="K204">
        <v>1</v>
      </c>
      <c r="L204">
        <v>35</v>
      </c>
      <c r="M204">
        <v>20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35</v>
      </c>
      <c r="T204">
        <v>0</v>
      </c>
      <c r="U204">
        <v>0</v>
      </c>
      <c r="V204">
        <v>10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 t="shared" si="3"/>
        <v>100</v>
      </c>
      <c r="AJ204" t="s">
        <v>14</v>
      </c>
      <c r="AK204">
        <f>0.3*S204</f>
        <v>10.5</v>
      </c>
    </row>
    <row r="205" spans="1:37" x14ac:dyDescent="0.35">
      <c r="A205" t="s">
        <v>27</v>
      </c>
      <c r="B205">
        <v>154</v>
      </c>
      <c r="C205" t="s">
        <v>490</v>
      </c>
      <c r="D205" s="2">
        <v>38190</v>
      </c>
      <c r="E205" t="s">
        <v>33</v>
      </c>
      <c r="F205" s="3">
        <v>0.67708333333333337</v>
      </c>
      <c r="G205" s="3">
        <v>0.6875</v>
      </c>
      <c r="H205">
        <v>20.2</v>
      </c>
      <c r="I205">
        <v>59</v>
      </c>
      <c r="J205">
        <v>5</v>
      </c>
      <c r="K205">
        <v>0</v>
      </c>
      <c r="L205">
        <v>40</v>
      </c>
      <c r="M205">
        <v>25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20</v>
      </c>
      <c r="AE205">
        <v>0</v>
      </c>
      <c r="AF205">
        <v>0</v>
      </c>
      <c r="AG205">
        <v>0</v>
      </c>
      <c r="AH205">
        <v>0</v>
      </c>
      <c r="AI205">
        <f t="shared" si="3"/>
        <v>100</v>
      </c>
      <c r="AJ205" t="s">
        <v>21</v>
      </c>
      <c r="AK205">
        <f>0.8*AD205</f>
        <v>16</v>
      </c>
    </row>
    <row r="206" spans="1:37" x14ac:dyDescent="0.35">
      <c r="A206" t="s">
        <v>27</v>
      </c>
      <c r="B206">
        <v>158</v>
      </c>
      <c r="C206" t="s">
        <v>491</v>
      </c>
      <c r="D206" s="2">
        <v>38195</v>
      </c>
      <c r="E206" t="s">
        <v>31</v>
      </c>
      <c r="F206" s="3">
        <v>0.5180555555555556</v>
      </c>
      <c r="G206" s="3">
        <v>0.52847222222222223</v>
      </c>
      <c r="H206">
        <v>17.7</v>
      </c>
      <c r="I206">
        <v>62</v>
      </c>
      <c r="J206">
        <v>3</v>
      </c>
      <c r="K206">
        <v>3</v>
      </c>
      <c r="L206">
        <v>38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 t="shared" si="3"/>
        <v>100</v>
      </c>
      <c r="AJ206" t="s">
        <v>14</v>
      </c>
      <c r="AK206">
        <f>0.25*S206</f>
        <v>15</v>
      </c>
    </row>
    <row r="207" spans="1:37" x14ac:dyDescent="0.35">
      <c r="A207" t="s">
        <v>27</v>
      </c>
      <c r="B207">
        <v>160</v>
      </c>
      <c r="C207" t="s">
        <v>492</v>
      </c>
      <c r="D207" s="2">
        <v>38195</v>
      </c>
      <c r="E207">
        <v>0</v>
      </c>
      <c r="F207" s="3">
        <v>0.56180555555555556</v>
      </c>
      <c r="G207" s="3">
        <v>0.57222222222222219</v>
      </c>
      <c r="H207">
        <v>20</v>
      </c>
      <c r="I207">
        <v>45</v>
      </c>
      <c r="J207">
        <v>3</v>
      </c>
      <c r="K207">
        <v>3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50</v>
      </c>
      <c r="W207">
        <v>0</v>
      </c>
      <c r="X207">
        <v>0</v>
      </c>
      <c r="Y207">
        <v>0</v>
      </c>
      <c r="Z207">
        <v>45</v>
      </c>
      <c r="AA207">
        <v>5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 t="shared" si="3"/>
        <v>100</v>
      </c>
      <c r="AJ207" t="s">
        <v>89</v>
      </c>
      <c r="AK207">
        <f>0.29*Z207</f>
        <v>13.049999999999999</v>
      </c>
    </row>
    <row r="208" spans="1:37" x14ac:dyDescent="0.35">
      <c r="A208" t="s">
        <v>27</v>
      </c>
      <c r="B208">
        <v>159</v>
      </c>
      <c r="C208" t="s">
        <v>493</v>
      </c>
      <c r="D208" s="2">
        <v>38195</v>
      </c>
      <c r="E208">
        <v>0</v>
      </c>
      <c r="F208" s="3">
        <v>0.54027777777777775</v>
      </c>
      <c r="G208" s="3">
        <v>0.55069444444444449</v>
      </c>
      <c r="H208">
        <v>20.100000000000001</v>
      </c>
      <c r="I208">
        <v>54</v>
      </c>
      <c r="J208">
        <v>3</v>
      </c>
      <c r="K208">
        <v>3</v>
      </c>
      <c r="L208">
        <v>25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25</v>
      </c>
      <c r="U208">
        <v>0</v>
      </c>
      <c r="V208">
        <v>45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100</v>
      </c>
      <c r="AJ208" t="s">
        <v>15</v>
      </c>
      <c r="AK208">
        <f>0.5*T208</f>
        <v>12.5</v>
      </c>
    </row>
    <row r="209" spans="1:37" x14ac:dyDescent="0.35">
      <c r="A209" t="s">
        <v>27</v>
      </c>
      <c r="B209">
        <v>157</v>
      </c>
      <c r="C209" t="s">
        <v>494</v>
      </c>
      <c r="D209" s="2">
        <v>38195</v>
      </c>
      <c r="E209" t="s">
        <v>34</v>
      </c>
      <c r="F209" s="3">
        <v>0.50277777777777777</v>
      </c>
      <c r="G209" s="3">
        <v>0.5131944444444444</v>
      </c>
      <c r="H209">
        <v>18.399999999999999</v>
      </c>
      <c r="I209">
        <v>55</v>
      </c>
      <c r="J209">
        <v>3</v>
      </c>
      <c r="K209">
        <v>3</v>
      </c>
      <c r="L209">
        <v>80</v>
      </c>
      <c r="M209">
        <v>2</v>
      </c>
      <c r="N209">
        <v>0</v>
      </c>
      <c r="O209">
        <v>0</v>
      </c>
      <c r="P209">
        <v>15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f t="shared" si="3"/>
        <v>100</v>
      </c>
      <c r="AJ209" t="s">
        <v>13</v>
      </c>
      <c r="AK209">
        <f>0.27*P209</f>
        <v>4.0500000000000007</v>
      </c>
    </row>
    <row r="210" spans="1:37" x14ac:dyDescent="0.35">
      <c r="A210" t="s">
        <v>27</v>
      </c>
      <c r="B210">
        <v>155</v>
      </c>
      <c r="C210" t="s">
        <v>495</v>
      </c>
      <c r="D210" s="2">
        <v>38195</v>
      </c>
      <c r="E210" t="s">
        <v>46</v>
      </c>
      <c r="F210" s="3">
        <v>0.43958333333333338</v>
      </c>
      <c r="G210" s="3">
        <v>0.45</v>
      </c>
      <c r="H210">
        <v>20.100000000000001</v>
      </c>
      <c r="I210">
        <v>59</v>
      </c>
      <c r="J210">
        <v>2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10</v>
      </c>
      <c r="T210">
        <v>0</v>
      </c>
      <c r="U210">
        <v>0</v>
      </c>
      <c r="V210">
        <v>85</v>
      </c>
      <c r="W210">
        <v>0</v>
      </c>
      <c r="X210">
        <v>0</v>
      </c>
      <c r="Y210">
        <v>5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 t="shared" si="3"/>
        <v>100</v>
      </c>
      <c r="AJ210" t="s">
        <v>18</v>
      </c>
      <c r="AK210">
        <f>0.24*Y210</f>
        <v>1.2</v>
      </c>
    </row>
    <row r="211" spans="1:37" x14ac:dyDescent="0.35">
      <c r="A211" t="s">
        <v>27</v>
      </c>
      <c r="B211">
        <v>156</v>
      </c>
      <c r="C211" t="s">
        <v>496</v>
      </c>
      <c r="D211" s="2">
        <v>38195</v>
      </c>
      <c r="E211" t="s">
        <v>50</v>
      </c>
      <c r="F211" s="3">
        <v>0.48333333333333334</v>
      </c>
      <c r="G211" s="3">
        <v>0.49375000000000002</v>
      </c>
      <c r="H211">
        <v>17.5</v>
      </c>
      <c r="I211">
        <v>47</v>
      </c>
      <c r="J211">
        <v>3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25</v>
      </c>
      <c r="S211">
        <v>0</v>
      </c>
      <c r="T211">
        <v>0</v>
      </c>
      <c r="U211">
        <v>0</v>
      </c>
      <c r="V211">
        <v>40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10</v>
      </c>
      <c r="AE211">
        <v>0</v>
      </c>
      <c r="AF211">
        <v>0</v>
      </c>
      <c r="AG211">
        <v>0</v>
      </c>
      <c r="AH211">
        <v>25</v>
      </c>
      <c r="AI211">
        <f t="shared" si="3"/>
        <v>100</v>
      </c>
      <c r="AJ211" t="s">
        <v>21</v>
      </c>
      <c r="AK211">
        <f>0.7*AD211</f>
        <v>7</v>
      </c>
    </row>
    <row r="212" spans="1:37" x14ac:dyDescent="0.35">
      <c r="A212" t="s">
        <v>27</v>
      </c>
      <c r="B212">
        <v>162</v>
      </c>
      <c r="C212" t="s">
        <v>497</v>
      </c>
      <c r="D212" s="2">
        <v>38197</v>
      </c>
      <c r="E212">
        <v>0</v>
      </c>
      <c r="F212" s="3">
        <v>0.6118055555555556</v>
      </c>
      <c r="G212" s="3">
        <v>0.62222222222222223</v>
      </c>
      <c r="H212">
        <v>21.2</v>
      </c>
      <c r="I212">
        <v>61</v>
      </c>
      <c r="J212">
        <v>5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80</v>
      </c>
      <c r="W212">
        <v>0</v>
      </c>
      <c r="X212">
        <v>0</v>
      </c>
      <c r="Y212">
        <v>20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f t="shared" si="3"/>
        <v>100</v>
      </c>
      <c r="AJ212" s="5" t="s">
        <v>90</v>
      </c>
      <c r="AK212">
        <f>0.69*0.3*Y212</f>
        <v>4.1399999999999997</v>
      </c>
    </row>
    <row r="213" spans="1:37" x14ac:dyDescent="0.35">
      <c r="A213" t="s">
        <v>27</v>
      </c>
      <c r="B213">
        <v>161</v>
      </c>
      <c r="C213" t="s">
        <v>498</v>
      </c>
      <c r="D213" s="2">
        <v>38197</v>
      </c>
      <c r="E213" t="s">
        <v>45</v>
      </c>
      <c r="F213" s="3">
        <v>0.58611111111111114</v>
      </c>
      <c r="G213" s="3">
        <v>0.61736111111111114</v>
      </c>
      <c r="H213">
        <v>21.2</v>
      </c>
      <c r="I213">
        <v>67</v>
      </c>
      <c r="J213">
        <v>5</v>
      </c>
      <c r="K213">
        <v>1</v>
      </c>
      <c r="L213">
        <v>43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50</v>
      </c>
      <c r="V213">
        <v>7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 t="shared" si="3"/>
        <v>100</v>
      </c>
      <c r="AJ213" t="s">
        <v>16</v>
      </c>
      <c r="AK213">
        <f>0.17*U213</f>
        <v>8.5</v>
      </c>
    </row>
    <row r="214" spans="1:37" x14ac:dyDescent="0.35">
      <c r="A214" t="s">
        <v>27</v>
      </c>
      <c r="B214">
        <v>167</v>
      </c>
      <c r="C214" t="s">
        <v>499</v>
      </c>
      <c r="D214" s="2">
        <v>38198</v>
      </c>
      <c r="E214" t="s">
        <v>48</v>
      </c>
      <c r="F214" s="3">
        <v>0.4993055555555555</v>
      </c>
      <c r="G214" s="3">
        <v>0.50972222222222219</v>
      </c>
      <c r="H214">
        <v>25.4</v>
      </c>
      <c r="I214">
        <v>44</v>
      </c>
      <c r="J214">
        <v>2</v>
      </c>
      <c r="K214">
        <v>2</v>
      </c>
      <c r="L214">
        <v>20</v>
      </c>
      <c r="M214">
        <v>20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f t="shared" ref="AI214:AI277" si="4">SUM(L214:AH214)</f>
        <v>100</v>
      </c>
      <c r="AJ214" t="s">
        <v>14</v>
      </c>
      <c r="AK214">
        <f>0.3*S214</f>
        <v>18</v>
      </c>
    </row>
    <row r="215" spans="1:37" x14ac:dyDescent="0.35">
      <c r="A215" t="s">
        <v>27</v>
      </c>
      <c r="B215">
        <v>165</v>
      </c>
      <c r="C215" t="s">
        <v>500</v>
      </c>
      <c r="D215" s="2">
        <v>38198</v>
      </c>
      <c r="E215">
        <v>0</v>
      </c>
      <c r="F215" s="3">
        <v>0.4458333333333333</v>
      </c>
      <c r="G215" s="3">
        <v>0.45624999999999999</v>
      </c>
      <c r="H215">
        <v>23.7</v>
      </c>
      <c r="I215">
        <v>43</v>
      </c>
      <c r="J215">
        <v>1</v>
      </c>
      <c r="K215">
        <v>0</v>
      </c>
      <c r="L215">
        <v>0</v>
      </c>
      <c r="M215">
        <v>30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30</v>
      </c>
      <c r="U215">
        <v>0</v>
      </c>
      <c r="V215">
        <v>10</v>
      </c>
      <c r="W215">
        <v>30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f t="shared" si="4"/>
        <v>100</v>
      </c>
      <c r="AJ215" t="s">
        <v>15</v>
      </c>
      <c r="AK215">
        <f>0.15*T215</f>
        <v>4.5</v>
      </c>
    </row>
    <row r="216" spans="1:37" x14ac:dyDescent="0.35">
      <c r="A216" t="s">
        <v>27</v>
      </c>
      <c r="B216">
        <v>164</v>
      </c>
      <c r="C216" t="s">
        <v>501</v>
      </c>
      <c r="D216" s="2">
        <v>38198</v>
      </c>
      <c r="E216">
        <v>0</v>
      </c>
      <c r="F216" s="3">
        <v>0.42291666666666666</v>
      </c>
      <c r="G216" s="3">
        <v>0.43333333333333335</v>
      </c>
      <c r="H216">
        <v>23.4</v>
      </c>
      <c r="I216">
        <v>61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51</v>
      </c>
      <c r="W216">
        <v>0</v>
      </c>
      <c r="X216">
        <v>0</v>
      </c>
      <c r="Y216">
        <v>45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3</v>
      </c>
      <c r="AI216">
        <f t="shared" si="4"/>
        <v>100</v>
      </c>
      <c r="AJ216" t="s">
        <v>18</v>
      </c>
      <c r="AK216">
        <f>0.25*Y216</f>
        <v>11.25</v>
      </c>
    </row>
    <row r="217" spans="1:37" x14ac:dyDescent="0.35">
      <c r="A217" t="s">
        <v>27</v>
      </c>
      <c r="B217">
        <v>163</v>
      </c>
      <c r="C217" t="s">
        <v>502</v>
      </c>
      <c r="D217" s="2">
        <v>38198</v>
      </c>
      <c r="E217">
        <v>0</v>
      </c>
      <c r="F217" s="3">
        <v>0.38680555555555557</v>
      </c>
      <c r="G217" s="3">
        <v>0.3972222222222222</v>
      </c>
      <c r="H217">
        <v>20.7</v>
      </c>
      <c r="I217">
        <v>65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12</v>
      </c>
      <c r="T217">
        <v>0</v>
      </c>
      <c r="U217">
        <v>0</v>
      </c>
      <c r="V217">
        <v>75</v>
      </c>
      <c r="W217">
        <v>10</v>
      </c>
      <c r="X217">
        <v>0</v>
      </c>
      <c r="Y217">
        <v>3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f t="shared" si="4"/>
        <v>100</v>
      </c>
      <c r="AJ217" t="s">
        <v>17</v>
      </c>
      <c r="AK217">
        <f>0.16*Y217</f>
        <v>0.48</v>
      </c>
    </row>
    <row r="218" spans="1:37" x14ac:dyDescent="0.35">
      <c r="A218" t="s">
        <v>27</v>
      </c>
      <c r="B218">
        <v>166</v>
      </c>
      <c r="C218" t="s">
        <v>503</v>
      </c>
      <c r="D218" s="2">
        <v>38198</v>
      </c>
      <c r="E218">
        <v>0</v>
      </c>
      <c r="F218" s="3">
        <v>0.47499999999999998</v>
      </c>
      <c r="G218" s="3">
        <v>0.48541666666666666</v>
      </c>
      <c r="H218">
        <v>25.3</v>
      </c>
      <c r="I218">
        <v>45</v>
      </c>
      <c r="J218">
        <v>1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10</v>
      </c>
      <c r="T218">
        <v>0</v>
      </c>
      <c r="U218">
        <v>1</v>
      </c>
      <c r="V218">
        <v>49</v>
      </c>
      <c r="W218">
        <v>0</v>
      </c>
      <c r="X218">
        <v>0</v>
      </c>
      <c r="Y218">
        <v>0</v>
      </c>
      <c r="Z218">
        <v>0</v>
      </c>
      <c r="AA218">
        <v>30</v>
      </c>
      <c r="AB218">
        <v>0</v>
      </c>
      <c r="AC218">
        <v>0</v>
      </c>
      <c r="AD218">
        <v>10</v>
      </c>
      <c r="AE218">
        <v>0</v>
      </c>
      <c r="AF218">
        <v>0</v>
      </c>
      <c r="AG218">
        <v>0</v>
      </c>
      <c r="AH218">
        <v>0</v>
      </c>
      <c r="AI218">
        <f t="shared" si="4"/>
        <v>100</v>
      </c>
      <c r="AJ218" t="s">
        <v>21</v>
      </c>
      <c r="AK218">
        <f>0.85*AD218</f>
        <v>8.5</v>
      </c>
    </row>
    <row r="219" spans="1:37" x14ac:dyDescent="0.35">
      <c r="A219" t="s">
        <v>27</v>
      </c>
      <c r="B219">
        <v>172</v>
      </c>
      <c r="C219" t="s">
        <v>504</v>
      </c>
      <c r="D219" s="2">
        <v>38201</v>
      </c>
      <c r="E219" t="s">
        <v>47</v>
      </c>
      <c r="F219" s="3">
        <v>0.48680555555555555</v>
      </c>
      <c r="G219" s="3">
        <v>0.49722222222222223</v>
      </c>
      <c r="H219">
        <v>24.4</v>
      </c>
      <c r="I219">
        <v>48</v>
      </c>
      <c r="J219">
        <v>2</v>
      </c>
      <c r="K219">
        <v>1</v>
      </c>
      <c r="L219">
        <v>45</v>
      </c>
      <c r="M219">
        <v>10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45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 t="shared" si="4"/>
        <v>100</v>
      </c>
      <c r="AJ219" t="s">
        <v>14</v>
      </c>
      <c r="AK219">
        <f>0.75*S219</f>
        <v>33.75</v>
      </c>
    </row>
    <row r="220" spans="1:37" x14ac:dyDescent="0.35">
      <c r="A220" t="s">
        <v>27</v>
      </c>
      <c r="B220">
        <v>170</v>
      </c>
      <c r="C220" t="s">
        <v>505</v>
      </c>
      <c r="D220" s="2">
        <v>38201</v>
      </c>
      <c r="E220" t="s">
        <v>50</v>
      </c>
      <c r="F220" s="3">
        <v>0.44444444444444442</v>
      </c>
      <c r="G220" s="3">
        <v>0.4548611111111111</v>
      </c>
      <c r="H220">
        <v>24</v>
      </c>
      <c r="I220">
        <v>59</v>
      </c>
      <c r="J220">
        <v>1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52</v>
      </c>
      <c r="W220">
        <v>0</v>
      </c>
      <c r="X220">
        <v>0</v>
      </c>
      <c r="Y220">
        <v>0</v>
      </c>
      <c r="Z220">
        <v>25</v>
      </c>
      <c r="AA220">
        <v>20</v>
      </c>
      <c r="AB220">
        <v>0</v>
      </c>
      <c r="AC220">
        <v>0</v>
      </c>
      <c r="AD220">
        <v>0</v>
      </c>
      <c r="AE220">
        <v>3</v>
      </c>
      <c r="AF220">
        <v>0</v>
      </c>
      <c r="AG220">
        <v>0</v>
      </c>
      <c r="AH220">
        <v>0</v>
      </c>
      <c r="AI220">
        <f t="shared" si="4"/>
        <v>100</v>
      </c>
      <c r="AJ220" t="s">
        <v>89</v>
      </c>
      <c r="AK220">
        <f>0.25*Z220</f>
        <v>6.25</v>
      </c>
    </row>
    <row r="221" spans="1:37" x14ac:dyDescent="0.35">
      <c r="A221" t="s">
        <v>27</v>
      </c>
      <c r="B221">
        <v>168</v>
      </c>
      <c r="C221" t="s">
        <v>506</v>
      </c>
      <c r="D221" s="2">
        <v>38201</v>
      </c>
      <c r="E221">
        <v>0</v>
      </c>
      <c r="F221" s="3">
        <v>0.4145833333333333</v>
      </c>
      <c r="G221" s="3">
        <v>0.42499999999999999</v>
      </c>
      <c r="H221">
        <v>23</v>
      </c>
      <c r="I221">
        <v>70</v>
      </c>
      <c r="J221">
        <v>0</v>
      </c>
      <c r="K221">
        <v>1</v>
      </c>
      <c r="L221">
        <v>35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10</v>
      </c>
      <c r="T221">
        <v>25</v>
      </c>
      <c r="U221">
        <v>0</v>
      </c>
      <c r="V221">
        <v>30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f t="shared" si="4"/>
        <v>100</v>
      </c>
      <c r="AJ221" t="s">
        <v>15</v>
      </c>
      <c r="AK221">
        <f>0.25*T221</f>
        <v>6.25</v>
      </c>
    </row>
    <row r="222" spans="1:37" x14ac:dyDescent="0.35">
      <c r="A222" t="s">
        <v>27</v>
      </c>
      <c r="B222">
        <v>174</v>
      </c>
      <c r="C222" t="s">
        <v>507</v>
      </c>
      <c r="D222" s="2">
        <v>38201</v>
      </c>
      <c r="E222">
        <v>0</v>
      </c>
      <c r="F222" s="3">
        <v>0.52152777777777781</v>
      </c>
      <c r="G222" s="3">
        <v>0.53194444444444444</v>
      </c>
      <c r="H222">
        <v>25.8</v>
      </c>
      <c r="I222">
        <v>48</v>
      </c>
      <c r="J222">
        <v>2</v>
      </c>
      <c r="K222">
        <v>1</v>
      </c>
      <c r="L222">
        <v>65</v>
      </c>
      <c r="M222">
        <v>5</v>
      </c>
      <c r="N222">
        <v>0</v>
      </c>
      <c r="O222">
        <v>0</v>
      </c>
      <c r="P222">
        <v>20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f t="shared" si="4"/>
        <v>100</v>
      </c>
      <c r="AJ222" t="s">
        <v>13</v>
      </c>
      <c r="AK222">
        <f>0.26*P222</f>
        <v>5.2</v>
      </c>
    </row>
    <row r="223" spans="1:37" x14ac:dyDescent="0.35">
      <c r="A223" t="s">
        <v>27</v>
      </c>
      <c r="B223">
        <v>171</v>
      </c>
      <c r="C223" t="s">
        <v>508</v>
      </c>
      <c r="D223" s="2">
        <v>38201</v>
      </c>
      <c r="E223">
        <v>0</v>
      </c>
      <c r="F223" s="3">
        <v>0.4604166666666667</v>
      </c>
      <c r="G223" s="3">
        <v>0.47083333333333338</v>
      </c>
      <c r="H223">
        <v>24</v>
      </c>
      <c r="I223">
        <v>61</v>
      </c>
      <c r="J223">
        <v>1</v>
      </c>
      <c r="K223">
        <v>2</v>
      </c>
      <c r="L223">
        <v>0</v>
      </c>
      <c r="M223">
        <v>7</v>
      </c>
      <c r="N223">
        <v>0</v>
      </c>
      <c r="O223">
        <v>0</v>
      </c>
      <c r="P223">
        <v>0</v>
      </c>
      <c r="Q223">
        <v>0</v>
      </c>
      <c r="R223">
        <v>2</v>
      </c>
      <c r="S223">
        <v>0</v>
      </c>
      <c r="T223">
        <v>1</v>
      </c>
      <c r="U223">
        <v>0</v>
      </c>
      <c r="V223">
        <v>59</v>
      </c>
      <c r="W223">
        <v>0</v>
      </c>
      <c r="X223">
        <v>0</v>
      </c>
      <c r="Y223">
        <v>30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f t="shared" si="4"/>
        <v>100</v>
      </c>
      <c r="AJ223" t="s">
        <v>18</v>
      </c>
      <c r="AK223">
        <f>0.3*Y223</f>
        <v>9</v>
      </c>
    </row>
    <row r="224" spans="1:37" x14ac:dyDescent="0.35">
      <c r="A224" t="s">
        <v>27</v>
      </c>
      <c r="B224">
        <v>173</v>
      </c>
      <c r="C224" t="s">
        <v>509</v>
      </c>
      <c r="D224" s="2">
        <v>38201</v>
      </c>
      <c r="E224" t="s">
        <v>53</v>
      </c>
      <c r="F224" s="3">
        <v>0.50486111111111109</v>
      </c>
      <c r="G224" s="3">
        <v>0.51527777777777783</v>
      </c>
      <c r="H224">
        <v>25.8</v>
      </c>
      <c r="I224">
        <v>48</v>
      </c>
      <c r="J224">
        <v>2</v>
      </c>
      <c r="K224">
        <v>1</v>
      </c>
      <c r="L224">
        <v>55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25</v>
      </c>
      <c r="V224">
        <v>20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f t="shared" si="4"/>
        <v>100</v>
      </c>
      <c r="AJ224" t="s">
        <v>16</v>
      </c>
      <c r="AK224">
        <f>0.18*U224</f>
        <v>4.5</v>
      </c>
    </row>
    <row r="225" spans="1:37" x14ac:dyDescent="0.35">
      <c r="A225" t="s">
        <v>27</v>
      </c>
      <c r="B225">
        <v>169</v>
      </c>
      <c r="C225" t="s">
        <v>510</v>
      </c>
      <c r="D225" s="2">
        <v>38201</v>
      </c>
      <c r="E225">
        <v>0</v>
      </c>
      <c r="F225" s="3">
        <v>0.4291666666666667</v>
      </c>
      <c r="G225" s="3">
        <v>0.43958333333333338</v>
      </c>
      <c r="H225">
        <v>24.6</v>
      </c>
      <c r="I225">
        <v>61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25</v>
      </c>
      <c r="S225">
        <v>0</v>
      </c>
      <c r="T225">
        <v>0</v>
      </c>
      <c r="U225">
        <v>0</v>
      </c>
      <c r="V225">
        <v>70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5</v>
      </c>
      <c r="AE225">
        <v>0</v>
      </c>
      <c r="AF225">
        <v>0</v>
      </c>
      <c r="AG225">
        <v>0</v>
      </c>
      <c r="AH225">
        <v>0</v>
      </c>
      <c r="AI225">
        <f t="shared" si="4"/>
        <v>100</v>
      </c>
      <c r="AJ225" t="s">
        <v>21</v>
      </c>
      <c r="AK225">
        <f>0.7*AD225</f>
        <v>3.5</v>
      </c>
    </row>
    <row r="226" spans="1:37" x14ac:dyDescent="0.35">
      <c r="A226" t="s">
        <v>27</v>
      </c>
      <c r="B226">
        <v>171</v>
      </c>
      <c r="C226" t="s">
        <v>508</v>
      </c>
      <c r="D226" s="2">
        <v>38201</v>
      </c>
      <c r="E226">
        <v>0</v>
      </c>
      <c r="F226" s="3">
        <v>0.4604166666666667</v>
      </c>
      <c r="G226" s="3">
        <v>0.47083333333333338</v>
      </c>
      <c r="H226">
        <v>24</v>
      </c>
      <c r="I226">
        <v>61</v>
      </c>
      <c r="J226">
        <v>1</v>
      </c>
      <c r="K226">
        <v>2</v>
      </c>
      <c r="L226">
        <v>0</v>
      </c>
      <c r="M226">
        <v>7</v>
      </c>
      <c r="N226">
        <v>0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1</v>
      </c>
      <c r="U226">
        <v>0</v>
      </c>
      <c r="V226">
        <v>59</v>
      </c>
      <c r="W226">
        <v>0</v>
      </c>
      <c r="X226">
        <v>0</v>
      </c>
      <c r="Y226">
        <v>30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f t="shared" si="4"/>
        <v>100</v>
      </c>
      <c r="AJ226" t="s">
        <v>21</v>
      </c>
      <c r="AK226">
        <f>0.75*AD226</f>
        <v>0.75</v>
      </c>
    </row>
    <row r="227" spans="1:37" x14ac:dyDescent="0.35">
      <c r="A227" t="s">
        <v>27</v>
      </c>
      <c r="B227">
        <v>177</v>
      </c>
      <c r="C227" t="s">
        <v>511</v>
      </c>
      <c r="D227" s="2">
        <v>38202</v>
      </c>
      <c r="E227" t="s">
        <v>47</v>
      </c>
      <c r="F227" s="3">
        <v>0.56319444444444444</v>
      </c>
      <c r="G227" s="3">
        <v>0.57361111111111118</v>
      </c>
      <c r="H227">
        <v>24</v>
      </c>
      <c r="I227">
        <v>39</v>
      </c>
      <c r="J227">
        <v>2</v>
      </c>
      <c r="K227">
        <v>2</v>
      </c>
      <c r="L227">
        <v>27</v>
      </c>
      <c r="M227">
        <v>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f t="shared" si="4"/>
        <v>100</v>
      </c>
      <c r="AJ227" t="s">
        <v>14</v>
      </c>
      <c r="AK227">
        <f>0.4*S227</f>
        <v>28</v>
      </c>
    </row>
    <row r="228" spans="1:37" x14ac:dyDescent="0.35">
      <c r="A228" t="s">
        <v>27</v>
      </c>
      <c r="B228">
        <v>175</v>
      </c>
      <c r="C228" t="s">
        <v>512</v>
      </c>
      <c r="D228" s="2">
        <v>38202</v>
      </c>
      <c r="E228" t="s">
        <v>50</v>
      </c>
      <c r="F228" s="3">
        <v>0.49375000000000002</v>
      </c>
      <c r="G228" s="3">
        <v>0.50416666666666665</v>
      </c>
      <c r="H228">
        <v>24.2</v>
      </c>
      <c r="I228">
        <v>74</v>
      </c>
      <c r="J228">
        <v>2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45</v>
      </c>
      <c r="W228">
        <v>0</v>
      </c>
      <c r="X228">
        <v>0</v>
      </c>
      <c r="Y228">
        <v>5</v>
      </c>
      <c r="Z228">
        <v>50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f t="shared" si="4"/>
        <v>100</v>
      </c>
      <c r="AJ228" t="s">
        <v>89</v>
      </c>
      <c r="AK228">
        <f>0.12*Z228</f>
        <v>6</v>
      </c>
    </row>
    <row r="229" spans="1:37" x14ac:dyDescent="0.35">
      <c r="A229" t="s">
        <v>27</v>
      </c>
      <c r="B229">
        <v>178</v>
      </c>
      <c r="C229" t="s">
        <v>513</v>
      </c>
      <c r="D229" s="2">
        <v>38202</v>
      </c>
      <c r="E229">
        <v>0</v>
      </c>
      <c r="F229" s="3">
        <v>0.59305555555555556</v>
      </c>
      <c r="G229" s="3">
        <v>0.60347222222222219</v>
      </c>
      <c r="H229">
        <v>23.1</v>
      </c>
      <c r="I229">
        <v>67</v>
      </c>
      <c r="J229">
        <v>3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3</v>
      </c>
      <c r="V229">
        <v>69</v>
      </c>
      <c r="W229">
        <v>0</v>
      </c>
      <c r="X229">
        <v>0</v>
      </c>
      <c r="Y229">
        <v>25</v>
      </c>
      <c r="Z229">
        <v>0</v>
      </c>
      <c r="AA229">
        <v>3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 t="shared" si="4"/>
        <v>100</v>
      </c>
      <c r="AJ229" t="s">
        <v>90</v>
      </c>
      <c r="AK229">
        <f>0.5*Y229</f>
        <v>12.5</v>
      </c>
    </row>
    <row r="230" spans="1:37" x14ac:dyDescent="0.35">
      <c r="A230" t="s">
        <v>27</v>
      </c>
      <c r="B230">
        <v>178</v>
      </c>
      <c r="C230" t="s">
        <v>513</v>
      </c>
      <c r="D230" s="2">
        <v>38202</v>
      </c>
      <c r="E230">
        <v>0</v>
      </c>
      <c r="F230" s="3">
        <v>0.59305555555555556</v>
      </c>
      <c r="G230" s="3">
        <v>0.60347222222222219</v>
      </c>
      <c r="H230">
        <v>23.1</v>
      </c>
      <c r="I230">
        <v>67</v>
      </c>
      <c r="J230">
        <v>3</v>
      </c>
      <c r="K230">
        <v>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3</v>
      </c>
      <c r="V230">
        <v>69</v>
      </c>
      <c r="W230">
        <v>0</v>
      </c>
      <c r="X230">
        <v>0</v>
      </c>
      <c r="Y230">
        <v>25</v>
      </c>
      <c r="Z230">
        <v>0</v>
      </c>
      <c r="AA230">
        <v>3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f t="shared" si="4"/>
        <v>100</v>
      </c>
      <c r="AJ230" t="s">
        <v>16</v>
      </c>
      <c r="AK230">
        <f>0.05*U230</f>
        <v>0.15000000000000002</v>
      </c>
    </row>
    <row r="231" spans="1:37" x14ac:dyDescent="0.35">
      <c r="A231" t="s">
        <v>27</v>
      </c>
      <c r="B231">
        <v>179</v>
      </c>
      <c r="C231" t="s">
        <v>514</v>
      </c>
      <c r="D231" s="2">
        <v>38202</v>
      </c>
      <c r="E231">
        <v>0</v>
      </c>
      <c r="F231" s="3">
        <v>0.63055555555555554</v>
      </c>
      <c r="G231" s="3">
        <v>0.64097222222222217</v>
      </c>
      <c r="H231">
        <v>25.5</v>
      </c>
      <c r="I231">
        <v>55</v>
      </c>
      <c r="J231">
        <v>3</v>
      </c>
      <c r="K231">
        <v>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25</v>
      </c>
      <c r="S231">
        <v>0</v>
      </c>
      <c r="T231">
        <v>0</v>
      </c>
      <c r="U231">
        <v>0</v>
      </c>
      <c r="V231">
        <v>70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5</v>
      </c>
      <c r="AE231">
        <v>0</v>
      </c>
      <c r="AF231">
        <v>0</v>
      </c>
      <c r="AG231">
        <v>0</v>
      </c>
      <c r="AH231">
        <v>0</v>
      </c>
      <c r="AI231">
        <f t="shared" si="4"/>
        <v>100</v>
      </c>
      <c r="AJ231" t="s">
        <v>21</v>
      </c>
      <c r="AK231">
        <f>0.75*AD231</f>
        <v>3.75</v>
      </c>
    </row>
    <row r="232" spans="1:37" x14ac:dyDescent="0.35">
      <c r="A232" t="s">
        <v>27</v>
      </c>
      <c r="B232">
        <v>176</v>
      </c>
      <c r="C232" t="s">
        <v>515</v>
      </c>
      <c r="D232" s="2">
        <v>38202</v>
      </c>
      <c r="E232" t="s">
        <v>40</v>
      </c>
      <c r="F232" s="3">
        <v>0.51458333333333328</v>
      </c>
      <c r="G232" s="3">
        <v>0.52500000000000002</v>
      </c>
      <c r="H232">
        <v>24.4</v>
      </c>
      <c r="I232">
        <v>63</v>
      </c>
      <c r="J232">
        <v>2</v>
      </c>
      <c r="K232">
        <v>2</v>
      </c>
      <c r="L232">
        <v>0</v>
      </c>
      <c r="M232">
        <v>65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35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4"/>
        <v>100</v>
      </c>
      <c r="AJ232" t="s">
        <v>10</v>
      </c>
      <c r="AK232">
        <f>0.01*M232</f>
        <v>0.65</v>
      </c>
    </row>
    <row r="233" spans="1:37" x14ac:dyDescent="0.35">
      <c r="A233" t="s">
        <v>27</v>
      </c>
      <c r="B233">
        <v>183</v>
      </c>
      <c r="C233" t="s">
        <v>516</v>
      </c>
      <c r="D233" s="2">
        <v>38204</v>
      </c>
      <c r="E233">
        <v>0</v>
      </c>
      <c r="F233" s="3">
        <v>0.62638888888888888</v>
      </c>
      <c r="G233" s="3">
        <v>0.63680555555555551</v>
      </c>
      <c r="H233">
        <v>29</v>
      </c>
      <c r="I233">
        <v>36</v>
      </c>
      <c r="J233">
        <v>1</v>
      </c>
      <c r="K233">
        <v>1</v>
      </c>
      <c r="L233">
        <v>66</v>
      </c>
      <c r="M233">
        <v>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 t="shared" si="4"/>
        <v>100</v>
      </c>
      <c r="AJ233" t="s">
        <v>14</v>
      </c>
      <c r="AK233">
        <f>0.7*S233</f>
        <v>21</v>
      </c>
    </row>
    <row r="234" spans="1:37" x14ac:dyDescent="0.35">
      <c r="A234" t="s">
        <v>27</v>
      </c>
      <c r="B234">
        <v>181</v>
      </c>
      <c r="C234" t="s">
        <v>517</v>
      </c>
      <c r="D234" s="2">
        <v>38204</v>
      </c>
      <c r="E234">
        <v>0</v>
      </c>
      <c r="F234" s="3">
        <v>0.59444444444444444</v>
      </c>
      <c r="G234" s="3">
        <v>0.60486111111111118</v>
      </c>
      <c r="H234">
        <v>28</v>
      </c>
      <c r="I234">
        <v>60</v>
      </c>
      <c r="J234">
        <v>1</v>
      </c>
      <c r="K234">
        <v>2</v>
      </c>
      <c r="L234">
        <v>0</v>
      </c>
      <c r="M234">
        <v>8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58</v>
      </c>
      <c r="W234">
        <v>0</v>
      </c>
      <c r="X234">
        <v>0</v>
      </c>
      <c r="Y234">
        <v>25</v>
      </c>
      <c r="Z234">
        <v>1</v>
      </c>
      <c r="AA234">
        <v>0</v>
      </c>
      <c r="AB234">
        <v>6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f t="shared" si="4"/>
        <v>100</v>
      </c>
      <c r="AJ234" t="s">
        <v>89</v>
      </c>
      <c r="AK234">
        <f>4/11*Z234</f>
        <v>0.36363636363636365</v>
      </c>
    </row>
    <row r="235" spans="1:37" x14ac:dyDescent="0.35">
      <c r="A235" t="s">
        <v>27</v>
      </c>
      <c r="B235">
        <v>184</v>
      </c>
      <c r="C235" t="s">
        <v>518</v>
      </c>
      <c r="D235" s="2">
        <v>38204</v>
      </c>
      <c r="E235" t="s">
        <v>48</v>
      </c>
      <c r="F235" s="3">
        <v>0.65</v>
      </c>
      <c r="G235" s="3">
        <v>0.66041666666666665</v>
      </c>
      <c r="H235">
        <v>29</v>
      </c>
      <c r="I235">
        <v>36</v>
      </c>
      <c r="J235">
        <v>1</v>
      </c>
      <c r="K235">
        <v>1</v>
      </c>
      <c r="L235">
        <v>35</v>
      </c>
      <c r="M235">
        <v>5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30</v>
      </c>
      <c r="W235">
        <v>0</v>
      </c>
      <c r="X235">
        <v>0</v>
      </c>
      <c r="Y235">
        <v>0</v>
      </c>
      <c r="Z235">
        <v>10</v>
      </c>
      <c r="AA235">
        <v>20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f t="shared" si="4"/>
        <v>100</v>
      </c>
      <c r="AJ235" t="s">
        <v>89</v>
      </c>
      <c r="AK235">
        <f>0.2*Z235</f>
        <v>2</v>
      </c>
    </row>
    <row r="236" spans="1:37" x14ac:dyDescent="0.35">
      <c r="A236" t="s">
        <v>27</v>
      </c>
      <c r="B236">
        <v>181</v>
      </c>
      <c r="C236" t="s">
        <v>517</v>
      </c>
      <c r="D236" s="2">
        <v>38204</v>
      </c>
      <c r="E236">
        <v>0</v>
      </c>
      <c r="F236" s="3">
        <v>0.59444444444444444</v>
      </c>
      <c r="G236" s="3">
        <v>0.60486111111111118</v>
      </c>
      <c r="H236">
        <v>28</v>
      </c>
      <c r="I236">
        <v>60</v>
      </c>
      <c r="J236">
        <v>1</v>
      </c>
      <c r="K236">
        <v>2</v>
      </c>
      <c r="L236">
        <v>0</v>
      </c>
      <c r="M236">
        <v>8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58</v>
      </c>
      <c r="W236">
        <v>0</v>
      </c>
      <c r="X236">
        <v>0</v>
      </c>
      <c r="Y236">
        <v>25</v>
      </c>
      <c r="Z236">
        <v>1</v>
      </c>
      <c r="AA236">
        <v>0</v>
      </c>
      <c r="AB236">
        <v>6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f t="shared" si="4"/>
        <v>100</v>
      </c>
      <c r="AJ236" t="s">
        <v>18</v>
      </c>
      <c r="AK236">
        <f>0.38*Y236</f>
        <v>9.5</v>
      </c>
    </row>
    <row r="237" spans="1:37" x14ac:dyDescent="0.35">
      <c r="A237" t="s">
        <v>27</v>
      </c>
      <c r="B237">
        <v>180</v>
      </c>
      <c r="C237" t="s">
        <v>519</v>
      </c>
      <c r="D237" s="2">
        <v>38204</v>
      </c>
      <c r="E237" t="s">
        <v>45</v>
      </c>
      <c r="F237" s="3">
        <v>0.56874999999999998</v>
      </c>
      <c r="G237" s="3">
        <v>0.57916666666666672</v>
      </c>
      <c r="H237">
        <v>27.9</v>
      </c>
      <c r="I237">
        <v>41</v>
      </c>
      <c r="J237">
        <v>1</v>
      </c>
      <c r="K237">
        <v>2</v>
      </c>
      <c r="L237">
        <v>50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45</v>
      </c>
      <c r="V237">
        <v>3</v>
      </c>
      <c r="W237">
        <v>0</v>
      </c>
      <c r="X237">
        <v>0</v>
      </c>
      <c r="Y237">
        <v>2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 t="shared" si="4"/>
        <v>100</v>
      </c>
      <c r="AJ237" t="s">
        <v>16</v>
      </c>
      <c r="AK237">
        <f>0.18*U237</f>
        <v>8.1</v>
      </c>
    </row>
    <row r="238" spans="1:37" x14ac:dyDescent="0.35">
      <c r="A238" t="s">
        <v>27</v>
      </c>
      <c r="B238">
        <v>182</v>
      </c>
      <c r="C238" t="s">
        <v>520</v>
      </c>
      <c r="D238" s="2">
        <v>38204</v>
      </c>
      <c r="E238" t="s">
        <v>45</v>
      </c>
      <c r="F238" s="3">
        <v>0.61111111111111105</v>
      </c>
      <c r="G238" s="3">
        <v>0.62152777777777779</v>
      </c>
      <c r="H238">
        <v>28.4</v>
      </c>
      <c r="I238">
        <v>66</v>
      </c>
      <c r="J238">
        <v>1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7</v>
      </c>
      <c r="V238">
        <v>83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4</v>
      </c>
      <c r="AE238">
        <v>0</v>
      </c>
      <c r="AF238">
        <v>0</v>
      </c>
      <c r="AG238">
        <v>6</v>
      </c>
      <c r="AH238">
        <v>0</v>
      </c>
      <c r="AI238">
        <f t="shared" si="4"/>
        <v>100</v>
      </c>
      <c r="AJ238" t="s">
        <v>16</v>
      </c>
      <c r="AK238">
        <f>0.1*U238</f>
        <v>0.70000000000000007</v>
      </c>
    </row>
    <row r="239" spans="1:37" x14ac:dyDescent="0.35">
      <c r="A239" t="s">
        <v>27</v>
      </c>
      <c r="B239">
        <v>181</v>
      </c>
      <c r="C239" t="s">
        <v>517</v>
      </c>
      <c r="D239" s="2">
        <v>38204</v>
      </c>
      <c r="E239">
        <v>0</v>
      </c>
      <c r="F239" s="3">
        <v>0.59444444444444444</v>
      </c>
      <c r="G239" s="3">
        <v>0.60486111111111118</v>
      </c>
      <c r="H239">
        <v>28</v>
      </c>
      <c r="I239">
        <v>60</v>
      </c>
      <c r="J239">
        <v>1</v>
      </c>
      <c r="K239">
        <v>2</v>
      </c>
      <c r="L239">
        <v>0</v>
      </c>
      <c r="M239">
        <v>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58</v>
      </c>
      <c r="W239">
        <v>0</v>
      </c>
      <c r="X239">
        <v>0</v>
      </c>
      <c r="Y239">
        <v>25</v>
      </c>
      <c r="Z239">
        <v>1</v>
      </c>
      <c r="AA239">
        <v>0</v>
      </c>
      <c r="AB239">
        <v>6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0</v>
      </c>
      <c r="AI239">
        <f t="shared" si="4"/>
        <v>100</v>
      </c>
      <c r="AJ239" t="s">
        <v>21</v>
      </c>
      <c r="AK239">
        <f>0.9*AD239</f>
        <v>0.9</v>
      </c>
    </row>
    <row r="240" spans="1:37" x14ac:dyDescent="0.35">
      <c r="A240" t="s">
        <v>27</v>
      </c>
      <c r="B240">
        <v>182</v>
      </c>
      <c r="C240" t="s">
        <v>520</v>
      </c>
      <c r="D240" s="2">
        <v>38204</v>
      </c>
      <c r="E240" t="s">
        <v>45</v>
      </c>
      <c r="F240" s="3">
        <v>0.61111111111111105</v>
      </c>
      <c r="G240" s="3">
        <v>0.62152777777777779</v>
      </c>
      <c r="H240">
        <v>28.4</v>
      </c>
      <c r="I240">
        <v>66</v>
      </c>
      <c r="J240">
        <v>1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7</v>
      </c>
      <c r="V240">
        <v>83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4</v>
      </c>
      <c r="AE240">
        <v>0</v>
      </c>
      <c r="AF240">
        <v>0</v>
      </c>
      <c r="AG240">
        <v>6</v>
      </c>
      <c r="AH240">
        <v>0</v>
      </c>
      <c r="AI240">
        <f t="shared" si="4"/>
        <v>100</v>
      </c>
      <c r="AJ240" t="s">
        <v>21</v>
      </c>
      <c r="AK240">
        <f>0.5*AD240</f>
        <v>2</v>
      </c>
    </row>
    <row r="241" spans="1:37" x14ac:dyDescent="0.35">
      <c r="A241" t="s">
        <v>27</v>
      </c>
      <c r="B241">
        <v>185</v>
      </c>
      <c r="C241" t="s">
        <v>521</v>
      </c>
      <c r="D241" s="2">
        <v>38205</v>
      </c>
      <c r="E241" t="s">
        <v>47</v>
      </c>
      <c r="F241" s="3">
        <v>0.39652777777777781</v>
      </c>
      <c r="G241" s="3">
        <v>0.4069444444444445</v>
      </c>
      <c r="H241">
        <v>23.6</v>
      </c>
      <c r="I241">
        <v>76</v>
      </c>
      <c r="J241">
        <v>1</v>
      </c>
      <c r="K241">
        <v>1</v>
      </c>
      <c r="L241">
        <v>0</v>
      </c>
      <c r="M241">
        <v>25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30</v>
      </c>
      <c r="T241">
        <v>25</v>
      </c>
      <c r="U241">
        <v>0</v>
      </c>
      <c r="V241">
        <v>20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f t="shared" si="4"/>
        <v>100</v>
      </c>
      <c r="AJ241" t="s">
        <v>14</v>
      </c>
      <c r="AK241">
        <f>0.35*S241</f>
        <v>10.5</v>
      </c>
    </row>
    <row r="242" spans="1:37" x14ac:dyDescent="0.35">
      <c r="A242" t="s">
        <v>27</v>
      </c>
      <c r="B242">
        <v>189</v>
      </c>
      <c r="C242" t="s">
        <v>522</v>
      </c>
      <c r="D242" s="2">
        <v>38205</v>
      </c>
      <c r="E242" t="s">
        <v>53</v>
      </c>
      <c r="F242" s="3">
        <v>0.50069444444444444</v>
      </c>
      <c r="G242" s="3">
        <v>0.51111111111111118</v>
      </c>
      <c r="H242">
        <v>27.1</v>
      </c>
      <c r="I242">
        <v>57</v>
      </c>
      <c r="J242">
        <v>0</v>
      </c>
      <c r="K242">
        <v>2</v>
      </c>
      <c r="L242">
        <v>0</v>
      </c>
      <c r="M242">
        <v>80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10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f t="shared" si="4"/>
        <v>100</v>
      </c>
      <c r="AJ242" t="s">
        <v>14</v>
      </c>
      <c r="AK242">
        <f>0.02*S242</f>
        <v>0.2</v>
      </c>
    </row>
    <row r="243" spans="1:37" x14ac:dyDescent="0.35">
      <c r="A243" t="s">
        <v>27</v>
      </c>
      <c r="B243">
        <v>187</v>
      </c>
      <c r="C243" t="s">
        <v>523</v>
      </c>
      <c r="D243" s="2">
        <v>38205</v>
      </c>
      <c r="E243" t="s">
        <v>50</v>
      </c>
      <c r="F243" s="3">
        <v>0.44930555555555557</v>
      </c>
      <c r="G243" s="3">
        <v>0.4597222222222222</v>
      </c>
      <c r="H243">
        <v>24.6</v>
      </c>
      <c r="I243">
        <v>68</v>
      </c>
      <c r="J243">
        <v>1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52</v>
      </c>
      <c r="W243">
        <v>0</v>
      </c>
      <c r="X243">
        <v>0</v>
      </c>
      <c r="Y243">
        <v>0</v>
      </c>
      <c r="Z243">
        <v>25</v>
      </c>
      <c r="AA243">
        <v>20</v>
      </c>
      <c r="AB243">
        <v>0</v>
      </c>
      <c r="AC243">
        <v>0</v>
      </c>
      <c r="AD243">
        <v>0</v>
      </c>
      <c r="AE243">
        <v>3</v>
      </c>
      <c r="AF243">
        <v>0</v>
      </c>
      <c r="AG243">
        <v>0</v>
      </c>
      <c r="AH243">
        <v>0</v>
      </c>
      <c r="AI243">
        <f t="shared" si="4"/>
        <v>100</v>
      </c>
      <c r="AJ243" t="s">
        <v>89</v>
      </c>
      <c r="AK243">
        <f>0.13*Z243</f>
        <v>3.25</v>
      </c>
    </row>
    <row r="244" spans="1:37" x14ac:dyDescent="0.35">
      <c r="A244" t="s">
        <v>27</v>
      </c>
      <c r="B244">
        <v>190</v>
      </c>
      <c r="C244" t="s">
        <v>524</v>
      </c>
      <c r="D244" s="2">
        <v>38205</v>
      </c>
      <c r="E244" t="s">
        <v>36</v>
      </c>
      <c r="F244" s="3">
        <v>0.52708333333333335</v>
      </c>
      <c r="G244" s="3">
        <v>0.53749999999999998</v>
      </c>
      <c r="H244">
        <v>28.5</v>
      </c>
      <c r="I244">
        <v>49</v>
      </c>
      <c r="J244">
        <v>0</v>
      </c>
      <c r="K244">
        <v>2</v>
      </c>
      <c r="L244">
        <v>40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30</v>
      </c>
      <c r="V244">
        <v>19</v>
      </c>
      <c r="W244">
        <v>0</v>
      </c>
      <c r="X244">
        <v>0</v>
      </c>
      <c r="Y244">
        <v>10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f t="shared" si="4"/>
        <v>100</v>
      </c>
      <c r="AJ244" s="5" t="s">
        <v>90</v>
      </c>
      <c r="AK244">
        <f>0.08*Y244</f>
        <v>0.8</v>
      </c>
    </row>
    <row r="245" spans="1:37" x14ac:dyDescent="0.35">
      <c r="A245" t="s">
        <v>27</v>
      </c>
      <c r="B245">
        <v>185</v>
      </c>
      <c r="C245" t="s">
        <v>521</v>
      </c>
      <c r="D245" s="2">
        <v>38205</v>
      </c>
      <c r="E245" t="s">
        <v>47</v>
      </c>
      <c r="F245" s="3">
        <v>0.39652777777777781</v>
      </c>
      <c r="G245" s="3">
        <v>0.4069444444444445</v>
      </c>
      <c r="H245">
        <v>23.6</v>
      </c>
      <c r="I245">
        <v>76</v>
      </c>
      <c r="J245">
        <v>1</v>
      </c>
      <c r="K245">
        <v>1</v>
      </c>
      <c r="L245">
        <v>0</v>
      </c>
      <c r="M245">
        <v>25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30</v>
      </c>
      <c r="T245">
        <v>25</v>
      </c>
      <c r="U245">
        <v>0</v>
      </c>
      <c r="V245">
        <v>20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 t="shared" si="4"/>
        <v>100</v>
      </c>
      <c r="AJ245" t="s">
        <v>15</v>
      </c>
      <c r="AK245">
        <f>0.05*T245</f>
        <v>1.25</v>
      </c>
    </row>
    <row r="246" spans="1:37" x14ac:dyDescent="0.35">
      <c r="A246" t="s">
        <v>27</v>
      </c>
      <c r="B246">
        <v>188</v>
      </c>
      <c r="C246" t="s">
        <v>525</v>
      </c>
      <c r="D246" s="2">
        <v>38205</v>
      </c>
      <c r="E246">
        <v>0</v>
      </c>
      <c r="F246" s="3">
        <v>0.47499999999999998</v>
      </c>
      <c r="G246" s="3">
        <v>0.48541666666666666</v>
      </c>
      <c r="H246">
        <v>25.8</v>
      </c>
      <c r="I246">
        <v>68</v>
      </c>
      <c r="J246">
        <v>1</v>
      </c>
      <c r="K246">
        <v>1</v>
      </c>
      <c r="L246">
        <v>0</v>
      </c>
      <c r="M246">
        <v>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  <c r="V246">
        <v>62</v>
      </c>
      <c r="W246">
        <v>0</v>
      </c>
      <c r="X246">
        <v>0</v>
      </c>
      <c r="Y246">
        <v>30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f t="shared" si="4"/>
        <v>100</v>
      </c>
      <c r="AJ246" t="s">
        <v>15</v>
      </c>
      <c r="AK246">
        <f>0.05*T246</f>
        <v>0.05</v>
      </c>
    </row>
    <row r="247" spans="1:37" x14ac:dyDescent="0.35">
      <c r="A247" t="s">
        <v>27</v>
      </c>
      <c r="B247">
        <v>188</v>
      </c>
      <c r="C247" t="s">
        <v>525</v>
      </c>
      <c r="D247" s="2">
        <v>38205</v>
      </c>
      <c r="E247">
        <v>0</v>
      </c>
      <c r="F247" s="3">
        <v>0.47499999999999998</v>
      </c>
      <c r="G247" s="3">
        <v>0.48541666666666666</v>
      </c>
      <c r="H247">
        <v>25.8</v>
      </c>
      <c r="I247">
        <v>68</v>
      </c>
      <c r="J247">
        <v>1</v>
      </c>
      <c r="K247">
        <v>1</v>
      </c>
      <c r="L247">
        <v>0</v>
      </c>
      <c r="M247">
        <v>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v>62</v>
      </c>
      <c r="W247">
        <v>0</v>
      </c>
      <c r="X247">
        <v>0</v>
      </c>
      <c r="Y247">
        <v>30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f t="shared" si="4"/>
        <v>100</v>
      </c>
      <c r="AJ247" t="s">
        <v>18</v>
      </c>
      <c r="AK247">
        <f>0.35*Y247</f>
        <v>10.5</v>
      </c>
    </row>
    <row r="248" spans="1:37" x14ac:dyDescent="0.35">
      <c r="A248" t="s">
        <v>27</v>
      </c>
      <c r="B248">
        <v>190</v>
      </c>
      <c r="C248" t="s">
        <v>524</v>
      </c>
      <c r="D248" s="2">
        <v>38205</v>
      </c>
      <c r="E248" t="s">
        <v>36</v>
      </c>
      <c r="F248" s="3">
        <v>0.52708333333333335</v>
      </c>
      <c r="G248" s="3">
        <v>0.53749999999999998</v>
      </c>
      <c r="H248">
        <v>28.5</v>
      </c>
      <c r="I248">
        <v>49</v>
      </c>
      <c r="J248">
        <v>0</v>
      </c>
      <c r="K248">
        <v>2</v>
      </c>
      <c r="L248">
        <v>40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30</v>
      </c>
      <c r="V248">
        <v>19</v>
      </c>
      <c r="W248">
        <v>0</v>
      </c>
      <c r="X248">
        <v>0</v>
      </c>
      <c r="Y248">
        <v>10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f t="shared" si="4"/>
        <v>100</v>
      </c>
      <c r="AJ248" t="s">
        <v>16</v>
      </c>
      <c r="AK248">
        <f>0.15*U248</f>
        <v>4.5</v>
      </c>
    </row>
    <row r="249" spans="1:37" x14ac:dyDescent="0.35">
      <c r="A249" t="s">
        <v>27</v>
      </c>
      <c r="B249">
        <v>186</v>
      </c>
      <c r="C249" t="s">
        <v>526</v>
      </c>
      <c r="D249" s="2">
        <v>38205</v>
      </c>
      <c r="E249">
        <v>0</v>
      </c>
      <c r="F249" s="3">
        <v>0.43611111111111112</v>
      </c>
      <c r="G249" s="3">
        <v>0.4465277777777778</v>
      </c>
      <c r="H249">
        <v>24.4</v>
      </c>
      <c r="I249">
        <v>70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25</v>
      </c>
      <c r="S249">
        <v>0</v>
      </c>
      <c r="T249">
        <v>0</v>
      </c>
      <c r="U249">
        <v>0</v>
      </c>
      <c r="V249">
        <v>70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5</v>
      </c>
      <c r="AE249">
        <v>0</v>
      </c>
      <c r="AF249">
        <v>0</v>
      </c>
      <c r="AG249">
        <v>0</v>
      </c>
      <c r="AH249">
        <v>0</v>
      </c>
      <c r="AI249">
        <f t="shared" si="4"/>
        <v>100</v>
      </c>
      <c r="AJ249" t="s">
        <v>21</v>
      </c>
      <c r="AK249">
        <f>0.9*AD249</f>
        <v>4.5</v>
      </c>
    </row>
    <row r="250" spans="1:37" x14ac:dyDescent="0.35">
      <c r="A250" t="s">
        <v>27</v>
      </c>
      <c r="B250">
        <v>189</v>
      </c>
      <c r="C250" t="s">
        <v>522</v>
      </c>
      <c r="D250" s="2">
        <v>38205</v>
      </c>
      <c r="E250" t="s">
        <v>53</v>
      </c>
      <c r="F250" s="3">
        <v>0.50069444444444444</v>
      </c>
      <c r="G250" s="3">
        <v>0.51111111111111118</v>
      </c>
      <c r="H250">
        <v>27.1</v>
      </c>
      <c r="I250">
        <v>57</v>
      </c>
      <c r="J250">
        <v>0</v>
      </c>
      <c r="K250">
        <v>2</v>
      </c>
      <c r="L250">
        <v>0</v>
      </c>
      <c r="M250">
        <v>80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10</v>
      </c>
      <c r="T250">
        <v>0</v>
      </c>
      <c r="U250">
        <v>0</v>
      </c>
      <c r="V250">
        <v>10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f t="shared" si="4"/>
        <v>100</v>
      </c>
      <c r="AJ250" t="s">
        <v>10</v>
      </c>
      <c r="AK250">
        <f>0.05*M250</f>
        <v>4</v>
      </c>
    </row>
    <row r="251" spans="1:37" x14ac:dyDescent="0.35">
      <c r="A251" t="s">
        <v>27</v>
      </c>
      <c r="B251">
        <v>192</v>
      </c>
      <c r="C251" t="s">
        <v>527</v>
      </c>
      <c r="D251" s="2">
        <v>38210</v>
      </c>
      <c r="E251" t="s">
        <v>50</v>
      </c>
      <c r="F251" s="3">
        <v>0.46250000000000002</v>
      </c>
      <c r="G251" s="3">
        <v>0.47291666666666665</v>
      </c>
      <c r="H251">
        <v>24.3</v>
      </c>
      <c r="I251">
        <v>51</v>
      </c>
      <c r="J251">
        <v>2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4</v>
      </c>
      <c r="S251">
        <v>15</v>
      </c>
      <c r="T251">
        <v>0</v>
      </c>
      <c r="U251">
        <v>0</v>
      </c>
      <c r="V251">
        <v>72</v>
      </c>
      <c r="W251">
        <v>5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0</v>
      </c>
      <c r="AD251">
        <v>3</v>
      </c>
      <c r="AE251">
        <v>0</v>
      </c>
      <c r="AF251">
        <v>0</v>
      </c>
      <c r="AG251">
        <v>0</v>
      </c>
      <c r="AH251">
        <v>0</v>
      </c>
      <c r="AI251">
        <f t="shared" si="4"/>
        <v>100</v>
      </c>
      <c r="AJ251" t="s">
        <v>14</v>
      </c>
      <c r="AK251">
        <f>0.2*S251</f>
        <v>3</v>
      </c>
    </row>
    <row r="252" spans="1:37" x14ac:dyDescent="0.35">
      <c r="A252" t="s">
        <v>27</v>
      </c>
      <c r="B252">
        <v>192</v>
      </c>
      <c r="C252" t="s">
        <v>527</v>
      </c>
      <c r="D252" s="2">
        <v>38210</v>
      </c>
      <c r="E252" t="s">
        <v>50</v>
      </c>
      <c r="F252" s="3">
        <v>0.46250000000000002</v>
      </c>
      <c r="G252" s="3">
        <v>0.47291666666666665</v>
      </c>
      <c r="H252">
        <v>24.3</v>
      </c>
      <c r="I252">
        <v>51</v>
      </c>
      <c r="J252">
        <v>2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4</v>
      </c>
      <c r="S252">
        <v>15</v>
      </c>
      <c r="T252">
        <v>0</v>
      </c>
      <c r="U252">
        <v>0</v>
      </c>
      <c r="V252">
        <v>72</v>
      </c>
      <c r="W252">
        <v>5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3</v>
      </c>
      <c r="AE252">
        <v>0</v>
      </c>
      <c r="AF252">
        <v>0</v>
      </c>
      <c r="AG252">
        <v>0</v>
      </c>
      <c r="AH252">
        <v>0</v>
      </c>
      <c r="AI252">
        <f t="shared" si="4"/>
        <v>100</v>
      </c>
      <c r="AJ252" t="s">
        <v>14</v>
      </c>
      <c r="AK252">
        <f>0.2*S252</f>
        <v>3</v>
      </c>
    </row>
    <row r="253" spans="1:37" x14ac:dyDescent="0.35">
      <c r="A253" t="s">
        <v>27</v>
      </c>
      <c r="B253">
        <v>195</v>
      </c>
      <c r="C253" t="s">
        <v>528</v>
      </c>
      <c r="D253" s="2">
        <v>38210</v>
      </c>
      <c r="E253" t="s">
        <v>50</v>
      </c>
      <c r="F253" s="3">
        <v>0.51736111111111105</v>
      </c>
      <c r="G253" s="3">
        <v>0.52777777777777779</v>
      </c>
      <c r="H253">
        <v>25.7</v>
      </c>
      <c r="I253">
        <v>32</v>
      </c>
      <c r="J253">
        <v>2</v>
      </c>
      <c r="K253">
        <v>2</v>
      </c>
      <c r="L253">
        <v>0</v>
      </c>
      <c r="M253">
        <v>55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25</v>
      </c>
      <c r="T253">
        <v>0</v>
      </c>
      <c r="U253">
        <v>0</v>
      </c>
      <c r="V253">
        <v>20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f t="shared" si="4"/>
        <v>100</v>
      </c>
      <c r="AJ253" t="s">
        <v>14</v>
      </c>
      <c r="AK253">
        <f>0.8*S253</f>
        <v>20</v>
      </c>
    </row>
    <row r="254" spans="1:37" x14ac:dyDescent="0.35">
      <c r="A254" t="s">
        <v>27</v>
      </c>
      <c r="B254">
        <v>191</v>
      </c>
      <c r="C254" t="s">
        <v>529</v>
      </c>
      <c r="D254" s="2">
        <v>38210</v>
      </c>
      <c r="E254" t="s">
        <v>50</v>
      </c>
      <c r="F254" s="3">
        <v>0.44444444444444442</v>
      </c>
      <c r="G254" s="3">
        <v>0.4548611111111111</v>
      </c>
      <c r="H254">
        <v>25.2</v>
      </c>
      <c r="I254">
        <v>52</v>
      </c>
      <c r="J254">
        <v>1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52</v>
      </c>
      <c r="W254">
        <v>0</v>
      </c>
      <c r="X254">
        <v>0</v>
      </c>
      <c r="Y254">
        <v>0</v>
      </c>
      <c r="Z254">
        <v>25</v>
      </c>
      <c r="AA254">
        <v>20</v>
      </c>
      <c r="AB254">
        <v>0</v>
      </c>
      <c r="AC254">
        <v>0</v>
      </c>
      <c r="AD254">
        <v>0</v>
      </c>
      <c r="AE254">
        <v>3</v>
      </c>
      <c r="AF254">
        <v>0</v>
      </c>
      <c r="AG254">
        <v>0</v>
      </c>
      <c r="AH254">
        <v>0</v>
      </c>
      <c r="AI254">
        <f t="shared" si="4"/>
        <v>100</v>
      </c>
      <c r="AJ254" t="s">
        <v>89</v>
      </c>
      <c r="AK254">
        <f>0.04*Z254</f>
        <v>1</v>
      </c>
    </row>
    <row r="255" spans="1:37" x14ac:dyDescent="0.35">
      <c r="A255" t="s">
        <v>27</v>
      </c>
      <c r="B255">
        <v>193</v>
      </c>
      <c r="C255" t="s">
        <v>530</v>
      </c>
      <c r="D255" s="2">
        <v>38210</v>
      </c>
      <c r="E255" t="s">
        <v>36</v>
      </c>
      <c r="F255" s="3">
        <v>0.47916666666666669</v>
      </c>
      <c r="G255" s="3">
        <v>0.48958333333333331</v>
      </c>
      <c r="H255">
        <v>23.2</v>
      </c>
      <c r="I255">
        <v>56</v>
      </c>
      <c r="J255">
        <v>3</v>
      </c>
      <c r="K255">
        <v>2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86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10</v>
      </c>
      <c r="AH255">
        <v>0</v>
      </c>
      <c r="AI255">
        <f t="shared" si="4"/>
        <v>100</v>
      </c>
      <c r="AJ255" t="s">
        <v>18</v>
      </c>
      <c r="AK255">
        <f>0.13*Y255</f>
        <v>0.39</v>
      </c>
    </row>
    <row r="256" spans="1:37" x14ac:dyDescent="0.35">
      <c r="A256" t="s">
        <v>27</v>
      </c>
      <c r="B256">
        <v>192</v>
      </c>
      <c r="C256" t="s">
        <v>527</v>
      </c>
      <c r="D256" s="2">
        <v>38210</v>
      </c>
      <c r="E256" t="s">
        <v>50</v>
      </c>
      <c r="F256" s="3">
        <v>0.46250000000000002</v>
      </c>
      <c r="G256" s="3">
        <v>0.47291666666666665</v>
      </c>
      <c r="H256">
        <v>24.3</v>
      </c>
      <c r="I256">
        <v>51</v>
      </c>
      <c r="J256">
        <v>2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4</v>
      </c>
      <c r="S256">
        <v>15</v>
      </c>
      <c r="T256">
        <v>0</v>
      </c>
      <c r="U256">
        <v>0</v>
      </c>
      <c r="V256">
        <v>72</v>
      </c>
      <c r="W256">
        <v>5</v>
      </c>
      <c r="X256">
        <v>0</v>
      </c>
      <c r="Y256">
        <v>0</v>
      </c>
      <c r="Z256">
        <v>0</v>
      </c>
      <c r="AA256">
        <v>1</v>
      </c>
      <c r="AB256">
        <v>0</v>
      </c>
      <c r="AC256">
        <v>0</v>
      </c>
      <c r="AD256">
        <v>3</v>
      </c>
      <c r="AE256">
        <v>0</v>
      </c>
      <c r="AF256">
        <v>0</v>
      </c>
      <c r="AG256">
        <v>0</v>
      </c>
      <c r="AH256">
        <v>0</v>
      </c>
      <c r="AI256">
        <f t="shared" si="4"/>
        <v>100</v>
      </c>
      <c r="AJ256" t="s">
        <v>21</v>
      </c>
      <c r="AK256">
        <f>0.8*AD256</f>
        <v>2.4000000000000004</v>
      </c>
    </row>
    <row r="257" spans="1:37" x14ac:dyDescent="0.35">
      <c r="A257" t="s">
        <v>27</v>
      </c>
      <c r="B257">
        <v>192</v>
      </c>
      <c r="C257" t="s">
        <v>527</v>
      </c>
      <c r="D257" s="2">
        <v>38210</v>
      </c>
      <c r="E257" t="s">
        <v>50</v>
      </c>
      <c r="F257" s="3">
        <v>0.46250000000000002</v>
      </c>
      <c r="G257" s="3">
        <v>0.47291666666666665</v>
      </c>
      <c r="H257">
        <v>24.3</v>
      </c>
      <c r="I257">
        <v>51</v>
      </c>
      <c r="J257">
        <v>2</v>
      </c>
      <c r="K257">
        <v>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4</v>
      </c>
      <c r="S257">
        <v>15</v>
      </c>
      <c r="T257">
        <v>0</v>
      </c>
      <c r="U257">
        <v>0</v>
      </c>
      <c r="V257">
        <v>72</v>
      </c>
      <c r="W257">
        <v>5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3</v>
      </c>
      <c r="AE257">
        <v>0</v>
      </c>
      <c r="AF257">
        <v>0</v>
      </c>
      <c r="AG257">
        <v>0</v>
      </c>
      <c r="AH257">
        <v>0</v>
      </c>
      <c r="AI257">
        <f t="shared" si="4"/>
        <v>100</v>
      </c>
      <c r="AJ257" t="s">
        <v>21</v>
      </c>
      <c r="AK257">
        <f>0.8*AD257</f>
        <v>2.4000000000000004</v>
      </c>
    </row>
    <row r="258" spans="1:37" x14ac:dyDescent="0.35">
      <c r="A258" t="s">
        <v>27</v>
      </c>
      <c r="B258">
        <v>193</v>
      </c>
      <c r="C258" t="s">
        <v>530</v>
      </c>
      <c r="D258" s="2">
        <v>38210</v>
      </c>
      <c r="E258" t="s">
        <v>36</v>
      </c>
      <c r="F258" s="3">
        <v>0.47916666666666669</v>
      </c>
      <c r="G258" s="3">
        <v>0.48958333333333331</v>
      </c>
      <c r="H258">
        <v>23.2</v>
      </c>
      <c r="I258">
        <v>56</v>
      </c>
      <c r="J258">
        <v>3</v>
      </c>
      <c r="K258">
        <v>2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86</v>
      </c>
      <c r="W258">
        <v>0</v>
      </c>
      <c r="X258">
        <v>0</v>
      </c>
      <c r="Y258">
        <v>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10</v>
      </c>
      <c r="AH258">
        <v>0</v>
      </c>
      <c r="AI258">
        <f t="shared" si="4"/>
        <v>100</v>
      </c>
      <c r="AJ258" t="s">
        <v>91</v>
      </c>
      <c r="AK258">
        <f>0.1*AG258</f>
        <v>1</v>
      </c>
    </row>
    <row r="259" spans="1:37" x14ac:dyDescent="0.35">
      <c r="A259" t="s">
        <v>27</v>
      </c>
      <c r="B259">
        <v>194</v>
      </c>
      <c r="C259" t="s">
        <v>531</v>
      </c>
      <c r="D259" s="2">
        <v>38210</v>
      </c>
      <c r="E259" t="s">
        <v>50</v>
      </c>
      <c r="F259" s="3">
        <v>0.50347222222222221</v>
      </c>
      <c r="G259" s="3">
        <v>0.51388888888888895</v>
      </c>
      <c r="H259">
        <v>22</v>
      </c>
      <c r="I259">
        <v>51</v>
      </c>
      <c r="J259">
        <v>2</v>
      </c>
      <c r="K259">
        <v>2</v>
      </c>
      <c r="L259">
        <v>5</v>
      </c>
      <c r="M259">
        <v>80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15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f t="shared" si="4"/>
        <v>100</v>
      </c>
      <c r="AJ259" t="s">
        <v>10</v>
      </c>
      <c r="AK259">
        <f>0.05*M259</f>
        <v>4</v>
      </c>
    </row>
    <row r="260" spans="1:37" x14ac:dyDescent="0.35">
      <c r="A260" t="s">
        <v>27</v>
      </c>
      <c r="B260">
        <v>195</v>
      </c>
      <c r="C260" t="s">
        <v>528</v>
      </c>
      <c r="D260" s="2">
        <v>38210</v>
      </c>
      <c r="E260" t="s">
        <v>50</v>
      </c>
      <c r="F260" s="3">
        <v>0.51736111111111105</v>
      </c>
      <c r="G260" s="3">
        <v>0.52777777777777779</v>
      </c>
      <c r="H260">
        <v>25.7</v>
      </c>
      <c r="I260">
        <v>32</v>
      </c>
      <c r="J260">
        <v>2</v>
      </c>
      <c r="K260">
        <v>2</v>
      </c>
      <c r="L260">
        <v>0</v>
      </c>
      <c r="M260">
        <v>55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25</v>
      </c>
      <c r="T260">
        <v>0</v>
      </c>
      <c r="U260">
        <v>0</v>
      </c>
      <c r="V260">
        <v>20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f t="shared" si="4"/>
        <v>100</v>
      </c>
      <c r="AJ260" t="s">
        <v>10</v>
      </c>
      <c r="AK260">
        <f>0.005*M260</f>
        <v>0.27500000000000002</v>
      </c>
    </row>
    <row r="261" spans="1:37" x14ac:dyDescent="0.35">
      <c r="A261" t="s">
        <v>27</v>
      </c>
      <c r="B261">
        <v>199</v>
      </c>
      <c r="C261" t="s">
        <v>532</v>
      </c>
      <c r="D261" s="2">
        <v>38211</v>
      </c>
      <c r="E261">
        <v>0</v>
      </c>
      <c r="F261" s="3">
        <v>0.63680555555555551</v>
      </c>
      <c r="G261" s="3">
        <v>0.64722222222222225</v>
      </c>
      <c r="H261">
        <v>26.5</v>
      </c>
      <c r="I261">
        <v>34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70</v>
      </c>
      <c r="W261">
        <v>0</v>
      </c>
      <c r="X261">
        <v>0</v>
      </c>
      <c r="Y261">
        <v>30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f t="shared" si="4"/>
        <v>100</v>
      </c>
      <c r="AJ261" t="s">
        <v>90</v>
      </c>
      <c r="AK261">
        <f>0.1*Y261</f>
        <v>3</v>
      </c>
    </row>
    <row r="262" spans="1:37" x14ac:dyDescent="0.35">
      <c r="A262" t="s">
        <v>27</v>
      </c>
      <c r="B262">
        <v>198</v>
      </c>
      <c r="C262" t="s">
        <v>533</v>
      </c>
      <c r="D262" s="2">
        <v>38211</v>
      </c>
      <c r="E262">
        <v>0</v>
      </c>
      <c r="F262" s="3">
        <v>0.62083333333333335</v>
      </c>
      <c r="G262" s="3">
        <v>0.63124999999999998</v>
      </c>
      <c r="H262">
        <v>25.9</v>
      </c>
      <c r="I262">
        <v>52</v>
      </c>
      <c r="J262">
        <v>1</v>
      </c>
      <c r="K262">
        <v>1</v>
      </c>
      <c r="L262">
        <v>0</v>
      </c>
      <c r="M262">
        <v>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68</v>
      </c>
      <c r="W262">
        <v>0</v>
      </c>
      <c r="X262">
        <v>0</v>
      </c>
      <c r="Y262">
        <v>25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f t="shared" si="4"/>
        <v>100</v>
      </c>
      <c r="AJ262" t="s">
        <v>18</v>
      </c>
      <c r="AK262">
        <f>0.13*Y262</f>
        <v>3.25</v>
      </c>
    </row>
    <row r="263" spans="1:37" x14ac:dyDescent="0.35">
      <c r="A263" t="s">
        <v>27</v>
      </c>
      <c r="B263">
        <v>197</v>
      </c>
      <c r="C263" t="s">
        <v>534</v>
      </c>
      <c r="D263" s="2">
        <v>38211</v>
      </c>
      <c r="E263">
        <v>0</v>
      </c>
      <c r="F263" s="3">
        <v>0.60069444444444442</v>
      </c>
      <c r="G263" s="3">
        <v>0.61111111111111105</v>
      </c>
      <c r="H263">
        <v>27.3</v>
      </c>
      <c r="I263">
        <v>26</v>
      </c>
      <c r="J263">
        <v>1</v>
      </c>
      <c r="K263">
        <v>2</v>
      </c>
      <c r="L263">
        <v>45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50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f t="shared" si="4"/>
        <v>100</v>
      </c>
      <c r="AJ263" t="s">
        <v>16</v>
      </c>
      <c r="AK263">
        <f>0.12*U263</f>
        <v>6</v>
      </c>
    </row>
    <row r="264" spans="1:37" x14ac:dyDescent="0.35">
      <c r="A264" t="s">
        <v>27</v>
      </c>
      <c r="B264">
        <v>196</v>
      </c>
      <c r="C264" t="s">
        <v>535</v>
      </c>
      <c r="D264" s="2">
        <v>38211</v>
      </c>
      <c r="E264" t="s">
        <v>54</v>
      </c>
      <c r="F264" s="3">
        <v>0.57986111111111105</v>
      </c>
      <c r="G264" s="3">
        <v>0.59027777777777779</v>
      </c>
      <c r="H264">
        <v>27.5</v>
      </c>
      <c r="I264">
        <v>31</v>
      </c>
      <c r="J264">
        <v>1</v>
      </c>
      <c r="K264">
        <v>1</v>
      </c>
      <c r="L264">
        <v>0</v>
      </c>
      <c r="M264">
        <v>7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0</v>
      </c>
      <c r="U264">
        <v>0</v>
      </c>
      <c r="V264">
        <v>70</v>
      </c>
      <c r="W264">
        <v>5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0</v>
      </c>
      <c r="AD264">
        <v>0</v>
      </c>
      <c r="AE264">
        <v>0</v>
      </c>
      <c r="AF264">
        <v>0</v>
      </c>
      <c r="AG264">
        <v>15</v>
      </c>
      <c r="AH264">
        <v>0</v>
      </c>
      <c r="AI264">
        <f t="shared" si="4"/>
        <v>100</v>
      </c>
      <c r="AJ264" t="s">
        <v>91</v>
      </c>
      <c r="AK264">
        <f>7/53*AG264</f>
        <v>1.9811320754716981</v>
      </c>
    </row>
    <row r="265" spans="1:37" x14ac:dyDescent="0.35">
      <c r="A265" t="s">
        <v>27</v>
      </c>
      <c r="B265">
        <v>200</v>
      </c>
      <c r="C265" t="s">
        <v>536</v>
      </c>
      <c r="D265" s="2">
        <v>38212</v>
      </c>
      <c r="E265" t="s">
        <v>34</v>
      </c>
      <c r="F265" s="3">
        <v>0.60069444444444442</v>
      </c>
      <c r="G265" s="3">
        <v>0.65277777777777779</v>
      </c>
      <c r="H265">
        <v>26.6</v>
      </c>
      <c r="I265">
        <v>36</v>
      </c>
      <c r="J265">
        <v>1</v>
      </c>
      <c r="K265">
        <v>1</v>
      </c>
      <c r="L265">
        <v>0</v>
      </c>
      <c r="M265">
        <v>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</v>
      </c>
      <c r="T265">
        <v>0</v>
      </c>
      <c r="U265">
        <v>0</v>
      </c>
      <c r="V265">
        <v>80</v>
      </c>
      <c r="W265">
        <v>0</v>
      </c>
      <c r="X265">
        <v>0</v>
      </c>
      <c r="Y265">
        <v>7</v>
      </c>
      <c r="Z265">
        <v>0</v>
      </c>
      <c r="AA265">
        <v>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f t="shared" si="4"/>
        <v>100</v>
      </c>
      <c r="AJ265" t="s">
        <v>14</v>
      </c>
      <c r="AK265">
        <f>0.2*S265</f>
        <v>1</v>
      </c>
    </row>
    <row r="266" spans="1:37" x14ac:dyDescent="0.35">
      <c r="A266" t="s">
        <v>27</v>
      </c>
      <c r="B266">
        <v>202</v>
      </c>
      <c r="C266" t="s">
        <v>537</v>
      </c>
      <c r="D266" s="2">
        <v>38212</v>
      </c>
      <c r="E266">
        <v>0</v>
      </c>
      <c r="F266" s="3">
        <v>0.63888888888888895</v>
      </c>
      <c r="G266" s="3">
        <v>0.64930555555555558</v>
      </c>
      <c r="H266">
        <v>26.7</v>
      </c>
      <c r="I266">
        <v>27</v>
      </c>
      <c r="J266">
        <v>2</v>
      </c>
      <c r="K266">
        <v>1</v>
      </c>
      <c r="L266">
        <v>55</v>
      </c>
      <c r="M266">
        <v>0</v>
      </c>
      <c r="N266">
        <v>0</v>
      </c>
      <c r="O266">
        <v>0</v>
      </c>
      <c r="P266">
        <v>5</v>
      </c>
      <c r="Q266">
        <v>0</v>
      </c>
      <c r="R266">
        <v>0</v>
      </c>
      <c r="S266">
        <v>40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f t="shared" si="4"/>
        <v>100</v>
      </c>
      <c r="AJ266" s="6" t="s">
        <v>14</v>
      </c>
      <c r="AK266">
        <f>0.7*S266</f>
        <v>28</v>
      </c>
    </row>
    <row r="267" spans="1:37" x14ac:dyDescent="0.35">
      <c r="A267" t="s">
        <v>27</v>
      </c>
      <c r="B267">
        <v>202</v>
      </c>
      <c r="C267" t="s">
        <v>537</v>
      </c>
      <c r="D267" s="2">
        <v>38212</v>
      </c>
      <c r="E267">
        <v>0</v>
      </c>
      <c r="F267" s="3">
        <v>0.63888888888888895</v>
      </c>
      <c r="G267" s="3">
        <v>0.64930555555555558</v>
      </c>
      <c r="H267">
        <v>26.7</v>
      </c>
      <c r="I267">
        <v>27</v>
      </c>
      <c r="J267">
        <v>2</v>
      </c>
      <c r="K267">
        <v>1</v>
      </c>
      <c r="L267">
        <v>55</v>
      </c>
      <c r="M267">
        <v>0</v>
      </c>
      <c r="N267">
        <v>0</v>
      </c>
      <c r="O267">
        <v>0</v>
      </c>
      <c r="P267">
        <v>5</v>
      </c>
      <c r="Q267">
        <v>0</v>
      </c>
      <c r="R267">
        <v>0</v>
      </c>
      <c r="S267">
        <v>40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f t="shared" si="4"/>
        <v>100</v>
      </c>
      <c r="AJ267" s="6" t="s">
        <v>13</v>
      </c>
      <c r="AK267">
        <f>0.36*P267</f>
        <v>1.7999999999999998</v>
      </c>
    </row>
    <row r="268" spans="1:37" x14ac:dyDescent="0.35">
      <c r="A268" t="s">
        <v>27</v>
      </c>
      <c r="B268">
        <v>200</v>
      </c>
      <c r="C268" t="s">
        <v>536</v>
      </c>
      <c r="D268" s="2">
        <v>38212</v>
      </c>
      <c r="E268" t="s">
        <v>34</v>
      </c>
      <c r="F268" s="3">
        <v>0.60069444444444442</v>
      </c>
      <c r="G268" s="3">
        <v>0.65277777777777779</v>
      </c>
      <c r="H268">
        <v>26.6</v>
      </c>
      <c r="I268">
        <v>36</v>
      </c>
      <c r="J268">
        <v>1</v>
      </c>
      <c r="K268">
        <v>1</v>
      </c>
      <c r="L268">
        <v>0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</v>
      </c>
      <c r="T268">
        <v>0</v>
      </c>
      <c r="U268">
        <v>0</v>
      </c>
      <c r="V268">
        <v>80</v>
      </c>
      <c r="W268">
        <v>0</v>
      </c>
      <c r="X268">
        <v>0</v>
      </c>
      <c r="Y268">
        <v>7</v>
      </c>
      <c r="Z268">
        <v>0</v>
      </c>
      <c r="AA268">
        <v>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100</v>
      </c>
      <c r="AJ268" t="s">
        <v>18</v>
      </c>
      <c r="AK268">
        <f>0.28*Y268</f>
        <v>1.9600000000000002</v>
      </c>
    </row>
    <row r="269" spans="1:37" x14ac:dyDescent="0.35">
      <c r="A269" t="s">
        <v>27</v>
      </c>
      <c r="B269">
        <v>201</v>
      </c>
      <c r="C269" t="s">
        <v>538</v>
      </c>
      <c r="D269" s="2">
        <v>38212</v>
      </c>
      <c r="E269" t="s">
        <v>61</v>
      </c>
      <c r="F269" s="3">
        <v>0.62430555555555556</v>
      </c>
      <c r="G269" s="3">
        <v>0.63472222222222219</v>
      </c>
      <c r="H269">
        <v>26.7</v>
      </c>
      <c r="I269">
        <v>27</v>
      </c>
      <c r="J269">
        <v>2</v>
      </c>
      <c r="K269">
        <v>2</v>
      </c>
      <c r="L269">
        <v>0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67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25</v>
      </c>
      <c r="AH269">
        <v>0</v>
      </c>
      <c r="AI269">
        <f t="shared" si="4"/>
        <v>100</v>
      </c>
      <c r="AJ269" t="s">
        <v>91</v>
      </c>
      <c r="AK269">
        <f>11/80*AG269</f>
        <v>3.4375000000000004</v>
      </c>
    </row>
    <row r="270" spans="1:37" x14ac:dyDescent="0.35">
      <c r="A270" t="s">
        <v>27</v>
      </c>
      <c r="B270">
        <v>204</v>
      </c>
      <c r="C270" t="s">
        <v>539</v>
      </c>
      <c r="D270" s="2">
        <v>38217</v>
      </c>
      <c r="E270" t="s">
        <v>40</v>
      </c>
      <c r="F270" s="3">
        <v>0.40972222222222227</v>
      </c>
      <c r="G270" s="3">
        <v>0.4201388888888889</v>
      </c>
      <c r="H270">
        <v>20.2</v>
      </c>
      <c r="I270">
        <v>84</v>
      </c>
      <c r="J270">
        <v>1</v>
      </c>
      <c r="K270">
        <v>1</v>
      </c>
      <c r="L270">
        <v>50</v>
      </c>
      <c r="M270">
        <v>5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f t="shared" si="4"/>
        <v>100</v>
      </c>
      <c r="AJ270" t="s">
        <v>14</v>
      </c>
      <c r="AK270">
        <f>0.7*S270</f>
        <v>31.499999999999996</v>
      </c>
    </row>
    <row r="271" spans="1:37" x14ac:dyDescent="0.35">
      <c r="A271" t="s">
        <v>27</v>
      </c>
      <c r="B271">
        <v>203</v>
      </c>
      <c r="C271" t="s">
        <v>540</v>
      </c>
      <c r="D271" s="2">
        <v>38217</v>
      </c>
      <c r="E271" t="s">
        <v>40</v>
      </c>
      <c r="F271" s="3">
        <v>0.38124999999999998</v>
      </c>
      <c r="G271" s="3">
        <v>0.39166666666666666</v>
      </c>
      <c r="H271">
        <v>19.399999999999999</v>
      </c>
      <c r="I271">
        <v>73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66</v>
      </c>
      <c r="W271">
        <v>0</v>
      </c>
      <c r="X271">
        <v>0</v>
      </c>
      <c r="Y271">
        <v>3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30</v>
      </c>
      <c r="AH271">
        <v>0</v>
      </c>
      <c r="AI271">
        <f t="shared" si="4"/>
        <v>100</v>
      </c>
      <c r="AJ271" t="s">
        <v>18</v>
      </c>
      <c r="AK271">
        <f>0.08*Y271</f>
        <v>0.24</v>
      </c>
    </row>
    <row r="272" spans="1:37" x14ac:dyDescent="0.35">
      <c r="A272" t="s">
        <v>27</v>
      </c>
      <c r="B272">
        <v>203</v>
      </c>
      <c r="C272" t="s">
        <v>540</v>
      </c>
      <c r="D272" s="2">
        <v>38217</v>
      </c>
      <c r="E272" t="s">
        <v>40</v>
      </c>
      <c r="F272" s="3">
        <v>0.38124999999999998</v>
      </c>
      <c r="G272" s="3">
        <v>0.39166666666666666</v>
      </c>
      <c r="H272">
        <v>19.399999999999999</v>
      </c>
      <c r="I272">
        <v>73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66</v>
      </c>
      <c r="W272">
        <v>0</v>
      </c>
      <c r="X272">
        <v>0</v>
      </c>
      <c r="Y272">
        <v>3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30</v>
      </c>
      <c r="AH272">
        <v>0</v>
      </c>
      <c r="AI272">
        <f t="shared" si="4"/>
        <v>100</v>
      </c>
      <c r="AJ272" t="s">
        <v>91</v>
      </c>
      <c r="AK272">
        <f>0.29*AG272</f>
        <v>8.6999999999999993</v>
      </c>
    </row>
    <row r="273" spans="1:37" x14ac:dyDescent="0.35">
      <c r="A273" t="s">
        <v>27</v>
      </c>
      <c r="B273">
        <v>204</v>
      </c>
      <c r="C273" t="s">
        <v>539</v>
      </c>
      <c r="D273" s="2">
        <v>38217</v>
      </c>
      <c r="E273" t="s">
        <v>40</v>
      </c>
      <c r="F273" s="3">
        <v>0.40972222222222227</v>
      </c>
      <c r="G273" s="3">
        <v>0.4201388888888889</v>
      </c>
      <c r="H273">
        <v>20.2</v>
      </c>
      <c r="I273">
        <v>84</v>
      </c>
      <c r="J273">
        <v>1</v>
      </c>
      <c r="K273">
        <v>1</v>
      </c>
      <c r="L273">
        <v>50</v>
      </c>
      <c r="M273">
        <v>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45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f t="shared" si="4"/>
        <v>100</v>
      </c>
      <c r="AJ273" t="s">
        <v>10</v>
      </c>
      <c r="AK273">
        <f>0.1*M273</f>
        <v>0.5</v>
      </c>
    </row>
    <row r="274" spans="1:37" x14ac:dyDescent="0.35">
      <c r="A274" t="s">
        <v>27</v>
      </c>
      <c r="B274">
        <v>207</v>
      </c>
      <c r="C274" t="s">
        <v>541</v>
      </c>
      <c r="D274" s="2">
        <v>38222</v>
      </c>
      <c r="E274">
        <v>0</v>
      </c>
      <c r="F274" s="3">
        <v>0.44930555555555557</v>
      </c>
      <c r="G274" s="3">
        <v>0.4597222222222222</v>
      </c>
      <c r="H274">
        <v>18.7</v>
      </c>
      <c r="I274">
        <v>56</v>
      </c>
      <c r="J274">
        <v>2</v>
      </c>
      <c r="K274">
        <v>1</v>
      </c>
      <c r="L274">
        <v>20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70</v>
      </c>
      <c r="T274">
        <v>0</v>
      </c>
      <c r="U274">
        <v>0</v>
      </c>
      <c r="V274">
        <v>10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f t="shared" si="4"/>
        <v>100</v>
      </c>
      <c r="AJ274" t="s">
        <v>14</v>
      </c>
      <c r="AK274">
        <f>0.65*S274</f>
        <v>45.5</v>
      </c>
    </row>
    <row r="275" spans="1:37" x14ac:dyDescent="0.35">
      <c r="A275" t="s">
        <v>27</v>
      </c>
      <c r="B275">
        <v>211</v>
      </c>
      <c r="C275" t="s">
        <v>542</v>
      </c>
      <c r="D275" s="2">
        <v>38222</v>
      </c>
      <c r="E275" t="s">
        <v>50</v>
      </c>
      <c r="F275" s="3">
        <v>0.51944444444444449</v>
      </c>
      <c r="G275" s="3">
        <v>0.52986111111111112</v>
      </c>
      <c r="H275">
        <v>18.8</v>
      </c>
      <c r="I275">
        <v>54</v>
      </c>
      <c r="J275">
        <v>2</v>
      </c>
      <c r="K275">
        <v>1</v>
      </c>
      <c r="L275">
        <v>30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42</v>
      </c>
      <c r="W275">
        <v>0</v>
      </c>
      <c r="X275">
        <v>0</v>
      </c>
      <c r="Y275">
        <v>28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f t="shared" si="4"/>
        <v>100</v>
      </c>
      <c r="AJ275" t="s">
        <v>90</v>
      </c>
      <c r="AK275">
        <f>0.3*25</f>
        <v>7.5</v>
      </c>
    </row>
    <row r="276" spans="1:37" x14ac:dyDescent="0.35">
      <c r="A276" t="s">
        <v>27</v>
      </c>
      <c r="B276">
        <v>208</v>
      </c>
      <c r="C276" t="s">
        <v>543</v>
      </c>
      <c r="D276" s="2">
        <v>38222</v>
      </c>
      <c r="E276">
        <v>0</v>
      </c>
      <c r="F276" s="3">
        <v>0.46597222222222223</v>
      </c>
      <c r="G276" s="3">
        <v>0.47638888888888892</v>
      </c>
      <c r="H276">
        <f>(16.5+19.9)/2</f>
        <v>18.2</v>
      </c>
      <c r="I276">
        <f>(64+70)/2</f>
        <v>67</v>
      </c>
      <c r="J276">
        <v>2</v>
      </c>
      <c r="K276">
        <v>1</v>
      </c>
      <c r="L276">
        <v>60</v>
      </c>
      <c r="M276">
        <v>7</v>
      </c>
      <c r="N276">
        <v>0</v>
      </c>
      <c r="O276">
        <v>0</v>
      </c>
      <c r="P276">
        <v>10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21</v>
      </c>
      <c r="W276">
        <v>0</v>
      </c>
      <c r="X276">
        <v>0</v>
      </c>
      <c r="Y276">
        <v>0</v>
      </c>
      <c r="Z276">
        <v>0</v>
      </c>
      <c r="AA276">
        <v>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f t="shared" si="4"/>
        <v>100</v>
      </c>
      <c r="AJ276" t="s">
        <v>13</v>
      </c>
      <c r="AK276">
        <f>0.1*P276</f>
        <v>1</v>
      </c>
    </row>
    <row r="277" spans="1:37" x14ac:dyDescent="0.35">
      <c r="A277" t="s">
        <v>27</v>
      </c>
      <c r="B277">
        <v>209</v>
      </c>
      <c r="C277" t="s">
        <v>544</v>
      </c>
      <c r="D277" s="2">
        <v>38222</v>
      </c>
      <c r="E277">
        <v>0</v>
      </c>
      <c r="F277" s="3">
        <v>0.48333333333333334</v>
      </c>
      <c r="G277" s="3">
        <v>0.49375000000000002</v>
      </c>
      <c r="H277">
        <f>(17.4+21.1)/2</f>
        <v>19.25</v>
      </c>
      <c r="I277">
        <f>(54+51)/2</f>
        <v>52.5</v>
      </c>
      <c r="J277">
        <v>2</v>
      </c>
      <c r="K277">
        <v>1</v>
      </c>
      <c r="L277">
        <v>20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60</v>
      </c>
      <c r="V277">
        <v>19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f t="shared" si="4"/>
        <v>100</v>
      </c>
      <c r="AJ277" t="s">
        <v>16</v>
      </c>
      <c r="AK277">
        <f>0.13*U277</f>
        <v>7.8000000000000007</v>
      </c>
    </row>
    <row r="278" spans="1:37" x14ac:dyDescent="0.35">
      <c r="A278" t="s">
        <v>27</v>
      </c>
      <c r="B278">
        <v>206</v>
      </c>
      <c r="C278" t="s">
        <v>545</v>
      </c>
      <c r="D278" s="2">
        <v>38222</v>
      </c>
      <c r="E278" t="s">
        <v>45</v>
      </c>
      <c r="F278" s="3">
        <v>0.43333333333333335</v>
      </c>
      <c r="G278" s="3">
        <v>0.44374999999999998</v>
      </c>
      <c r="H278">
        <v>17.7</v>
      </c>
      <c r="I278">
        <v>67</v>
      </c>
      <c r="J278">
        <v>2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85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5</v>
      </c>
      <c r="AE278">
        <v>0</v>
      </c>
      <c r="AF278">
        <v>0</v>
      </c>
      <c r="AG278">
        <v>10</v>
      </c>
      <c r="AH278">
        <v>0</v>
      </c>
      <c r="AI278">
        <f t="shared" ref="AI278:AI320" si="5">SUM(L278:AH278)</f>
        <v>100</v>
      </c>
      <c r="AJ278" t="s">
        <v>21</v>
      </c>
      <c r="AK278">
        <f>0.2*AD278</f>
        <v>1</v>
      </c>
    </row>
    <row r="279" spans="1:37" x14ac:dyDescent="0.35">
      <c r="A279" t="s">
        <v>27</v>
      </c>
      <c r="B279">
        <v>205</v>
      </c>
      <c r="C279" t="s">
        <v>546</v>
      </c>
      <c r="D279" s="2">
        <v>38222</v>
      </c>
      <c r="E279" t="s">
        <v>36</v>
      </c>
      <c r="F279" s="3">
        <v>0.41944444444444445</v>
      </c>
      <c r="G279" s="3">
        <v>0.42986111111111108</v>
      </c>
      <c r="H279">
        <v>16.8</v>
      </c>
      <c r="I279">
        <v>60</v>
      </c>
      <c r="J279">
        <v>2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68</v>
      </c>
      <c r="W279">
        <v>0</v>
      </c>
      <c r="X279">
        <v>0</v>
      </c>
      <c r="Y279">
        <v>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30</v>
      </c>
      <c r="AH279">
        <v>0</v>
      </c>
      <c r="AI279">
        <f t="shared" si="5"/>
        <v>100</v>
      </c>
      <c r="AJ279" t="s">
        <v>91</v>
      </c>
      <c r="AK279">
        <f>0.24*AG279</f>
        <v>7.1999999999999993</v>
      </c>
    </row>
    <row r="280" spans="1:37" x14ac:dyDescent="0.35">
      <c r="A280" t="s">
        <v>27</v>
      </c>
      <c r="B280">
        <v>206</v>
      </c>
      <c r="C280" t="s">
        <v>545</v>
      </c>
      <c r="D280" s="2">
        <v>38222</v>
      </c>
      <c r="E280" t="s">
        <v>45</v>
      </c>
      <c r="F280" s="3">
        <v>0.43333333333333335</v>
      </c>
      <c r="G280" s="3">
        <v>0.44374999999999998</v>
      </c>
      <c r="H280">
        <v>17.7</v>
      </c>
      <c r="I280">
        <v>67</v>
      </c>
      <c r="J280">
        <v>2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85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5</v>
      </c>
      <c r="AE280">
        <v>0</v>
      </c>
      <c r="AF280">
        <v>0</v>
      </c>
      <c r="AG280">
        <v>10</v>
      </c>
      <c r="AH280">
        <v>0</v>
      </c>
      <c r="AI280">
        <f t="shared" si="5"/>
        <v>100</v>
      </c>
      <c r="AJ280" t="s">
        <v>91</v>
      </c>
      <c r="AK280">
        <f>(13/64)*AG280</f>
        <v>2.03125</v>
      </c>
    </row>
    <row r="281" spans="1:37" x14ac:dyDescent="0.35">
      <c r="A281" t="s">
        <v>27</v>
      </c>
      <c r="B281">
        <v>210</v>
      </c>
      <c r="C281" t="s">
        <v>547</v>
      </c>
      <c r="D281" s="2">
        <v>38222</v>
      </c>
      <c r="E281" t="s">
        <v>50</v>
      </c>
      <c r="F281" s="3">
        <v>0.50138888888888888</v>
      </c>
      <c r="G281" s="3">
        <v>0.51180555555555551</v>
      </c>
      <c r="H281">
        <f>(16.9+20.8)/2</f>
        <v>18.850000000000001</v>
      </c>
      <c r="I281">
        <f>(50+54)/2</f>
        <v>52</v>
      </c>
      <c r="J281">
        <v>2</v>
      </c>
      <c r="K281">
        <v>1</v>
      </c>
      <c r="L281">
        <v>0</v>
      </c>
      <c r="M281">
        <v>70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f t="shared" si="5"/>
        <v>100</v>
      </c>
      <c r="AJ281" t="s">
        <v>10</v>
      </c>
      <c r="AK281">
        <f>0.08*M281</f>
        <v>5.6000000000000005</v>
      </c>
    </row>
    <row r="282" spans="1:37" x14ac:dyDescent="0.35">
      <c r="A282" t="s">
        <v>27</v>
      </c>
      <c r="B282">
        <v>212</v>
      </c>
      <c r="C282" t="s">
        <v>548</v>
      </c>
      <c r="D282" s="2">
        <v>38223</v>
      </c>
      <c r="E282" t="s">
        <v>45</v>
      </c>
      <c r="F282" s="3">
        <v>0.54236111111111118</v>
      </c>
      <c r="G282" s="3">
        <v>0.55277777777777781</v>
      </c>
      <c r="H282">
        <v>22.1</v>
      </c>
      <c r="I282">
        <v>65</v>
      </c>
      <c r="J282">
        <v>3</v>
      </c>
      <c r="K282">
        <v>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35</v>
      </c>
      <c r="T282">
        <v>0</v>
      </c>
      <c r="U282">
        <v>0</v>
      </c>
      <c r="V282">
        <v>44</v>
      </c>
      <c r="W282">
        <v>0</v>
      </c>
      <c r="X282">
        <v>1</v>
      </c>
      <c r="Y282">
        <v>10</v>
      </c>
      <c r="Z282">
        <v>0</v>
      </c>
      <c r="AA282">
        <v>5</v>
      </c>
      <c r="AB282">
        <v>0</v>
      </c>
      <c r="AC282">
        <v>0</v>
      </c>
      <c r="AD282">
        <v>0</v>
      </c>
      <c r="AE282">
        <v>5</v>
      </c>
      <c r="AF282">
        <v>0</v>
      </c>
      <c r="AG282">
        <v>0</v>
      </c>
      <c r="AH282">
        <v>0</v>
      </c>
      <c r="AI282">
        <f t="shared" si="5"/>
        <v>100</v>
      </c>
      <c r="AJ282" t="s">
        <v>14</v>
      </c>
      <c r="AK282">
        <f>0.25*S282</f>
        <v>8.75</v>
      </c>
    </row>
    <row r="283" spans="1:37" x14ac:dyDescent="0.35">
      <c r="A283" t="s">
        <v>27</v>
      </c>
      <c r="B283">
        <v>212</v>
      </c>
      <c r="C283" t="s">
        <v>548</v>
      </c>
      <c r="D283" s="2">
        <v>38223</v>
      </c>
      <c r="E283" t="s">
        <v>45</v>
      </c>
      <c r="F283" s="3">
        <v>0.54236111111111118</v>
      </c>
      <c r="G283" s="3">
        <v>0.55277777777777781</v>
      </c>
      <c r="H283">
        <v>22.1</v>
      </c>
      <c r="I283">
        <v>65</v>
      </c>
      <c r="J283">
        <v>3</v>
      </c>
      <c r="K283">
        <v>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35</v>
      </c>
      <c r="T283">
        <v>0</v>
      </c>
      <c r="U283">
        <v>0</v>
      </c>
      <c r="V283">
        <v>44</v>
      </c>
      <c r="W283">
        <v>0</v>
      </c>
      <c r="X283">
        <v>1</v>
      </c>
      <c r="Y283">
        <v>10</v>
      </c>
      <c r="Z283">
        <v>0</v>
      </c>
      <c r="AA283">
        <v>5</v>
      </c>
      <c r="AB283">
        <v>0</v>
      </c>
      <c r="AC283">
        <v>0</v>
      </c>
      <c r="AD283">
        <v>0</v>
      </c>
      <c r="AE283">
        <v>5</v>
      </c>
      <c r="AF283">
        <v>0</v>
      </c>
      <c r="AG283">
        <v>0</v>
      </c>
      <c r="AH283">
        <v>0</v>
      </c>
      <c r="AI283">
        <f t="shared" si="5"/>
        <v>100</v>
      </c>
      <c r="AJ283" t="s">
        <v>18</v>
      </c>
      <c r="AK283">
        <f>(18/79)*Y283</f>
        <v>2.2784810126582276</v>
      </c>
    </row>
    <row r="284" spans="1:37" x14ac:dyDescent="0.35">
      <c r="A284" t="s">
        <v>27</v>
      </c>
      <c r="B284">
        <v>213</v>
      </c>
      <c r="C284" t="s">
        <v>549</v>
      </c>
      <c r="D284" s="2">
        <v>38230</v>
      </c>
      <c r="E284">
        <v>0</v>
      </c>
      <c r="F284" s="3">
        <v>0.57013888888888886</v>
      </c>
      <c r="G284" s="3">
        <v>0.5805555555555556</v>
      </c>
      <c r="H284">
        <v>16.899999999999999</v>
      </c>
      <c r="I284">
        <v>62</v>
      </c>
      <c r="J284">
        <v>2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75</v>
      </c>
      <c r="T284">
        <v>0</v>
      </c>
      <c r="U284">
        <v>0</v>
      </c>
      <c r="V284">
        <v>15</v>
      </c>
      <c r="W284">
        <v>4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</v>
      </c>
      <c r="AG284">
        <v>0</v>
      </c>
      <c r="AH284">
        <v>0</v>
      </c>
      <c r="AI284">
        <f t="shared" si="5"/>
        <v>100</v>
      </c>
      <c r="AJ284" t="s">
        <v>14</v>
      </c>
      <c r="AK284">
        <f>0.5*S284</f>
        <v>37.5</v>
      </c>
    </row>
    <row r="285" spans="1:37" x14ac:dyDescent="0.35">
      <c r="A285" t="s">
        <v>27</v>
      </c>
      <c r="B285">
        <v>216</v>
      </c>
      <c r="C285" t="s">
        <v>550</v>
      </c>
      <c r="D285" s="2">
        <v>38230</v>
      </c>
      <c r="E285" t="s">
        <v>40</v>
      </c>
      <c r="F285" s="3">
        <v>0.62152777777777779</v>
      </c>
      <c r="G285" s="3">
        <v>0.63194444444444442</v>
      </c>
      <c r="H285">
        <v>17.899999999999999</v>
      </c>
      <c r="I285">
        <v>65</v>
      </c>
      <c r="J285">
        <v>3</v>
      </c>
      <c r="K285">
        <v>2</v>
      </c>
      <c r="L285">
        <v>7</v>
      </c>
      <c r="M285">
        <v>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50</v>
      </c>
      <c r="V285">
        <v>33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f t="shared" si="5"/>
        <v>100</v>
      </c>
      <c r="AJ285" t="s">
        <v>16</v>
      </c>
      <c r="AK285">
        <f>0.1*U285</f>
        <v>5</v>
      </c>
    </row>
    <row r="286" spans="1:37" x14ac:dyDescent="0.35">
      <c r="A286" t="s">
        <v>27</v>
      </c>
      <c r="B286">
        <v>214</v>
      </c>
      <c r="C286" t="s">
        <v>551</v>
      </c>
      <c r="D286" s="2">
        <v>38230</v>
      </c>
      <c r="E286" t="s">
        <v>36</v>
      </c>
      <c r="F286" s="3">
        <v>0.58819444444444446</v>
      </c>
      <c r="G286" s="3">
        <v>0.59861111111111109</v>
      </c>
      <c r="H286">
        <v>19.8</v>
      </c>
      <c r="I286">
        <v>65</v>
      </c>
      <c r="J286">
        <v>3</v>
      </c>
      <c r="K286">
        <v>2</v>
      </c>
      <c r="L286">
        <v>5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63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30</v>
      </c>
      <c r="AH286">
        <v>0</v>
      </c>
      <c r="AI286">
        <f t="shared" si="5"/>
        <v>100</v>
      </c>
      <c r="AJ286" t="s">
        <v>91</v>
      </c>
      <c r="AK286">
        <f>0.25*AG286</f>
        <v>7.5</v>
      </c>
    </row>
    <row r="287" spans="1:37" x14ac:dyDescent="0.35">
      <c r="A287" t="s">
        <v>27</v>
      </c>
      <c r="B287">
        <v>215</v>
      </c>
      <c r="C287" t="s">
        <v>552</v>
      </c>
      <c r="D287" s="2">
        <v>38230</v>
      </c>
      <c r="E287" t="s">
        <v>53</v>
      </c>
      <c r="F287" s="3">
        <v>0.60624999999999996</v>
      </c>
      <c r="G287" s="3">
        <v>0.6166666666666667</v>
      </c>
      <c r="H287">
        <v>17.8</v>
      </c>
      <c r="I287">
        <v>70</v>
      </c>
      <c r="J287">
        <v>4</v>
      </c>
      <c r="K287">
        <v>2</v>
      </c>
      <c r="L287">
        <v>0</v>
      </c>
      <c r="M287">
        <v>85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f t="shared" si="5"/>
        <v>100</v>
      </c>
      <c r="AJ287" t="s">
        <v>10</v>
      </c>
      <c r="AK287">
        <f>0.08*M287</f>
        <v>6.8</v>
      </c>
    </row>
    <row r="288" spans="1:37" x14ac:dyDescent="0.35">
      <c r="A288" t="s">
        <v>27</v>
      </c>
      <c r="B288">
        <v>217</v>
      </c>
      <c r="C288" t="s">
        <v>553</v>
      </c>
      <c r="D288" s="2">
        <v>38232</v>
      </c>
      <c r="E288">
        <v>0</v>
      </c>
      <c r="F288" s="3">
        <v>0.64375000000000004</v>
      </c>
      <c r="G288" s="3">
        <v>0.65416666666666667</v>
      </c>
      <c r="H288">
        <f>(24.3+20.7)/2</f>
        <v>22.5</v>
      </c>
      <c r="I288">
        <f>53.5</f>
        <v>53.5</v>
      </c>
      <c r="J288">
        <v>3</v>
      </c>
      <c r="K288">
        <v>1</v>
      </c>
      <c r="L288">
        <v>0</v>
      </c>
      <c r="M288">
        <v>10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70</v>
      </c>
      <c r="T288">
        <v>0</v>
      </c>
      <c r="U288">
        <v>0</v>
      </c>
      <c r="V288">
        <v>19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f t="shared" si="5"/>
        <v>100</v>
      </c>
      <c r="AJ288" t="s">
        <v>14</v>
      </c>
      <c r="AK288">
        <f>0.6*S288</f>
        <v>42</v>
      </c>
    </row>
    <row r="289" spans="1:37" x14ac:dyDescent="0.35">
      <c r="A289" t="s">
        <v>27</v>
      </c>
      <c r="B289">
        <v>218</v>
      </c>
      <c r="C289" t="s">
        <v>554</v>
      </c>
      <c r="D289" s="2">
        <v>38243</v>
      </c>
      <c r="E289" t="s">
        <v>36</v>
      </c>
      <c r="F289" s="3">
        <v>0.52708333333333335</v>
      </c>
      <c r="G289" s="3">
        <v>0.53749999999999998</v>
      </c>
      <c r="H289">
        <v>16.7</v>
      </c>
      <c r="I289">
        <v>77</v>
      </c>
      <c r="J289">
        <v>5</v>
      </c>
      <c r="K289">
        <v>3</v>
      </c>
      <c r="L289">
        <v>25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55</v>
      </c>
      <c r="W289">
        <v>0</v>
      </c>
      <c r="X289">
        <v>0</v>
      </c>
      <c r="Y289">
        <v>3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15</v>
      </c>
      <c r="AH289">
        <v>0</v>
      </c>
      <c r="AI289">
        <f t="shared" si="5"/>
        <v>100</v>
      </c>
      <c r="AJ289" t="s">
        <v>91</v>
      </c>
      <c r="AK289">
        <f>0.27*AG289</f>
        <v>4.0500000000000007</v>
      </c>
    </row>
    <row r="290" spans="1:37" x14ac:dyDescent="0.35">
      <c r="A290" t="s">
        <v>27</v>
      </c>
      <c r="B290">
        <v>222</v>
      </c>
      <c r="C290" t="s">
        <v>555</v>
      </c>
      <c r="D290" s="2">
        <v>38245</v>
      </c>
      <c r="E290">
        <v>0</v>
      </c>
      <c r="F290" s="3">
        <v>0.55486111111111114</v>
      </c>
      <c r="G290" s="3">
        <v>0.56527777777777777</v>
      </c>
      <c r="H290">
        <v>15.3</v>
      </c>
      <c r="I290">
        <v>51</v>
      </c>
      <c r="J290">
        <v>2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25</v>
      </c>
      <c r="T290">
        <v>0</v>
      </c>
      <c r="U290">
        <v>0</v>
      </c>
      <c r="V290">
        <v>71</v>
      </c>
      <c r="W290">
        <v>0</v>
      </c>
      <c r="X290">
        <v>1</v>
      </c>
      <c r="Y290">
        <v>0</v>
      </c>
      <c r="Z290">
        <v>2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f t="shared" si="5"/>
        <v>100</v>
      </c>
      <c r="AJ290" t="s">
        <v>14</v>
      </c>
      <c r="AK290">
        <f>0.15*S290</f>
        <v>3.75</v>
      </c>
    </row>
    <row r="291" spans="1:37" x14ac:dyDescent="0.35">
      <c r="A291" t="s">
        <v>27</v>
      </c>
      <c r="B291">
        <v>223</v>
      </c>
      <c r="C291" t="s">
        <v>556</v>
      </c>
      <c r="D291" s="2">
        <v>38245</v>
      </c>
      <c r="E291" t="s">
        <v>50</v>
      </c>
      <c r="F291" s="3">
        <v>0.57638888888888895</v>
      </c>
      <c r="G291" s="3">
        <v>0.58680555555555558</v>
      </c>
      <c r="H291">
        <v>14.8</v>
      </c>
      <c r="I291">
        <v>51</v>
      </c>
      <c r="J291">
        <v>2</v>
      </c>
      <c r="K291">
        <v>2</v>
      </c>
      <c r="L291">
        <v>0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90</v>
      </c>
      <c r="T291">
        <v>0</v>
      </c>
      <c r="U291">
        <v>0</v>
      </c>
      <c r="V291">
        <v>0</v>
      </c>
      <c r="W291">
        <v>2</v>
      </c>
      <c r="X291">
        <v>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</v>
      </c>
      <c r="AF291">
        <v>0</v>
      </c>
      <c r="AG291">
        <v>0</v>
      </c>
      <c r="AH291">
        <v>0</v>
      </c>
      <c r="AI291">
        <f t="shared" si="5"/>
        <v>100</v>
      </c>
      <c r="AJ291" t="s">
        <v>14</v>
      </c>
      <c r="AK291">
        <f>0.2*S291</f>
        <v>18</v>
      </c>
    </row>
    <row r="292" spans="1:37" x14ac:dyDescent="0.35">
      <c r="A292" t="s">
        <v>27</v>
      </c>
      <c r="B292">
        <v>222</v>
      </c>
      <c r="C292" t="s">
        <v>555</v>
      </c>
      <c r="D292" s="2">
        <v>38245</v>
      </c>
      <c r="E292">
        <v>0</v>
      </c>
      <c r="F292" s="3">
        <v>0.55486111111111114</v>
      </c>
      <c r="G292" s="3">
        <v>0.56527777777777777</v>
      </c>
      <c r="H292">
        <v>15.3</v>
      </c>
      <c r="I292">
        <v>51</v>
      </c>
      <c r="J292">
        <v>2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25</v>
      </c>
      <c r="T292">
        <v>0</v>
      </c>
      <c r="U292">
        <v>0</v>
      </c>
      <c r="V292">
        <v>71</v>
      </c>
      <c r="W292">
        <v>0</v>
      </c>
      <c r="X292">
        <v>1</v>
      </c>
      <c r="Y292">
        <v>0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f t="shared" si="5"/>
        <v>100</v>
      </c>
      <c r="AJ292" t="s">
        <v>89</v>
      </c>
      <c r="AK292">
        <f>0.1*Z292</f>
        <v>0.2</v>
      </c>
    </row>
    <row r="293" spans="1:37" x14ac:dyDescent="0.35">
      <c r="A293" t="s">
        <v>27</v>
      </c>
      <c r="B293">
        <v>220</v>
      </c>
      <c r="C293" t="s">
        <v>557</v>
      </c>
      <c r="D293" s="2">
        <v>38245</v>
      </c>
      <c r="E293">
        <v>0</v>
      </c>
      <c r="F293" s="3">
        <v>0.50624999999999998</v>
      </c>
      <c r="G293" s="3">
        <v>0.51666666666666672</v>
      </c>
      <c r="H293">
        <v>15.5</v>
      </c>
      <c r="I293">
        <v>57</v>
      </c>
      <c r="J293">
        <v>2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35</v>
      </c>
      <c r="V293">
        <v>64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f t="shared" si="5"/>
        <v>100</v>
      </c>
      <c r="AJ293" t="s">
        <v>16</v>
      </c>
      <c r="AK293">
        <f>0.06*U293</f>
        <v>2.1</v>
      </c>
    </row>
    <row r="294" spans="1:37" x14ac:dyDescent="0.35">
      <c r="A294" t="s">
        <v>27</v>
      </c>
      <c r="B294">
        <v>219</v>
      </c>
      <c r="C294" t="s">
        <v>558</v>
      </c>
      <c r="D294" s="2">
        <v>38245</v>
      </c>
      <c r="E294" t="s">
        <v>54</v>
      </c>
      <c r="F294" s="3">
        <v>0.48333333333333334</v>
      </c>
      <c r="G294" s="3">
        <v>0.49375000000000002</v>
      </c>
      <c r="H294">
        <v>15</v>
      </c>
      <c r="I294">
        <v>67</v>
      </c>
      <c r="J294">
        <v>2</v>
      </c>
      <c r="K294">
        <v>2</v>
      </c>
      <c r="L294">
        <v>30</v>
      </c>
      <c r="M294">
        <v>8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35</v>
      </c>
      <c r="W294">
        <v>2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25</v>
      </c>
      <c r="AH294">
        <v>0</v>
      </c>
      <c r="AI294">
        <f t="shared" si="5"/>
        <v>100</v>
      </c>
      <c r="AJ294" t="s">
        <v>91</v>
      </c>
      <c r="AK294">
        <f>0.32*AG294</f>
        <v>8</v>
      </c>
    </row>
    <row r="295" spans="1:37" x14ac:dyDescent="0.35">
      <c r="A295" t="s">
        <v>27</v>
      </c>
      <c r="B295">
        <v>221</v>
      </c>
      <c r="C295" t="s">
        <v>559</v>
      </c>
      <c r="D295" s="2">
        <v>38245</v>
      </c>
      <c r="E295" t="s">
        <v>53</v>
      </c>
      <c r="F295" s="3">
        <v>0.52569444444444446</v>
      </c>
      <c r="G295" s="3">
        <v>0.53611111111111109</v>
      </c>
      <c r="H295">
        <v>14.5</v>
      </c>
      <c r="I295">
        <v>58</v>
      </c>
      <c r="J295">
        <v>3</v>
      </c>
      <c r="K295">
        <v>2</v>
      </c>
      <c r="L295">
        <v>20</v>
      </c>
      <c r="M295">
        <v>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20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f t="shared" si="5"/>
        <v>100</v>
      </c>
      <c r="AJ295" t="s">
        <v>10</v>
      </c>
      <c r="AK295">
        <f>0.02*M295</f>
        <v>1.2</v>
      </c>
    </row>
    <row r="296" spans="1:37" x14ac:dyDescent="0.35">
      <c r="A296" t="s">
        <v>27</v>
      </c>
      <c r="B296">
        <v>226</v>
      </c>
      <c r="C296" t="s">
        <v>560</v>
      </c>
      <c r="D296" s="2">
        <v>38254</v>
      </c>
      <c r="E296" t="s">
        <v>50</v>
      </c>
      <c r="F296" s="3">
        <v>0.61319444444444449</v>
      </c>
      <c r="G296" s="3">
        <v>0.62361111111111112</v>
      </c>
      <c r="H296">
        <v>16.3</v>
      </c>
      <c r="I296">
        <v>70</v>
      </c>
      <c r="J296">
        <v>3</v>
      </c>
      <c r="K296">
        <v>2</v>
      </c>
      <c r="L296">
        <v>0</v>
      </c>
      <c r="M296">
        <v>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90</v>
      </c>
      <c r="T296">
        <v>0</v>
      </c>
      <c r="U296">
        <v>0</v>
      </c>
      <c r="V296">
        <v>0</v>
      </c>
      <c r="W296">
        <v>2</v>
      </c>
      <c r="X296">
        <v>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f t="shared" si="5"/>
        <v>100</v>
      </c>
      <c r="AJ296" t="s">
        <v>14</v>
      </c>
      <c r="AK296">
        <f>0.15*S296</f>
        <v>13.5</v>
      </c>
    </row>
    <row r="297" spans="1:37" x14ac:dyDescent="0.35">
      <c r="A297" t="s">
        <v>27</v>
      </c>
      <c r="B297">
        <v>224</v>
      </c>
      <c r="C297" t="s">
        <v>561</v>
      </c>
      <c r="D297" s="2">
        <v>38254</v>
      </c>
      <c r="E297" t="s">
        <v>50</v>
      </c>
      <c r="F297" s="3">
        <v>0.55277777777777781</v>
      </c>
      <c r="G297" s="3">
        <v>0.56319444444444444</v>
      </c>
      <c r="H297">
        <v>15</v>
      </c>
      <c r="I297">
        <v>79</v>
      </c>
      <c r="J297">
        <v>5</v>
      </c>
      <c r="K297">
        <v>2</v>
      </c>
      <c r="L297">
        <v>62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30</v>
      </c>
      <c r="V297">
        <v>8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f t="shared" si="5"/>
        <v>100</v>
      </c>
      <c r="AJ297" t="s">
        <v>16</v>
      </c>
      <c r="AK297">
        <f>0.05*U297</f>
        <v>1.5</v>
      </c>
    </row>
    <row r="298" spans="1:37" x14ac:dyDescent="0.35">
      <c r="A298" t="s">
        <v>27</v>
      </c>
      <c r="B298">
        <v>225</v>
      </c>
      <c r="C298" t="s">
        <v>562</v>
      </c>
      <c r="D298" s="2">
        <v>38254</v>
      </c>
      <c r="E298" t="s">
        <v>31</v>
      </c>
      <c r="F298" s="3">
        <v>0.59861111111111109</v>
      </c>
      <c r="G298" s="3">
        <v>0.60902777777777783</v>
      </c>
      <c r="H298">
        <v>16.3</v>
      </c>
      <c r="I298">
        <v>74</v>
      </c>
      <c r="J298">
        <v>4</v>
      </c>
      <c r="K298">
        <v>2</v>
      </c>
      <c r="L298">
        <v>79</v>
      </c>
      <c r="M298">
        <v>10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3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8</v>
      </c>
      <c r="AH298">
        <v>0</v>
      </c>
      <c r="AI298">
        <f t="shared" si="5"/>
        <v>100</v>
      </c>
      <c r="AJ298" t="s">
        <v>91</v>
      </c>
      <c r="AK298">
        <f>0.37*AG298</f>
        <v>2.96</v>
      </c>
    </row>
    <row r="299" spans="1:37" x14ac:dyDescent="0.35">
      <c r="A299" t="s">
        <v>27</v>
      </c>
      <c r="B299">
        <v>227</v>
      </c>
      <c r="C299" t="s">
        <v>563</v>
      </c>
      <c r="D299" s="2">
        <v>38259</v>
      </c>
      <c r="E299" t="s">
        <v>50</v>
      </c>
      <c r="F299" s="3">
        <v>0.56805555555555554</v>
      </c>
      <c r="G299" s="3">
        <v>0.57847222222222217</v>
      </c>
      <c r="H299">
        <v>17.399999999999999</v>
      </c>
      <c r="I299">
        <v>42</v>
      </c>
      <c r="J299">
        <v>1</v>
      </c>
      <c r="K299">
        <v>2</v>
      </c>
      <c r="L299">
        <v>0</v>
      </c>
      <c r="M299">
        <v>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90</v>
      </c>
      <c r="T299">
        <v>0</v>
      </c>
      <c r="U299">
        <v>0</v>
      </c>
      <c r="V299">
        <v>0</v>
      </c>
      <c r="W299">
        <v>2</v>
      </c>
      <c r="X299">
        <v>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</v>
      </c>
      <c r="AF299">
        <v>0</v>
      </c>
      <c r="AG299">
        <v>0</v>
      </c>
      <c r="AH299">
        <v>0</v>
      </c>
      <c r="AI299">
        <f t="shared" si="5"/>
        <v>100</v>
      </c>
      <c r="AJ299" t="s">
        <v>14</v>
      </c>
      <c r="AK299">
        <f>0.1*S299</f>
        <v>9</v>
      </c>
    </row>
    <row r="300" spans="1:37" x14ac:dyDescent="0.35">
      <c r="A300" t="s">
        <v>27</v>
      </c>
      <c r="B300">
        <v>230</v>
      </c>
      <c r="C300" t="s">
        <v>564</v>
      </c>
      <c r="D300" s="2">
        <v>38259</v>
      </c>
      <c r="E300">
        <v>0</v>
      </c>
      <c r="F300" s="3">
        <v>0.63055555555555554</v>
      </c>
      <c r="G300" s="3">
        <v>0.64097222222222217</v>
      </c>
      <c r="H300">
        <v>17.7</v>
      </c>
      <c r="I300">
        <v>61</v>
      </c>
      <c r="J300">
        <v>1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30</v>
      </c>
      <c r="V300">
        <v>70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f t="shared" si="5"/>
        <v>100</v>
      </c>
      <c r="AJ300" t="s">
        <v>16</v>
      </c>
      <c r="AK300">
        <f>0.1*U300</f>
        <v>3</v>
      </c>
    </row>
    <row r="301" spans="1:37" x14ac:dyDescent="0.35">
      <c r="A301" t="s">
        <v>27</v>
      </c>
      <c r="B301">
        <v>228</v>
      </c>
      <c r="C301" t="s">
        <v>565</v>
      </c>
      <c r="D301" s="2">
        <v>38259</v>
      </c>
      <c r="E301" t="s">
        <v>46</v>
      </c>
      <c r="F301" s="3">
        <v>0.58402777777777781</v>
      </c>
      <c r="G301" s="3">
        <v>0.59444444444444444</v>
      </c>
      <c r="H301">
        <v>17.399999999999999</v>
      </c>
      <c r="I301">
        <v>42</v>
      </c>
      <c r="J301">
        <v>1</v>
      </c>
      <c r="K301">
        <v>2</v>
      </c>
      <c r="L301">
        <v>25</v>
      </c>
      <c r="M301">
        <v>10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48</v>
      </c>
      <c r="W301">
        <v>2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15</v>
      </c>
      <c r="AH301">
        <v>0</v>
      </c>
      <c r="AI301">
        <f t="shared" si="5"/>
        <v>100</v>
      </c>
      <c r="AJ301" t="s">
        <v>91</v>
      </c>
      <c r="AK301">
        <f>0.2*AG301</f>
        <v>3</v>
      </c>
    </row>
    <row r="302" spans="1:37" x14ac:dyDescent="0.35">
      <c r="A302" t="s">
        <v>27</v>
      </c>
      <c r="B302">
        <v>229</v>
      </c>
      <c r="C302" t="s">
        <v>566</v>
      </c>
      <c r="D302" s="2">
        <v>38259</v>
      </c>
      <c r="E302" t="s">
        <v>53</v>
      </c>
      <c r="F302" s="3">
        <v>0.60763888888888895</v>
      </c>
      <c r="G302" s="3">
        <v>0.61805555555555558</v>
      </c>
      <c r="H302">
        <v>15.9</v>
      </c>
      <c r="I302">
        <v>45</v>
      </c>
      <c r="J302">
        <v>1</v>
      </c>
      <c r="K302">
        <v>2</v>
      </c>
      <c r="L302">
        <v>52</v>
      </c>
      <c r="M302">
        <v>12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35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f t="shared" si="5"/>
        <v>100</v>
      </c>
      <c r="AJ302" t="s">
        <v>10</v>
      </c>
      <c r="AK302">
        <f>0.05*M302</f>
        <v>0.60000000000000009</v>
      </c>
    </row>
    <row r="303" spans="1:37" x14ac:dyDescent="0.35">
      <c r="A303" t="s">
        <v>27</v>
      </c>
      <c r="B303">
        <v>232</v>
      </c>
      <c r="C303" t="s">
        <v>567</v>
      </c>
      <c r="D303" s="2">
        <v>38266</v>
      </c>
      <c r="E303" t="s">
        <v>31</v>
      </c>
      <c r="F303" s="3">
        <v>0.5805555555555556</v>
      </c>
      <c r="G303" s="3">
        <v>0.59166666666666667</v>
      </c>
      <c r="H303">
        <v>16.399999999999999</v>
      </c>
      <c r="I303">
        <v>75</v>
      </c>
      <c r="J303">
        <v>2</v>
      </c>
      <c r="K303">
        <v>3</v>
      </c>
      <c r="L303">
        <v>25</v>
      </c>
      <c r="M303">
        <v>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30</v>
      </c>
      <c r="T303">
        <v>0</v>
      </c>
      <c r="U303">
        <v>20</v>
      </c>
      <c r="V303">
        <v>20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f t="shared" si="5"/>
        <v>100</v>
      </c>
      <c r="AJ303" t="s">
        <v>14</v>
      </c>
      <c r="AK303">
        <f>0.01*S303</f>
        <v>0.3</v>
      </c>
    </row>
    <row r="304" spans="1:37" x14ac:dyDescent="0.35">
      <c r="A304" t="s">
        <v>27</v>
      </c>
      <c r="B304">
        <v>232</v>
      </c>
      <c r="C304" t="s">
        <v>567</v>
      </c>
      <c r="D304" s="2">
        <v>38266</v>
      </c>
      <c r="E304" t="s">
        <v>31</v>
      </c>
      <c r="F304" s="3">
        <v>0.5805555555555556</v>
      </c>
      <c r="G304" s="3">
        <v>0.59166666666666667</v>
      </c>
      <c r="H304">
        <v>16.399999999999999</v>
      </c>
      <c r="I304">
        <v>75</v>
      </c>
      <c r="J304">
        <v>2</v>
      </c>
      <c r="K304">
        <v>3</v>
      </c>
      <c r="L304">
        <v>25</v>
      </c>
      <c r="M304">
        <v>5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30</v>
      </c>
      <c r="T304">
        <v>0</v>
      </c>
      <c r="U304">
        <v>20</v>
      </c>
      <c r="V304">
        <v>20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5"/>
        <v>100</v>
      </c>
      <c r="AJ304" t="s">
        <v>16</v>
      </c>
      <c r="AK304">
        <f>0.08*U304</f>
        <v>1.6</v>
      </c>
    </row>
    <row r="305" spans="1:37" x14ac:dyDescent="0.35">
      <c r="A305" t="s">
        <v>27</v>
      </c>
      <c r="B305">
        <v>231</v>
      </c>
      <c r="C305" t="s">
        <v>568</v>
      </c>
      <c r="D305" s="2">
        <v>38266</v>
      </c>
      <c r="E305" t="s">
        <v>31</v>
      </c>
      <c r="F305" s="3">
        <v>0.57847222222222217</v>
      </c>
      <c r="G305" s="3">
        <v>0.58888888888888891</v>
      </c>
      <c r="H305">
        <v>16.399999999999999</v>
      </c>
      <c r="I305">
        <v>75</v>
      </c>
      <c r="J305">
        <v>2</v>
      </c>
      <c r="K305">
        <v>3</v>
      </c>
      <c r="L305">
        <v>79</v>
      </c>
      <c r="M305">
        <v>10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3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8</v>
      </c>
      <c r="AH305">
        <v>0</v>
      </c>
      <c r="AI305">
        <f t="shared" si="5"/>
        <v>100</v>
      </c>
      <c r="AJ305" t="s">
        <v>91</v>
      </c>
      <c r="AK305">
        <f>5/35*AG305</f>
        <v>1.1428571428571428</v>
      </c>
    </row>
    <row r="306" spans="1:37" x14ac:dyDescent="0.35">
      <c r="A306" t="s">
        <v>27</v>
      </c>
      <c r="B306">
        <v>233</v>
      </c>
      <c r="C306" t="s">
        <v>569</v>
      </c>
      <c r="D306" s="2">
        <v>38266</v>
      </c>
      <c r="E306" t="s">
        <v>50</v>
      </c>
      <c r="F306" s="3">
        <v>0.6069444444444444</v>
      </c>
      <c r="G306" s="3">
        <v>0.61736111111111114</v>
      </c>
      <c r="H306">
        <v>15.7</v>
      </c>
      <c r="I306">
        <v>59</v>
      </c>
      <c r="J306">
        <v>2</v>
      </c>
      <c r="K306">
        <v>3</v>
      </c>
      <c r="L306">
        <v>48</v>
      </c>
      <c r="M306">
        <v>48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f t="shared" si="5"/>
        <v>100</v>
      </c>
      <c r="AJ306" t="s">
        <v>10</v>
      </c>
      <c r="AK306">
        <f>0.01*M306</f>
        <v>0.48</v>
      </c>
    </row>
    <row r="307" spans="1:37" x14ac:dyDescent="0.35">
      <c r="A307" t="s">
        <v>27</v>
      </c>
      <c r="B307">
        <v>234</v>
      </c>
      <c r="C307" t="s">
        <v>570</v>
      </c>
      <c r="D307" s="2">
        <v>38271</v>
      </c>
      <c r="E307">
        <v>0</v>
      </c>
      <c r="F307" s="3">
        <v>0.59791666666666665</v>
      </c>
      <c r="G307" s="3">
        <v>0.60833333333333328</v>
      </c>
      <c r="H307">
        <v>10.3</v>
      </c>
      <c r="I307">
        <v>49</v>
      </c>
      <c r="J307">
        <v>2</v>
      </c>
      <c r="K307">
        <v>2</v>
      </c>
      <c r="L307">
        <v>25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15</v>
      </c>
      <c r="V307">
        <v>60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f t="shared" si="5"/>
        <v>100</v>
      </c>
      <c r="AJ307" t="s">
        <v>16</v>
      </c>
      <c r="AK307">
        <f>0.06*U307</f>
        <v>0.89999999999999991</v>
      </c>
    </row>
    <row r="308" spans="1:37" x14ac:dyDescent="0.35">
      <c r="A308" t="s">
        <v>27</v>
      </c>
      <c r="B308">
        <v>236</v>
      </c>
      <c r="C308" t="s">
        <v>571</v>
      </c>
      <c r="D308" s="2">
        <v>38279</v>
      </c>
      <c r="E308" t="s">
        <v>45</v>
      </c>
      <c r="F308" s="3">
        <v>0.60277777777777775</v>
      </c>
      <c r="G308" s="3">
        <v>0.61319444444444449</v>
      </c>
      <c r="H308">
        <f>(14.5+12.6)/2</f>
        <v>13.55</v>
      </c>
      <c r="I308">
        <v>77</v>
      </c>
      <c r="J308">
        <v>1</v>
      </c>
      <c r="K308">
        <v>1</v>
      </c>
      <c r="L308">
        <v>37</v>
      </c>
      <c r="M308">
        <v>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f t="shared" si="5"/>
        <v>100</v>
      </c>
      <c r="AJ308" t="s">
        <v>14</v>
      </c>
      <c r="AK308">
        <f>0.01*S308</f>
        <v>0.6</v>
      </c>
    </row>
    <row r="309" spans="1:37" x14ac:dyDescent="0.35">
      <c r="A309" t="s">
        <v>27</v>
      </c>
      <c r="B309">
        <v>235</v>
      </c>
      <c r="C309" t="s">
        <v>572</v>
      </c>
      <c r="D309" s="2">
        <v>38279</v>
      </c>
      <c r="E309">
        <v>0</v>
      </c>
      <c r="F309" s="3">
        <v>0.58819444444444446</v>
      </c>
      <c r="G309" s="3">
        <v>0.59861111111111109</v>
      </c>
      <c r="H309">
        <v>12.1</v>
      </c>
      <c r="I309">
        <v>66</v>
      </c>
      <c r="J309">
        <v>2</v>
      </c>
      <c r="K309">
        <v>1</v>
      </c>
      <c r="L309">
        <v>80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12</v>
      </c>
      <c r="V309">
        <v>8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f t="shared" si="5"/>
        <v>100</v>
      </c>
      <c r="AJ309" t="s">
        <v>16</v>
      </c>
      <c r="AK309">
        <f>0.02*U309</f>
        <v>0.24</v>
      </c>
    </row>
    <row r="310" spans="1:37" x14ac:dyDescent="0.35">
      <c r="A310" t="s">
        <v>27</v>
      </c>
      <c r="B310">
        <v>237</v>
      </c>
      <c r="C310" t="s">
        <v>573</v>
      </c>
      <c r="D310" s="2">
        <v>38287</v>
      </c>
      <c r="E310" t="s">
        <v>36</v>
      </c>
      <c r="F310" s="3">
        <v>0.59513888888888888</v>
      </c>
      <c r="G310" s="3">
        <v>0.60555555555555551</v>
      </c>
      <c r="H310">
        <v>11.5</v>
      </c>
      <c r="I310">
        <v>55</v>
      </c>
      <c r="J310">
        <v>0</v>
      </c>
      <c r="K310">
        <v>1</v>
      </c>
      <c r="L310">
        <v>60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20</v>
      </c>
      <c r="V310">
        <v>20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f t="shared" si="5"/>
        <v>100</v>
      </c>
      <c r="AJ310" t="s">
        <v>16</v>
      </c>
      <c r="AK310">
        <f>0.01*U310</f>
        <v>0.2</v>
      </c>
    </row>
    <row r="311" spans="1:37" x14ac:dyDescent="0.35">
      <c r="A311" t="s">
        <v>30</v>
      </c>
      <c r="B311">
        <v>1</v>
      </c>
      <c r="C311" t="s">
        <v>574</v>
      </c>
      <c r="D311" s="2">
        <v>38091</v>
      </c>
      <c r="E311" t="s">
        <v>36</v>
      </c>
      <c r="F311" s="3">
        <v>0.57638888888888895</v>
      </c>
      <c r="G311" s="3">
        <v>0.58680555555555558</v>
      </c>
      <c r="H311">
        <v>10.9</v>
      </c>
      <c r="I311">
        <v>47</v>
      </c>
      <c r="J311">
        <v>4</v>
      </c>
      <c r="K311">
        <v>2</v>
      </c>
      <c r="L311">
        <v>62</v>
      </c>
      <c r="M311">
        <v>0</v>
      </c>
      <c r="N311">
        <v>15</v>
      </c>
      <c r="O311">
        <v>15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8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f t="shared" si="5"/>
        <v>100</v>
      </c>
      <c r="AJ311" t="s">
        <v>9</v>
      </c>
      <c r="AK311">
        <f>1*L311</f>
        <v>62</v>
      </c>
    </row>
    <row r="312" spans="1:37" x14ac:dyDescent="0.35">
      <c r="A312" t="s">
        <v>30</v>
      </c>
      <c r="B312">
        <v>2</v>
      </c>
      <c r="C312" t="s">
        <v>575</v>
      </c>
      <c r="D312" s="2">
        <v>38091</v>
      </c>
      <c r="E312">
        <v>0</v>
      </c>
      <c r="F312" s="3">
        <v>0.59375</v>
      </c>
      <c r="G312" s="3">
        <v>0.60416666666666663</v>
      </c>
      <c r="H312">
        <v>11.9</v>
      </c>
      <c r="I312">
        <v>40</v>
      </c>
      <c r="J312">
        <v>2</v>
      </c>
      <c r="K312">
        <v>2</v>
      </c>
      <c r="L312">
        <v>100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f t="shared" si="5"/>
        <v>100</v>
      </c>
      <c r="AJ312" t="s">
        <v>9</v>
      </c>
      <c r="AK312">
        <f>1*L312</f>
        <v>100</v>
      </c>
    </row>
    <row r="313" spans="1:37" x14ac:dyDescent="0.35">
      <c r="A313" t="s">
        <v>30</v>
      </c>
      <c r="B313">
        <v>3</v>
      </c>
      <c r="C313" t="s">
        <v>576</v>
      </c>
      <c r="D313" s="2">
        <v>38091</v>
      </c>
      <c r="E313">
        <v>0</v>
      </c>
      <c r="F313" s="3">
        <v>0.61111111111111105</v>
      </c>
      <c r="G313" s="3">
        <v>0.62152777777777779</v>
      </c>
      <c r="H313">
        <v>13.3</v>
      </c>
      <c r="I313">
        <v>33</v>
      </c>
      <c r="J313">
        <v>0</v>
      </c>
      <c r="K313">
        <v>2</v>
      </c>
      <c r="L313">
        <v>92</v>
      </c>
      <c r="M313">
        <v>1</v>
      </c>
      <c r="N313">
        <v>0</v>
      </c>
      <c r="O313">
        <v>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5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f t="shared" si="5"/>
        <v>100</v>
      </c>
      <c r="AJ313" t="s">
        <v>9</v>
      </c>
      <c r="AK313">
        <f>1*L313</f>
        <v>92</v>
      </c>
    </row>
    <row r="314" spans="1:37" x14ac:dyDescent="0.35">
      <c r="A314" t="s">
        <v>30</v>
      </c>
      <c r="B314">
        <v>4</v>
      </c>
      <c r="C314" t="s">
        <v>577</v>
      </c>
      <c r="D314" s="2">
        <v>38091</v>
      </c>
      <c r="E314" t="s">
        <v>37</v>
      </c>
      <c r="F314" s="3">
        <v>0.62916666666666665</v>
      </c>
      <c r="G314" s="3">
        <v>0.63958333333333328</v>
      </c>
      <c r="H314">
        <v>12.4</v>
      </c>
      <c r="I314">
        <v>42</v>
      </c>
      <c r="J314">
        <v>0</v>
      </c>
      <c r="K314">
        <v>2</v>
      </c>
      <c r="L314">
        <v>81</v>
      </c>
      <c r="M314">
        <v>12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f t="shared" si="5"/>
        <v>100</v>
      </c>
      <c r="AJ314" t="s">
        <v>9</v>
      </c>
      <c r="AK314">
        <f>1*L314</f>
        <v>81</v>
      </c>
    </row>
    <row r="315" spans="1:37" x14ac:dyDescent="0.35">
      <c r="A315" t="s">
        <v>30</v>
      </c>
      <c r="B315">
        <v>6</v>
      </c>
      <c r="C315" t="s">
        <v>578</v>
      </c>
      <c r="D315" s="2">
        <v>38099</v>
      </c>
      <c r="E315">
        <v>0</v>
      </c>
      <c r="F315" s="3">
        <v>0.52777777777777779</v>
      </c>
      <c r="G315" s="3">
        <v>0.53819444444444442</v>
      </c>
      <c r="H315">
        <v>14.5</v>
      </c>
      <c r="I315">
        <v>46</v>
      </c>
      <c r="J315">
        <v>5</v>
      </c>
      <c r="K315">
        <v>2</v>
      </c>
      <c r="L315">
        <v>94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>
        <v>0</v>
      </c>
      <c r="U315">
        <v>0</v>
      </c>
      <c r="V315">
        <v>0</v>
      </c>
      <c r="W315">
        <v>3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0</v>
      </c>
      <c r="AI315">
        <f t="shared" si="5"/>
        <v>100</v>
      </c>
      <c r="AJ315" t="s">
        <v>9</v>
      </c>
      <c r="AK315">
        <f>0.005*L315</f>
        <v>0.47000000000000003</v>
      </c>
    </row>
    <row r="316" spans="1:37" x14ac:dyDescent="0.35">
      <c r="A316" t="s">
        <v>30</v>
      </c>
      <c r="B316">
        <v>8</v>
      </c>
      <c r="C316" t="s">
        <v>579</v>
      </c>
      <c r="D316" s="2">
        <v>38099</v>
      </c>
      <c r="E316">
        <v>0</v>
      </c>
      <c r="F316" s="3">
        <v>0.54861111111111105</v>
      </c>
      <c r="G316" s="3">
        <v>0.55902777777777779</v>
      </c>
      <c r="H316">
        <v>14.5</v>
      </c>
      <c r="I316">
        <v>47</v>
      </c>
      <c r="J316">
        <v>5</v>
      </c>
      <c r="K316">
        <v>3</v>
      </c>
      <c r="L316">
        <v>100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f t="shared" si="5"/>
        <v>100</v>
      </c>
      <c r="AJ316" t="s">
        <v>9</v>
      </c>
      <c r="AK316">
        <f>0.005*L316</f>
        <v>0.5</v>
      </c>
    </row>
    <row r="317" spans="1:37" x14ac:dyDescent="0.35">
      <c r="A317" t="s">
        <v>30</v>
      </c>
      <c r="B317">
        <v>7</v>
      </c>
      <c r="C317" t="s">
        <v>580</v>
      </c>
      <c r="D317" s="2">
        <v>38099</v>
      </c>
      <c r="E317">
        <v>0</v>
      </c>
      <c r="F317" s="3">
        <v>0.53819444444444442</v>
      </c>
      <c r="G317" s="3">
        <v>0.54861111111111105</v>
      </c>
      <c r="H317">
        <v>14.9</v>
      </c>
      <c r="I317">
        <v>46</v>
      </c>
      <c r="J317">
        <v>5</v>
      </c>
      <c r="K317">
        <v>2</v>
      </c>
      <c r="L317">
        <v>99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f t="shared" si="5"/>
        <v>100</v>
      </c>
      <c r="AJ317" t="s">
        <v>9</v>
      </c>
      <c r="AK317">
        <f>0.01*L317</f>
        <v>0.99</v>
      </c>
    </row>
    <row r="318" spans="1:37" x14ac:dyDescent="0.35">
      <c r="A318" t="s">
        <v>30</v>
      </c>
      <c r="B318">
        <v>5</v>
      </c>
      <c r="C318" t="s">
        <v>581</v>
      </c>
      <c r="D318" s="2">
        <v>38099</v>
      </c>
      <c r="E318">
        <v>0</v>
      </c>
      <c r="F318" s="3">
        <v>0.51736111111111105</v>
      </c>
      <c r="G318" s="3">
        <v>0.52777777777777779</v>
      </c>
      <c r="H318">
        <v>14.4</v>
      </c>
      <c r="I318">
        <v>44</v>
      </c>
      <c r="J318">
        <v>5</v>
      </c>
      <c r="K318">
        <v>3</v>
      </c>
      <c r="L318">
        <v>94</v>
      </c>
      <c r="M318">
        <v>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f t="shared" si="5"/>
        <v>100</v>
      </c>
      <c r="AJ318" t="s">
        <v>9</v>
      </c>
      <c r="AK318">
        <f>0.02*L318</f>
        <v>1.8800000000000001</v>
      </c>
    </row>
    <row r="319" spans="1:37" x14ac:dyDescent="0.35">
      <c r="A319" t="s">
        <v>30</v>
      </c>
      <c r="B319">
        <v>9</v>
      </c>
      <c r="C319" t="s">
        <v>582</v>
      </c>
      <c r="D319" s="2">
        <v>38117</v>
      </c>
      <c r="E319">
        <v>0</v>
      </c>
      <c r="F319" s="3">
        <v>0.60972222222222217</v>
      </c>
      <c r="G319" s="3">
        <v>0.62013888888888891</v>
      </c>
      <c r="H319">
        <v>20.5</v>
      </c>
      <c r="I319">
        <v>43</v>
      </c>
      <c r="J319">
        <v>4</v>
      </c>
      <c r="K319">
        <v>1</v>
      </c>
      <c r="L319">
        <v>10</v>
      </c>
      <c r="M319">
        <v>0</v>
      </c>
      <c r="N319">
        <v>0</v>
      </c>
      <c r="O319">
        <v>0</v>
      </c>
      <c r="P319">
        <v>75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10</v>
      </c>
      <c r="W319">
        <v>5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f t="shared" si="5"/>
        <v>100</v>
      </c>
      <c r="AJ319" t="s">
        <v>13</v>
      </c>
      <c r="AK319">
        <f>0.75*P319</f>
        <v>56.25</v>
      </c>
    </row>
    <row r="320" spans="1:37" x14ac:dyDescent="0.35">
      <c r="A320" t="s">
        <v>30</v>
      </c>
      <c r="B320">
        <v>10</v>
      </c>
      <c r="C320" t="s">
        <v>583</v>
      </c>
      <c r="D320" s="2">
        <v>38117</v>
      </c>
      <c r="E320" t="s">
        <v>36</v>
      </c>
      <c r="F320" s="3">
        <v>0.6333333333333333</v>
      </c>
      <c r="G320" s="3">
        <v>0.64375000000000004</v>
      </c>
      <c r="H320">
        <v>18.899999999999999</v>
      </c>
      <c r="I320">
        <v>53</v>
      </c>
      <c r="J320">
        <v>5</v>
      </c>
      <c r="K320">
        <v>0</v>
      </c>
      <c r="L320">
        <v>5</v>
      </c>
      <c r="M320">
        <v>0</v>
      </c>
      <c r="N320">
        <v>80</v>
      </c>
      <c r="O320">
        <v>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f t="shared" si="5"/>
        <v>100</v>
      </c>
      <c r="AJ320" t="s">
        <v>11</v>
      </c>
      <c r="AK320">
        <f>0.9*N320</f>
        <v>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80"/>
  <sheetViews>
    <sheetView workbookViewId="0">
      <selection activeCell="AF1" sqref="AF1:AG1"/>
    </sheetView>
  </sheetViews>
  <sheetFormatPr defaultRowHeight="14.5" x14ac:dyDescent="0.35"/>
  <cols>
    <col min="1" max="1" width="5.08984375" customWidth="1"/>
    <col min="3" max="3" width="10.36328125" bestFit="1" customWidth="1"/>
    <col min="4" max="4" width="10.08984375" customWidth="1"/>
    <col min="8" max="9" width="4.81640625" customWidth="1"/>
    <col min="10" max="31" width="5.08984375" customWidth="1"/>
    <col min="32" max="32" width="19.36328125" customWidth="1"/>
    <col min="257" max="257" width="5.08984375" customWidth="1"/>
    <col min="259" max="259" width="10.36328125" bestFit="1" customWidth="1"/>
    <col min="260" max="260" width="10.08984375" customWidth="1"/>
    <col min="264" max="265" width="4.81640625" customWidth="1"/>
    <col min="266" max="287" width="5.08984375" customWidth="1"/>
    <col min="288" max="288" width="19.36328125" customWidth="1"/>
    <col min="513" max="513" width="5.08984375" customWidth="1"/>
    <col min="515" max="515" width="10.36328125" bestFit="1" customWidth="1"/>
    <col min="516" max="516" width="10.08984375" customWidth="1"/>
    <col min="520" max="521" width="4.81640625" customWidth="1"/>
    <col min="522" max="543" width="5.08984375" customWidth="1"/>
    <col min="544" max="544" width="19.36328125" customWidth="1"/>
    <col min="769" max="769" width="5.08984375" customWidth="1"/>
    <col min="771" max="771" width="10.36328125" bestFit="1" customWidth="1"/>
    <col min="772" max="772" width="10.08984375" customWidth="1"/>
    <col min="776" max="777" width="4.81640625" customWidth="1"/>
    <col min="778" max="799" width="5.08984375" customWidth="1"/>
    <col min="800" max="800" width="19.36328125" customWidth="1"/>
    <col min="1025" max="1025" width="5.08984375" customWidth="1"/>
    <col min="1027" max="1027" width="10.36328125" bestFit="1" customWidth="1"/>
    <col min="1028" max="1028" width="10.08984375" customWidth="1"/>
    <col min="1032" max="1033" width="4.81640625" customWidth="1"/>
    <col min="1034" max="1055" width="5.08984375" customWidth="1"/>
    <col min="1056" max="1056" width="19.36328125" customWidth="1"/>
    <col min="1281" max="1281" width="5.08984375" customWidth="1"/>
    <col min="1283" max="1283" width="10.36328125" bestFit="1" customWidth="1"/>
    <col min="1284" max="1284" width="10.08984375" customWidth="1"/>
    <col min="1288" max="1289" width="4.81640625" customWidth="1"/>
    <col min="1290" max="1311" width="5.08984375" customWidth="1"/>
    <col min="1312" max="1312" width="19.36328125" customWidth="1"/>
    <col min="1537" max="1537" width="5.08984375" customWidth="1"/>
    <col min="1539" max="1539" width="10.36328125" bestFit="1" customWidth="1"/>
    <col min="1540" max="1540" width="10.08984375" customWidth="1"/>
    <col min="1544" max="1545" width="4.81640625" customWidth="1"/>
    <col min="1546" max="1567" width="5.08984375" customWidth="1"/>
    <col min="1568" max="1568" width="19.36328125" customWidth="1"/>
    <col min="1793" max="1793" width="5.08984375" customWidth="1"/>
    <col min="1795" max="1795" width="10.36328125" bestFit="1" customWidth="1"/>
    <col min="1796" max="1796" width="10.08984375" customWidth="1"/>
    <col min="1800" max="1801" width="4.81640625" customWidth="1"/>
    <col min="1802" max="1823" width="5.08984375" customWidth="1"/>
    <col min="1824" max="1824" width="19.36328125" customWidth="1"/>
    <col min="2049" max="2049" width="5.08984375" customWidth="1"/>
    <col min="2051" max="2051" width="10.36328125" bestFit="1" customWidth="1"/>
    <col min="2052" max="2052" width="10.08984375" customWidth="1"/>
    <col min="2056" max="2057" width="4.81640625" customWidth="1"/>
    <col min="2058" max="2079" width="5.08984375" customWidth="1"/>
    <col min="2080" max="2080" width="19.36328125" customWidth="1"/>
    <col min="2305" max="2305" width="5.08984375" customWidth="1"/>
    <col min="2307" max="2307" width="10.36328125" bestFit="1" customWidth="1"/>
    <col min="2308" max="2308" width="10.08984375" customWidth="1"/>
    <col min="2312" max="2313" width="4.81640625" customWidth="1"/>
    <col min="2314" max="2335" width="5.08984375" customWidth="1"/>
    <col min="2336" max="2336" width="19.36328125" customWidth="1"/>
    <col min="2561" max="2561" width="5.08984375" customWidth="1"/>
    <col min="2563" max="2563" width="10.36328125" bestFit="1" customWidth="1"/>
    <col min="2564" max="2564" width="10.08984375" customWidth="1"/>
    <col min="2568" max="2569" width="4.81640625" customWidth="1"/>
    <col min="2570" max="2591" width="5.08984375" customWidth="1"/>
    <col min="2592" max="2592" width="19.36328125" customWidth="1"/>
    <col min="2817" max="2817" width="5.08984375" customWidth="1"/>
    <col min="2819" max="2819" width="10.36328125" bestFit="1" customWidth="1"/>
    <col min="2820" max="2820" width="10.08984375" customWidth="1"/>
    <col min="2824" max="2825" width="4.81640625" customWidth="1"/>
    <col min="2826" max="2847" width="5.08984375" customWidth="1"/>
    <col min="2848" max="2848" width="19.36328125" customWidth="1"/>
    <col min="3073" max="3073" width="5.08984375" customWidth="1"/>
    <col min="3075" max="3075" width="10.36328125" bestFit="1" customWidth="1"/>
    <col min="3076" max="3076" width="10.08984375" customWidth="1"/>
    <col min="3080" max="3081" width="4.81640625" customWidth="1"/>
    <col min="3082" max="3103" width="5.08984375" customWidth="1"/>
    <col min="3104" max="3104" width="19.36328125" customWidth="1"/>
    <col min="3329" max="3329" width="5.08984375" customWidth="1"/>
    <col min="3331" max="3331" width="10.36328125" bestFit="1" customWidth="1"/>
    <col min="3332" max="3332" width="10.08984375" customWidth="1"/>
    <col min="3336" max="3337" width="4.81640625" customWidth="1"/>
    <col min="3338" max="3359" width="5.08984375" customWidth="1"/>
    <col min="3360" max="3360" width="19.36328125" customWidth="1"/>
    <col min="3585" max="3585" width="5.08984375" customWidth="1"/>
    <col min="3587" max="3587" width="10.36328125" bestFit="1" customWidth="1"/>
    <col min="3588" max="3588" width="10.08984375" customWidth="1"/>
    <col min="3592" max="3593" width="4.81640625" customWidth="1"/>
    <col min="3594" max="3615" width="5.08984375" customWidth="1"/>
    <col min="3616" max="3616" width="19.36328125" customWidth="1"/>
    <col min="3841" max="3841" width="5.08984375" customWidth="1"/>
    <col min="3843" max="3843" width="10.36328125" bestFit="1" customWidth="1"/>
    <col min="3844" max="3844" width="10.08984375" customWidth="1"/>
    <col min="3848" max="3849" width="4.81640625" customWidth="1"/>
    <col min="3850" max="3871" width="5.08984375" customWidth="1"/>
    <col min="3872" max="3872" width="19.36328125" customWidth="1"/>
    <col min="4097" max="4097" width="5.08984375" customWidth="1"/>
    <col min="4099" max="4099" width="10.36328125" bestFit="1" customWidth="1"/>
    <col min="4100" max="4100" width="10.08984375" customWidth="1"/>
    <col min="4104" max="4105" width="4.81640625" customWidth="1"/>
    <col min="4106" max="4127" width="5.08984375" customWidth="1"/>
    <col min="4128" max="4128" width="19.36328125" customWidth="1"/>
    <col min="4353" max="4353" width="5.08984375" customWidth="1"/>
    <col min="4355" max="4355" width="10.36328125" bestFit="1" customWidth="1"/>
    <col min="4356" max="4356" width="10.08984375" customWidth="1"/>
    <col min="4360" max="4361" width="4.81640625" customWidth="1"/>
    <col min="4362" max="4383" width="5.08984375" customWidth="1"/>
    <col min="4384" max="4384" width="19.36328125" customWidth="1"/>
    <col min="4609" max="4609" width="5.08984375" customWidth="1"/>
    <col min="4611" max="4611" width="10.36328125" bestFit="1" customWidth="1"/>
    <col min="4612" max="4612" width="10.08984375" customWidth="1"/>
    <col min="4616" max="4617" width="4.81640625" customWidth="1"/>
    <col min="4618" max="4639" width="5.08984375" customWidth="1"/>
    <col min="4640" max="4640" width="19.36328125" customWidth="1"/>
    <col min="4865" max="4865" width="5.08984375" customWidth="1"/>
    <col min="4867" max="4867" width="10.36328125" bestFit="1" customWidth="1"/>
    <col min="4868" max="4868" width="10.08984375" customWidth="1"/>
    <col min="4872" max="4873" width="4.81640625" customWidth="1"/>
    <col min="4874" max="4895" width="5.08984375" customWidth="1"/>
    <col min="4896" max="4896" width="19.36328125" customWidth="1"/>
    <col min="5121" max="5121" width="5.08984375" customWidth="1"/>
    <col min="5123" max="5123" width="10.36328125" bestFit="1" customWidth="1"/>
    <col min="5124" max="5124" width="10.08984375" customWidth="1"/>
    <col min="5128" max="5129" width="4.81640625" customWidth="1"/>
    <col min="5130" max="5151" width="5.08984375" customWidth="1"/>
    <col min="5152" max="5152" width="19.36328125" customWidth="1"/>
    <col min="5377" max="5377" width="5.08984375" customWidth="1"/>
    <col min="5379" max="5379" width="10.36328125" bestFit="1" customWidth="1"/>
    <col min="5380" max="5380" width="10.08984375" customWidth="1"/>
    <col min="5384" max="5385" width="4.81640625" customWidth="1"/>
    <col min="5386" max="5407" width="5.08984375" customWidth="1"/>
    <col min="5408" max="5408" width="19.36328125" customWidth="1"/>
    <col min="5633" max="5633" width="5.08984375" customWidth="1"/>
    <col min="5635" max="5635" width="10.36328125" bestFit="1" customWidth="1"/>
    <col min="5636" max="5636" width="10.08984375" customWidth="1"/>
    <col min="5640" max="5641" width="4.81640625" customWidth="1"/>
    <col min="5642" max="5663" width="5.08984375" customWidth="1"/>
    <col min="5664" max="5664" width="19.36328125" customWidth="1"/>
    <col min="5889" max="5889" width="5.08984375" customWidth="1"/>
    <col min="5891" max="5891" width="10.36328125" bestFit="1" customWidth="1"/>
    <col min="5892" max="5892" width="10.08984375" customWidth="1"/>
    <col min="5896" max="5897" width="4.81640625" customWidth="1"/>
    <col min="5898" max="5919" width="5.08984375" customWidth="1"/>
    <col min="5920" max="5920" width="19.36328125" customWidth="1"/>
    <col min="6145" max="6145" width="5.08984375" customWidth="1"/>
    <col min="6147" max="6147" width="10.36328125" bestFit="1" customWidth="1"/>
    <col min="6148" max="6148" width="10.08984375" customWidth="1"/>
    <col min="6152" max="6153" width="4.81640625" customWidth="1"/>
    <col min="6154" max="6175" width="5.08984375" customWidth="1"/>
    <col min="6176" max="6176" width="19.36328125" customWidth="1"/>
    <col min="6401" max="6401" width="5.08984375" customWidth="1"/>
    <col min="6403" max="6403" width="10.36328125" bestFit="1" customWidth="1"/>
    <col min="6404" max="6404" width="10.08984375" customWidth="1"/>
    <col min="6408" max="6409" width="4.81640625" customWidth="1"/>
    <col min="6410" max="6431" width="5.08984375" customWidth="1"/>
    <col min="6432" max="6432" width="19.36328125" customWidth="1"/>
    <col min="6657" max="6657" width="5.08984375" customWidth="1"/>
    <col min="6659" max="6659" width="10.36328125" bestFit="1" customWidth="1"/>
    <col min="6660" max="6660" width="10.08984375" customWidth="1"/>
    <col min="6664" max="6665" width="4.81640625" customWidth="1"/>
    <col min="6666" max="6687" width="5.08984375" customWidth="1"/>
    <col min="6688" max="6688" width="19.36328125" customWidth="1"/>
    <col min="6913" max="6913" width="5.08984375" customWidth="1"/>
    <col min="6915" max="6915" width="10.36328125" bestFit="1" customWidth="1"/>
    <col min="6916" max="6916" width="10.08984375" customWidth="1"/>
    <col min="6920" max="6921" width="4.81640625" customWidth="1"/>
    <col min="6922" max="6943" width="5.08984375" customWidth="1"/>
    <col min="6944" max="6944" width="19.36328125" customWidth="1"/>
    <col min="7169" max="7169" width="5.08984375" customWidth="1"/>
    <col min="7171" max="7171" width="10.36328125" bestFit="1" customWidth="1"/>
    <col min="7172" max="7172" width="10.08984375" customWidth="1"/>
    <col min="7176" max="7177" width="4.81640625" customWidth="1"/>
    <col min="7178" max="7199" width="5.08984375" customWidth="1"/>
    <col min="7200" max="7200" width="19.36328125" customWidth="1"/>
    <col min="7425" max="7425" width="5.08984375" customWidth="1"/>
    <col min="7427" max="7427" width="10.36328125" bestFit="1" customWidth="1"/>
    <col min="7428" max="7428" width="10.08984375" customWidth="1"/>
    <col min="7432" max="7433" width="4.81640625" customWidth="1"/>
    <col min="7434" max="7455" width="5.08984375" customWidth="1"/>
    <col min="7456" max="7456" width="19.36328125" customWidth="1"/>
    <col min="7681" max="7681" width="5.08984375" customWidth="1"/>
    <col min="7683" max="7683" width="10.36328125" bestFit="1" customWidth="1"/>
    <col min="7684" max="7684" width="10.08984375" customWidth="1"/>
    <col min="7688" max="7689" width="4.81640625" customWidth="1"/>
    <col min="7690" max="7711" width="5.08984375" customWidth="1"/>
    <col min="7712" max="7712" width="19.36328125" customWidth="1"/>
    <col min="7937" max="7937" width="5.08984375" customWidth="1"/>
    <col min="7939" max="7939" width="10.36328125" bestFit="1" customWidth="1"/>
    <col min="7940" max="7940" width="10.08984375" customWidth="1"/>
    <col min="7944" max="7945" width="4.81640625" customWidth="1"/>
    <col min="7946" max="7967" width="5.08984375" customWidth="1"/>
    <col min="7968" max="7968" width="19.36328125" customWidth="1"/>
    <col min="8193" max="8193" width="5.08984375" customWidth="1"/>
    <col min="8195" max="8195" width="10.36328125" bestFit="1" customWidth="1"/>
    <col min="8196" max="8196" width="10.08984375" customWidth="1"/>
    <col min="8200" max="8201" width="4.81640625" customWidth="1"/>
    <col min="8202" max="8223" width="5.08984375" customWidth="1"/>
    <col min="8224" max="8224" width="19.36328125" customWidth="1"/>
    <col min="8449" max="8449" width="5.08984375" customWidth="1"/>
    <col min="8451" max="8451" width="10.36328125" bestFit="1" customWidth="1"/>
    <col min="8452" max="8452" width="10.08984375" customWidth="1"/>
    <col min="8456" max="8457" width="4.81640625" customWidth="1"/>
    <col min="8458" max="8479" width="5.08984375" customWidth="1"/>
    <col min="8480" max="8480" width="19.36328125" customWidth="1"/>
    <col min="8705" max="8705" width="5.08984375" customWidth="1"/>
    <col min="8707" max="8707" width="10.36328125" bestFit="1" customWidth="1"/>
    <col min="8708" max="8708" width="10.08984375" customWidth="1"/>
    <col min="8712" max="8713" width="4.81640625" customWidth="1"/>
    <col min="8714" max="8735" width="5.08984375" customWidth="1"/>
    <col min="8736" max="8736" width="19.36328125" customWidth="1"/>
    <col min="8961" max="8961" width="5.08984375" customWidth="1"/>
    <col min="8963" max="8963" width="10.36328125" bestFit="1" customWidth="1"/>
    <col min="8964" max="8964" width="10.08984375" customWidth="1"/>
    <col min="8968" max="8969" width="4.81640625" customWidth="1"/>
    <col min="8970" max="8991" width="5.08984375" customWidth="1"/>
    <col min="8992" max="8992" width="19.36328125" customWidth="1"/>
    <col min="9217" max="9217" width="5.08984375" customWidth="1"/>
    <col min="9219" max="9219" width="10.36328125" bestFit="1" customWidth="1"/>
    <col min="9220" max="9220" width="10.08984375" customWidth="1"/>
    <col min="9224" max="9225" width="4.81640625" customWidth="1"/>
    <col min="9226" max="9247" width="5.08984375" customWidth="1"/>
    <col min="9248" max="9248" width="19.36328125" customWidth="1"/>
    <col min="9473" max="9473" width="5.08984375" customWidth="1"/>
    <col min="9475" max="9475" width="10.36328125" bestFit="1" customWidth="1"/>
    <col min="9476" max="9476" width="10.08984375" customWidth="1"/>
    <col min="9480" max="9481" width="4.81640625" customWidth="1"/>
    <col min="9482" max="9503" width="5.08984375" customWidth="1"/>
    <col min="9504" max="9504" width="19.36328125" customWidth="1"/>
    <col min="9729" max="9729" width="5.08984375" customWidth="1"/>
    <col min="9731" max="9731" width="10.36328125" bestFit="1" customWidth="1"/>
    <col min="9732" max="9732" width="10.08984375" customWidth="1"/>
    <col min="9736" max="9737" width="4.81640625" customWidth="1"/>
    <col min="9738" max="9759" width="5.08984375" customWidth="1"/>
    <col min="9760" max="9760" width="19.36328125" customWidth="1"/>
    <col min="9985" max="9985" width="5.08984375" customWidth="1"/>
    <col min="9987" max="9987" width="10.36328125" bestFit="1" customWidth="1"/>
    <col min="9988" max="9988" width="10.08984375" customWidth="1"/>
    <col min="9992" max="9993" width="4.81640625" customWidth="1"/>
    <col min="9994" max="10015" width="5.08984375" customWidth="1"/>
    <col min="10016" max="10016" width="19.36328125" customWidth="1"/>
    <col min="10241" max="10241" width="5.08984375" customWidth="1"/>
    <col min="10243" max="10243" width="10.36328125" bestFit="1" customWidth="1"/>
    <col min="10244" max="10244" width="10.08984375" customWidth="1"/>
    <col min="10248" max="10249" width="4.81640625" customWidth="1"/>
    <col min="10250" max="10271" width="5.08984375" customWidth="1"/>
    <col min="10272" max="10272" width="19.36328125" customWidth="1"/>
    <col min="10497" max="10497" width="5.08984375" customWidth="1"/>
    <col min="10499" max="10499" width="10.36328125" bestFit="1" customWidth="1"/>
    <col min="10500" max="10500" width="10.08984375" customWidth="1"/>
    <col min="10504" max="10505" width="4.81640625" customWidth="1"/>
    <col min="10506" max="10527" width="5.08984375" customWidth="1"/>
    <col min="10528" max="10528" width="19.36328125" customWidth="1"/>
    <col min="10753" max="10753" width="5.08984375" customWidth="1"/>
    <col min="10755" max="10755" width="10.36328125" bestFit="1" customWidth="1"/>
    <col min="10756" max="10756" width="10.08984375" customWidth="1"/>
    <col min="10760" max="10761" width="4.81640625" customWidth="1"/>
    <col min="10762" max="10783" width="5.08984375" customWidth="1"/>
    <col min="10784" max="10784" width="19.36328125" customWidth="1"/>
    <col min="11009" max="11009" width="5.08984375" customWidth="1"/>
    <col min="11011" max="11011" width="10.36328125" bestFit="1" customWidth="1"/>
    <col min="11012" max="11012" width="10.08984375" customWidth="1"/>
    <col min="11016" max="11017" width="4.81640625" customWidth="1"/>
    <col min="11018" max="11039" width="5.08984375" customWidth="1"/>
    <col min="11040" max="11040" width="19.36328125" customWidth="1"/>
    <col min="11265" max="11265" width="5.08984375" customWidth="1"/>
    <col min="11267" max="11267" width="10.36328125" bestFit="1" customWidth="1"/>
    <col min="11268" max="11268" width="10.08984375" customWidth="1"/>
    <col min="11272" max="11273" width="4.81640625" customWidth="1"/>
    <col min="11274" max="11295" width="5.08984375" customWidth="1"/>
    <col min="11296" max="11296" width="19.36328125" customWidth="1"/>
    <col min="11521" max="11521" width="5.08984375" customWidth="1"/>
    <col min="11523" max="11523" width="10.36328125" bestFit="1" customWidth="1"/>
    <col min="11524" max="11524" width="10.08984375" customWidth="1"/>
    <col min="11528" max="11529" width="4.81640625" customWidth="1"/>
    <col min="11530" max="11551" width="5.08984375" customWidth="1"/>
    <col min="11552" max="11552" width="19.36328125" customWidth="1"/>
    <col min="11777" max="11777" width="5.08984375" customWidth="1"/>
    <col min="11779" max="11779" width="10.36328125" bestFit="1" customWidth="1"/>
    <col min="11780" max="11780" width="10.08984375" customWidth="1"/>
    <col min="11784" max="11785" width="4.81640625" customWidth="1"/>
    <col min="11786" max="11807" width="5.08984375" customWidth="1"/>
    <col min="11808" max="11808" width="19.36328125" customWidth="1"/>
    <col min="12033" max="12033" width="5.08984375" customWidth="1"/>
    <col min="12035" max="12035" width="10.36328125" bestFit="1" customWidth="1"/>
    <col min="12036" max="12036" width="10.08984375" customWidth="1"/>
    <col min="12040" max="12041" width="4.81640625" customWidth="1"/>
    <col min="12042" max="12063" width="5.08984375" customWidth="1"/>
    <col min="12064" max="12064" width="19.36328125" customWidth="1"/>
    <col min="12289" max="12289" width="5.08984375" customWidth="1"/>
    <col min="12291" max="12291" width="10.36328125" bestFit="1" customWidth="1"/>
    <col min="12292" max="12292" width="10.08984375" customWidth="1"/>
    <col min="12296" max="12297" width="4.81640625" customWidth="1"/>
    <col min="12298" max="12319" width="5.08984375" customWidth="1"/>
    <col min="12320" max="12320" width="19.36328125" customWidth="1"/>
    <col min="12545" max="12545" width="5.08984375" customWidth="1"/>
    <col min="12547" max="12547" width="10.36328125" bestFit="1" customWidth="1"/>
    <col min="12548" max="12548" width="10.08984375" customWidth="1"/>
    <col min="12552" max="12553" width="4.81640625" customWidth="1"/>
    <col min="12554" max="12575" width="5.08984375" customWidth="1"/>
    <col min="12576" max="12576" width="19.36328125" customWidth="1"/>
    <col min="12801" max="12801" width="5.08984375" customWidth="1"/>
    <col min="12803" max="12803" width="10.36328125" bestFit="1" customWidth="1"/>
    <col min="12804" max="12804" width="10.08984375" customWidth="1"/>
    <col min="12808" max="12809" width="4.81640625" customWidth="1"/>
    <col min="12810" max="12831" width="5.08984375" customWidth="1"/>
    <col min="12832" max="12832" width="19.36328125" customWidth="1"/>
    <col min="13057" max="13057" width="5.08984375" customWidth="1"/>
    <col min="13059" max="13059" width="10.36328125" bestFit="1" customWidth="1"/>
    <col min="13060" max="13060" width="10.08984375" customWidth="1"/>
    <col min="13064" max="13065" width="4.81640625" customWidth="1"/>
    <col min="13066" max="13087" width="5.08984375" customWidth="1"/>
    <col min="13088" max="13088" width="19.36328125" customWidth="1"/>
    <col min="13313" max="13313" width="5.08984375" customWidth="1"/>
    <col min="13315" max="13315" width="10.36328125" bestFit="1" customWidth="1"/>
    <col min="13316" max="13316" width="10.08984375" customWidth="1"/>
    <col min="13320" max="13321" width="4.81640625" customWidth="1"/>
    <col min="13322" max="13343" width="5.08984375" customWidth="1"/>
    <col min="13344" max="13344" width="19.36328125" customWidth="1"/>
    <col min="13569" max="13569" width="5.08984375" customWidth="1"/>
    <col min="13571" max="13571" width="10.36328125" bestFit="1" customWidth="1"/>
    <col min="13572" max="13572" width="10.08984375" customWidth="1"/>
    <col min="13576" max="13577" width="4.81640625" customWidth="1"/>
    <col min="13578" max="13599" width="5.08984375" customWidth="1"/>
    <col min="13600" max="13600" width="19.36328125" customWidth="1"/>
    <col min="13825" max="13825" width="5.08984375" customWidth="1"/>
    <col min="13827" max="13827" width="10.36328125" bestFit="1" customWidth="1"/>
    <col min="13828" max="13828" width="10.08984375" customWidth="1"/>
    <col min="13832" max="13833" width="4.81640625" customWidth="1"/>
    <col min="13834" max="13855" width="5.08984375" customWidth="1"/>
    <col min="13856" max="13856" width="19.36328125" customWidth="1"/>
    <col min="14081" max="14081" width="5.08984375" customWidth="1"/>
    <col min="14083" max="14083" width="10.36328125" bestFit="1" customWidth="1"/>
    <col min="14084" max="14084" width="10.08984375" customWidth="1"/>
    <col min="14088" max="14089" width="4.81640625" customWidth="1"/>
    <col min="14090" max="14111" width="5.08984375" customWidth="1"/>
    <col min="14112" max="14112" width="19.36328125" customWidth="1"/>
    <col min="14337" max="14337" width="5.08984375" customWidth="1"/>
    <col min="14339" max="14339" width="10.36328125" bestFit="1" customWidth="1"/>
    <col min="14340" max="14340" width="10.08984375" customWidth="1"/>
    <col min="14344" max="14345" width="4.81640625" customWidth="1"/>
    <col min="14346" max="14367" width="5.08984375" customWidth="1"/>
    <col min="14368" max="14368" width="19.36328125" customWidth="1"/>
    <col min="14593" max="14593" width="5.08984375" customWidth="1"/>
    <col min="14595" max="14595" width="10.36328125" bestFit="1" customWidth="1"/>
    <col min="14596" max="14596" width="10.08984375" customWidth="1"/>
    <col min="14600" max="14601" width="4.81640625" customWidth="1"/>
    <col min="14602" max="14623" width="5.08984375" customWidth="1"/>
    <col min="14624" max="14624" width="19.36328125" customWidth="1"/>
    <col min="14849" max="14849" width="5.08984375" customWidth="1"/>
    <col min="14851" max="14851" width="10.36328125" bestFit="1" customWidth="1"/>
    <col min="14852" max="14852" width="10.08984375" customWidth="1"/>
    <col min="14856" max="14857" width="4.81640625" customWidth="1"/>
    <col min="14858" max="14879" width="5.08984375" customWidth="1"/>
    <col min="14880" max="14880" width="19.36328125" customWidth="1"/>
    <col min="15105" max="15105" width="5.08984375" customWidth="1"/>
    <col min="15107" max="15107" width="10.36328125" bestFit="1" customWidth="1"/>
    <col min="15108" max="15108" width="10.08984375" customWidth="1"/>
    <col min="15112" max="15113" width="4.81640625" customWidth="1"/>
    <col min="15114" max="15135" width="5.08984375" customWidth="1"/>
    <col min="15136" max="15136" width="19.36328125" customWidth="1"/>
    <col min="15361" max="15361" width="5.08984375" customWidth="1"/>
    <col min="15363" max="15363" width="10.36328125" bestFit="1" customWidth="1"/>
    <col min="15364" max="15364" width="10.08984375" customWidth="1"/>
    <col min="15368" max="15369" width="4.81640625" customWidth="1"/>
    <col min="15370" max="15391" width="5.08984375" customWidth="1"/>
    <col min="15392" max="15392" width="19.36328125" customWidth="1"/>
    <col min="15617" max="15617" width="5.08984375" customWidth="1"/>
    <col min="15619" max="15619" width="10.36328125" bestFit="1" customWidth="1"/>
    <col min="15620" max="15620" width="10.08984375" customWidth="1"/>
    <col min="15624" max="15625" width="4.81640625" customWidth="1"/>
    <col min="15626" max="15647" width="5.08984375" customWidth="1"/>
    <col min="15648" max="15648" width="19.36328125" customWidth="1"/>
    <col min="15873" max="15873" width="5.08984375" customWidth="1"/>
    <col min="15875" max="15875" width="10.36328125" bestFit="1" customWidth="1"/>
    <col min="15876" max="15876" width="10.08984375" customWidth="1"/>
    <col min="15880" max="15881" width="4.81640625" customWidth="1"/>
    <col min="15882" max="15903" width="5.08984375" customWidth="1"/>
    <col min="15904" max="15904" width="19.36328125" customWidth="1"/>
    <col min="16129" max="16129" width="5.08984375" customWidth="1"/>
    <col min="16131" max="16131" width="10.36328125" bestFit="1" customWidth="1"/>
    <col min="16132" max="16132" width="10.08984375" customWidth="1"/>
    <col min="16136" max="16137" width="4.81640625" customWidth="1"/>
    <col min="16138" max="16159" width="5.08984375" customWidth="1"/>
    <col min="16160" max="16160" width="19.36328125" customWidth="1"/>
  </cols>
  <sheetData>
    <row r="1" spans="1:33" ht="110" x14ac:dyDescent="0.35">
      <c r="A1" s="1" t="s">
        <v>334</v>
      </c>
      <c r="B1" s="7" t="s">
        <v>98</v>
      </c>
      <c r="C1" s="7" t="s">
        <v>1</v>
      </c>
      <c r="D1" s="1" t="s">
        <v>2</v>
      </c>
      <c r="E1" s="1" t="s">
        <v>3</v>
      </c>
      <c r="F1" s="1" t="s">
        <v>4</v>
      </c>
      <c r="G1" s="7" t="s">
        <v>5</v>
      </c>
      <c r="H1" s="7" t="s">
        <v>6</v>
      </c>
      <c r="I1" s="1" t="s">
        <v>7</v>
      </c>
      <c r="J1" s="1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590</v>
      </c>
      <c r="Q1" s="11" t="s">
        <v>591</v>
      </c>
      <c r="R1" s="10" t="s">
        <v>14</v>
      </c>
      <c r="S1" s="10" t="s">
        <v>15</v>
      </c>
      <c r="T1" s="10" t="s">
        <v>16</v>
      </c>
      <c r="U1" s="10" t="s">
        <v>17</v>
      </c>
      <c r="V1" s="10" t="s">
        <v>592</v>
      </c>
      <c r="W1" s="10" t="s">
        <v>18</v>
      </c>
      <c r="X1" s="10" t="s">
        <v>593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0" t="s">
        <v>24</v>
      </c>
      <c r="AE1" s="10" t="s">
        <v>25</v>
      </c>
      <c r="AF1" s="14" t="s">
        <v>594</v>
      </c>
      <c r="AG1" s="14" t="s">
        <v>26</v>
      </c>
    </row>
    <row r="2" spans="1:33" x14ac:dyDescent="0.35">
      <c r="A2" t="s">
        <v>595</v>
      </c>
      <c r="B2" t="s">
        <v>596</v>
      </c>
      <c r="C2" s="2">
        <v>38452</v>
      </c>
      <c r="D2" t="s">
        <v>34</v>
      </c>
      <c r="E2" s="3">
        <v>0.67986111111111114</v>
      </c>
      <c r="F2" s="3">
        <v>0.69027777777777777</v>
      </c>
      <c r="G2">
        <v>15.5</v>
      </c>
      <c r="H2">
        <v>53</v>
      </c>
      <c r="I2">
        <v>2</v>
      </c>
      <c r="J2">
        <v>3</v>
      </c>
      <c r="K2">
        <v>90</v>
      </c>
      <c r="L2">
        <v>3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6</v>
      </c>
      <c r="AE2">
        <v>0</v>
      </c>
      <c r="AF2" t="s">
        <v>584</v>
      </c>
      <c r="AG2">
        <f>0.05*K2</f>
        <v>4.5</v>
      </c>
    </row>
    <row r="3" spans="1:33" x14ac:dyDescent="0.35">
      <c r="A3" t="s">
        <v>595</v>
      </c>
      <c r="B3" t="s">
        <v>597</v>
      </c>
      <c r="C3" s="2">
        <v>38455</v>
      </c>
      <c r="D3" t="s">
        <v>33</v>
      </c>
      <c r="E3" s="3">
        <v>0.56597222222222221</v>
      </c>
      <c r="F3" s="3">
        <v>0.57638888888888895</v>
      </c>
      <c r="G3">
        <v>12</v>
      </c>
      <c r="H3">
        <v>57</v>
      </c>
      <c r="I3">
        <v>5</v>
      </c>
      <c r="J3">
        <v>2</v>
      </c>
      <c r="K3">
        <v>75</v>
      </c>
      <c r="L3">
        <v>12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12</v>
      </c>
      <c r="AE3">
        <v>0</v>
      </c>
      <c r="AF3" t="s">
        <v>584</v>
      </c>
      <c r="AG3">
        <f>0.12*K3</f>
        <v>9</v>
      </c>
    </row>
    <row r="4" spans="1:33" x14ac:dyDescent="0.35">
      <c r="A4" t="s">
        <v>595</v>
      </c>
      <c r="B4" t="s">
        <v>598</v>
      </c>
      <c r="C4" s="2">
        <v>38458</v>
      </c>
      <c r="D4" t="s">
        <v>33</v>
      </c>
      <c r="E4" s="3">
        <v>0.57916666666666672</v>
      </c>
      <c r="F4" s="3">
        <v>0.58958333333333335</v>
      </c>
      <c r="G4">
        <v>16.899999999999999</v>
      </c>
      <c r="H4">
        <v>38</v>
      </c>
      <c r="I4">
        <v>2</v>
      </c>
      <c r="J4">
        <v>3</v>
      </c>
      <c r="K4">
        <v>75</v>
      </c>
      <c r="L4">
        <v>15</v>
      </c>
      <c r="M4">
        <v>5</v>
      </c>
      <c r="N4">
        <v>0</v>
      </c>
      <c r="O4">
        <v>0</v>
      </c>
      <c r="P4">
        <v>0</v>
      </c>
      <c r="Q4">
        <v>0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584</v>
      </c>
      <c r="AG4">
        <f>0.8*K4</f>
        <v>60</v>
      </c>
    </row>
    <row r="5" spans="1:33" x14ac:dyDescent="0.35">
      <c r="A5" t="s">
        <v>595</v>
      </c>
      <c r="B5" t="s">
        <v>599</v>
      </c>
      <c r="C5" s="2">
        <v>38458</v>
      </c>
      <c r="D5" t="s">
        <v>33</v>
      </c>
      <c r="E5" s="3">
        <v>0.59375</v>
      </c>
      <c r="F5" s="3">
        <v>0.60416666666666663</v>
      </c>
      <c r="G5">
        <v>17</v>
      </c>
      <c r="H5">
        <v>40</v>
      </c>
      <c r="I5">
        <v>2</v>
      </c>
      <c r="J5">
        <v>3</v>
      </c>
      <c r="K5">
        <v>85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5</v>
      </c>
      <c r="AE5">
        <v>0</v>
      </c>
      <c r="AF5" t="s">
        <v>584</v>
      </c>
      <c r="AG5">
        <f>0.75*K5</f>
        <v>63.75</v>
      </c>
    </row>
    <row r="6" spans="1:33" x14ac:dyDescent="0.35">
      <c r="A6" t="s">
        <v>595</v>
      </c>
      <c r="B6" t="s">
        <v>600</v>
      </c>
      <c r="C6" s="2">
        <v>38458</v>
      </c>
      <c r="D6" t="s">
        <v>53</v>
      </c>
      <c r="E6" s="3">
        <v>0.60972222222222217</v>
      </c>
      <c r="F6" s="3">
        <v>0.62013888888888891</v>
      </c>
      <c r="G6">
        <v>17</v>
      </c>
      <c r="H6">
        <v>46</v>
      </c>
      <c r="I6">
        <v>2</v>
      </c>
      <c r="J6">
        <v>3</v>
      </c>
      <c r="K6">
        <v>55</v>
      </c>
      <c r="L6">
        <v>8</v>
      </c>
      <c r="M6">
        <v>3</v>
      </c>
      <c r="N6">
        <v>0</v>
      </c>
      <c r="O6">
        <v>0</v>
      </c>
      <c r="P6">
        <v>0</v>
      </c>
      <c r="Q6">
        <v>0</v>
      </c>
      <c r="R6">
        <v>25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9</v>
      </c>
      <c r="AE6">
        <v>0</v>
      </c>
      <c r="AF6" t="s">
        <v>584</v>
      </c>
      <c r="AG6">
        <f>0.8*K6</f>
        <v>44</v>
      </c>
    </row>
    <row r="7" spans="1:33" x14ac:dyDescent="0.35">
      <c r="A7" t="s">
        <v>595</v>
      </c>
      <c r="B7" t="s">
        <v>601</v>
      </c>
      <c r="C7" s="2">
        <v>38458</v>
      </c>
      <c r="D7">
        <v>0</v>
      </c>
      <c r="E7" s="3">
        <v>0.62638888888888888</v>
      </c>
      <c r="F7" s="3">
        <v>0.63680555555555551</v>
      </c>
      <c r="G7">
        <v>17.3</v>
      </c>
      <c r="H7">
        <v>43</v>
      </c>
      <c r="I7">
        <v>1</v>
      </c>
      <c r="J7">
        <v>2</v>
      </c>
      <c r="K7">
        <v>85</v>
      </c>
      <c r="L7">
        <v>7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0</v>
      </c>
      <c r="AF7" t="s">
        <v>584</v>
      </c>
      <c r="AG7">
        <f>0.5*K7</f>
        <v>42.5</v>
      </c>
    </row>
    <row r="8" spans="1:33" x14ac:dyDescent="0.35">
      <c r="A8" t="s">
        <v>595</v>
      </c>
      <c r="B8" t="s">
        <v>602</v>
      </c>
      <c r="C8" s="2">
        <v>38467</v>
      </c>
      <c r="D8" t="s">
        <v>33</v>
      </c>
      <c r="E8" s="3">
        <v>0.58194444444444449</v>
      </c>
      <c r="F8" s="3">
        <v>0.59236111111111112</v>
      </c>
      <c r="G8">
        <f>(18.3+15.5)/2</f>
        <v>16.899999999999999</v>
      </c>
      <c r="H8">
        <v>31</v>
      </c>
      <c r="I8">
        <v>1</v>
      </c>
      <c r="J8">
        <v>3</v>
      </c>
      <c r="K8">
        <v>6</v>
      </c>
      <c r="L8">
        <v>2</v>
      </c>
      <c r="M8">
        <v>1</v>
      </c>
      <c r="N8">
        <v>0</v>
      </c>
      <c r="O8">
        <v>0</v>
      </c>
      <c r="P8">
        <v>13</v>
      </c>
      <c r="Q8">
        <v>0</v>
      </c>
      <c r="R8">
        <v>58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</v>
      </c>
      <c r="AE8">
        <v>0</v>
      </c>
      <c r="AF8" t="s">
        <v>83</v>
      </c>
      <c r="AG8">
        <f>0.05*P8</f>
        <v>0.65</v>
      </c>
    </row>
    <row r="9" spans="1:33" x14ac:dyDescent="0.35">
      <c r="A9" t="s">
        <v>595</v>
      </c>
      <c r="B9" t="s">
        <v>603</v>
      </c>
      <c r="C9" s="2">
        <v>38467</v>
      </c>
      <c r="D9">
        <v>0</v>
      </c>
      <c r="E9" s="3">
        <v>0.60138888888888886</v>
      </c>
      <c r="F9" s="3">
        <v>0.6118055555555556</v>
      </c>
      <c r="G9">
        <v>16.8</v>
      </c>
      <c r="H9">
        <v>28</v>
      </c>
      <c r="I9">
        <v>1</v>
      </c>
      <c r="J9">
        <v>3</v>
      </c>
      <c r="K9">
        <v>20</v>
      </c>
      <c r="L9">
        <v>3</v>
      </c>
      <c r="M9">
        <v>20</v>
      </c>
      <c r="N9">
        <v>0</v>
      </c>
      <c r="O9">
        <v>0</v>
      </c>
      <c r="P9" s="6">
        <v>0</v>
      </c>
      <c r="Q9">
        <v>57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604</v>
      </c>
      <c r="AG9">
        <f>0.01*Q9</f>
        <v>0.57000000000000006</v>
      </c>
    </row>
    <row r="10" spans="1:33" x14ac:dyDescent="0.35">
      <c r="A10" t="s">
        <v>595</v>
      </c>
      <c r="B10" t="s">
        <v>605</v>
      </c>
      <c r="C10" s="2">
        <v>38475</v>
      </c>
      <c r="D10" t="s">
        <v>33</v>
      </c>
      <c r="E10" s="3">
        <v>0.55000000000000004</v>
      </c>
      <c r="F10" s="3">
        <v>0.56041666666666667</v>
      </c>
      <c r="G10">
        <v>19.399999999999999</v>
      </c>
      <c r="H10">
        <v>67</v>
      </c>
      <c r="I10">
        <v>3</v>
      </c>
      <c r="J10">
        <v>0</v>
      </c>
      <c r="K10">
        <v>20</v>
      </c>
      <c r="L10">
        <v>0</v>
      </c>
      <c r="M10">
        <v>0</v>
      </c>
      <c r="N10">
        <v>0</v>
      </c>
      <c r="O10">
        <v>0</v>
      </c>
      <c r="P10">
        <v>10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30</v>
      </c>
      <c r="AD10">
        <v>40</v>
      </c>
      <c r="AE10">
        <v>0</v>
      </c>
      <c r="AF10" t="s">
        <v>83</v>
      </c>
      <c r="AG10">
        <f>0.5*P10</f>
        <v>5</v>
      </c>
    </row>
    <row r="11" spans="1:33" x14ac:dyDescent="0.35">
      <c r="A11" t="s">
        <v>595</v>
      </c>
      <c r="B11" t="s">
        <v>606</v>
      </c>
      <c r="C11" s="2">
        <v>38475</v>
      </c>
      <c r="D11" t="s">
        <v>54</v>
      </c>
      <c r="E11" s="3">
        <v>0.61388888888888882</v>
      </c>
      <c r="F11" s="3">
        <v>0.62430555555555556</v>
      </c>
      <c r="G11">
        <v>20.8</v>
      </c>
      <c r="H11">
        <v>51</v>
      </c>
      <c r="I11">
        <v>2</v>
      </c>
      <c r="J11">
        <v>2</v>
      </c>
      <c r="K11">
        <v>82</v>
      </c>
      <c r="L11">
        <v>3</v>
      </c>
      <c r="M11">
        <v>0</v>
      </c>
      <c r="N11">
        <v>0</v>
      </c>
      <c r="O11">
        <v>10</v>
      </c>
      <c r="P11">
        <v>0</v>
      </c>
      <c r="Q11">
        <v>0</v>
      </c>
      <c r="R11">
        <v>5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13</v>
      </c>
      <c r="AG11">
        <f>(26/300)*O11</f>
        <v>0.8666666666666667</v>
      </c>
    </row>
    <row r="12" spans="1:33" x14ac:dyDescent="0.35">
      <c r="A12" t="s">
        <v>595</v>
      </c>
      <c r="B12" t="s">
        <v>607</v>
      </c>
      <c r="C12" s="2">
        <v>38475</v>
      </c>
      <c r="D12">
        <v>0</v>
      </c>
      <c r="E12" s="3">
        <v>0.64236111111111105</v>
      </c>
      <c r="F12" s="3">
        <v>0.65277777777777779</v>
      </c>
      <c r="G12">
        <v>20.100000000000001</v>
      </c>
      <c r="H12">
        <v>55</v>
      </c>
      <c r="I12">
        <v>1</v>
      </c>
      <c r="J12">
        <v>1</v>
      </c>
      <c r="K12">
        <v>30</v>
      </c>
      <c r="L12">
        <v>20</v>
      </c>
      <c r="M12">
        <v>0</v>
      </c>
      <c r="N12">
        <v>0</v>
      </c>
      <c r="O12">
        <v>0</v>
      </c>
      <c r="P12">
        <v>25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20</v>
      </c>
      <c r="AD12">
        <v>2</v>
      </c>
      <c r="AE12">
        <v>0</v>
      </c>
      <c r="AF12" t="s">
        <v>83</v>
      </c>
      <c r="AG12">
        <f>0.6*P12</f>
        <v>15</v>
      </c>
    </row>
    <row r="13" spans="1:33" x14ac:dyDescent="0.35">
      <c r="A13" t="s">
        <v>595</v>
      </c>
      <c r="B13" t="s">
        <v>608</v>
      </c>
      <c r="C13" s="2">
        <v>38477</v>
      </c>
      <c r="D13" t="s">
        <v>33</v>
      </c>
      <c r="E13" s="3">
        <v>0.52916666666666667</v>
      </c>
      <c r="F13" s="3">
        <v>0.5395833333333333</v>
      </c>
      <c r="G13">
        <v>14.2</v>
      </c>
      <c r="H13">
        <v>61</v>
      </c>
      <c r="I13">
        <v>3</v>
      </c>
      <c r="J13">
        <v>2</v>
      </c>
      <c r="K13">
        <v>0</v>
      </c>
      <c r="L13">
        <v>3</v>
      </c>
      <c r="M13">
        <v>0</v>
      </c>
      <c r="N13">
        <v>0</v>
      </c>
      <c r="O13">
        <v>0</v>
      </c>
      <c r="P13">
        <v>25</v>
      </c>
      <c r="Q13">
        <v>0</v>
      </c>
      <c r="R13">
        <v>47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25</v>
      </c>
      <c r="AE13">
        <v>0</v>
      </c>
      <c r="AF13" t="s">
        <v>83</v>
      </c>
      <c r="AG13">
        <f>0.5*P13</f>
        <v>12.5</v>
      </c>
    </row>
    <row r="14" spans="1:33" x14ac:dyDescent="0.35">
      <c r="A14" t="s">
        <v>595</v>
      </c>
      <c r="B14" t="s">
        <v>609</v>
      </c>
      <c r="C14" s="2">
        <v>38477</v>
      </c>
      <c r="D14">
        <v>0</v>
      </c>
      <c r="E14" s="3">
        <v>0.51249999999999996</v>
      </c>
      <c r="F14" s="3">
        <v>0.5229166666666667</v>
      </c>
      <c r="G14">
        <v>13.8</v>
      </c>
      <c r="H14">
        <v>45</v>
      </c>
      <c r="I14">
        <v>2</v>
      </c>
      <c r="J14">
        <v>2</v>
      </c>
      <c r="K14">
        <v>25</v>
      </c>
      <c r="L14">
        <v>10</v>
      </c>
      <c r="M14">
        <v>0</v>
      </c>
      <c r="N14">
        <v>0</v>
      </c>
      <c r="O14">
        <v>0</v>
      </c>
      <c r="P14">
        <v>15</v>
      </c>
      <c r="Q14">
        <v>0</v>
      </c>
      <c r="R14">
        <v>35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</v>
      </c>
      <c r="AD14">
        <v>10</v>
      </c>
      <c r="AE14">
        <v>0</v>
      </c>
      <c r="AF14" t="s">
        <v>84</v>
      </c>
      <c r="AG14">
        <f>0.8*P14</f>
        <v>12</v>
      </c>
    </row>
    <row r="15" spans="1:33" x14ac:dyDescent="0.35">
      <c r="A15" t="s">
        <v>595</v>
      </c>
      <c r="B15" t="s">
        <v>610</v>
      </c>
      <c r="C15" s="2">
        <v>38477</v>
      </c>
      <c r="D15" t="s">
        <v>54</v>
      </c>
      <c r="E15" s="3">
        <v>0.47013888888888888</v>
      </c>
      <c r="F15" s="3">
        <v>0.48055555555555557</v>
      </c>
      <c r="G15">
        <f>(11.2+15.7)/2</f>
        <v>13.45</v>
      </c>
      <c r="H15">
        <v>55</v>
      </c>
      <c r="I15">
        <v>2</v>
      </c>
      <c r="J15">
        <v>2</v>
      </c>
      <c r="K15">
        <v>40</v>
      </c>
      <c r="L15">
        <v>10</v>
      </c>
      <c r="M15">
        <v>0</v>
      </c>
      <c r="N15">
        <v>0</v>
      </c>
      <c r="O15">
        <v>25</v>
      </c>
      <c r="P15">
        <v>0</v>
      </c>
      <c r="Q15">
        <v>0</v>
      </c>
      <c r="R15">
        <v>20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0</v>
      </c>
      <c r="AF15" t="s">
        <v>13</v>
      </c>
      <c r="AG15">
        <f>0.25*O15</f>
        <v>6.25</v>
      </c>
    </row>
    <row r="16" spans="1:33" x14ac:dyDescent="0.35">
      <c r="A16" t="s">
        <v>595</v>
      </c>
      <c r="B16" t="s">
        <v>611</v>
      </c>
      <c r="C16" s="2">
        <v>38482</v>
      </c>
      <c r="D16" t="s">
        <v>46</v>
      </c>
      <c r="E16" s="3">
        <v>0.55972222222222223</v>
      </c>
      <c r="F16" s="3">
        <v>0.57013888888888886</v>
      </c>
      <c r="G16">
        <v>13.2</v>
      </c>
      <c r="H16">
        <v>48</v>
      </c>
      <c r="I16">
        <v>3</v>
      </c>
      <c r="J16">
        <v>2</v>
      </c>
      <c r="K16">
        <v>18</v>
      </c>
      <c r="L16">
        <v>7</v>
      </c>
      <c r="M16">
        <v>0</v>
      </c>
      <c r="N16">
        <v>0</v>
      </c>
      <c r="O16">
        <v>40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15</v>
      </c>
      <c r="AD16">
        <v>18</v>
      </c>
      <c r="AE16">
        <v>0</v>
      </c>
      <c r="AF16" t="s">
        <v>13</v>
      </c>
      <c r="AG16">
        <f>0.2*O16</f>
        <v>8</v>
      </c>
    </row>
    <row r="17" spans="1:33" x14ac:dyDescent="0.35">
      <c r="A17" t="s">
        <v>595</v>
      </c>
      <c r="B17" t="s">
        <v>612</v>
      </c>
      <c r="C17" s="2">
        <v>38482</v>
      </c>
      <c r="D17" t="s">
        <v>46</v>
      </c>
      <c r="E17" s="3">
        <v>0.57708333333333328</v>
      </c>
      <c r="F17" s="3">
        <v>0.58750000000000002</v>
      </c>
      <c r="G17">
        <v>14.5</v>
      </c>
      <c r="H17">
        <v>52</v>
      </c>
      <c r="I17">
        <v>3</v>
      </c>
      <c r="J17">
        <v>1</v>
      </c>
      <c r="K17">
        <v>30</v>
      </c>
      <c r="L17">
        <v>5</v>
      </c>
      <c r="M17">
        <v>0</v>
      </c>
      <c r="N17">
        <v>0</v>
      </c>
      <c r="O17">
        <v>0</v>
      </c>
      <c r="P17">
        <v>35</v>
      </c>
      <c r="Q17">
        <v>0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15</v>
      </c>
      <c r="AD17">
        <v>10</v>
      </c>
      <c r="AE17">
        <v>0</v>
      </c>
      <c r="AF17" t="s">
        <v>83</v>
      </c>
      <c r="AG17">
        <f>0.3*P17</f>
        <v>10.5</v>
      </c>
    </row>
    <row r="18" spans="1:33" x14ac:dyDescent="0.35">
      <c r="A18" t="s">
        <v>595</v>
      </c>
      <c r="B18" t="s">
        <v>613</v>
      </c>
      <c r="C18" s="2">
        <v>38482</v>
      </c>
      <c r="D18" t="s">
        <v>46</v>
      </c>
      <c r="E18" s="3">
        <v>0.60347222222222219</v>
      </c>
      <c r="F18" s="3">
        <v>0.61388888888888882</v>
      </c>
      <c r="G18">
        <v>13.6</v>
      </c>
      <c r="H18">
        <v>56</v>
      </c>
      <c r="I18">
        <v>3</v>
      </c>
      <c r="J18">
        <v>2</v>
      </c>
      <c r="K18">
        <v>10</v>
      </c>
      <c r="L18">
        <v>5</v>
      </c>
      <c r="M18">
        <v>0</v>
      </c>
      <c r="N18">
        <v>0</v>
      </c>
      <c r="O18">
        <v>0</v>
      </c>
      <c r="P18">
        <v>25</v>
      </c>
      <c r="Q18">
        <v>0</v>
      </c>
      <c r="R18">
        <v>50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 t="s">
        <v>84</v>
      </c>
      <c r="AG18">
        <f>0.6*P18</f>
        <v>15</v>
      </c>
    </row>
    <row r="19" spans="1:33" x14ac:dyDescent="0.35">
      <c r="A19" t="s">
        <v>595</v>
      </c>
      <c r="B19" t="s">
        <v>614</v>
      </c>
      <c r="C19" s="2">
        <v>38486</v>
      </c>
      <c r="D19" t="s">
        <v>46</v>
      </c>
      <c r="E19" s="3">
        <v>0.48680555555555555</v>
      </c>
      <c r="F19" s="3">
        <v>0.49722222222222223</v>
      </c>
      <c r="G19">
        <v>19.3</v>
      </c>
      <c r="H19">
        <v>28</v>
      </c>
      <c r="I19">
        <v>2</v>
      </c>
      <c r="J19">
        <v>1</v>
      </c>
      <c r="K19">
        <v>12</v>
      </c>
      <c r="L19">
        <v>25</v>
      </c>
      <c r="M19">
        <v>0</v>
      </c>
      <c r="N19">
        <v>0</v>
      </c>
      <c r="O19">
        <v>13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50</v>
      </c>
      <c r="AD19">
        <v>0</v>
      </c>
      <c r="AE19">
        <v>0</v>
      </c>
      <c r="AF19" t="s">
        <v>13</v>
      </c>
      <c r="AG19">
        <f>0.25*O19</f>
        <v>3.25</v>
      </c>
    </row>
    <row r="20" spans="1:33" x14ac:dyDescent="0.35">
      <c r="A20" t="s">
        <v>595</v>
      </c>
      <c r="B20" t="s">
        <v>615</v>
      </c>
      <c r="C20" s="2">
        <v>38486</v>
      </c>
      <c r="D20" t="s">
        <v>54</v>
      </c>
      <c r="E20" s="3">
        <v>0.51041666666666663</v>
      </c>
      <c r="F20" s="3">
        <v>0.52083333333333337</v>
      </c>
      <c r="G20">
        <v>18.399999999999999</v>
      </c>
      <c r="H20">
        <v>27</v>
      </c>
      <c r="I20">
        <v>2</v>
      </c>
      <c r="J20">
        <v>2</v>
      </c>
      <c r="K20">
        <v>20</v>
      </c>
      <c r="L20">
        <v>0</v>
      </c>
      <c r="M20">
        <v>0</v>
      </c>
      <c r="N20">
        <v>0</v>
      </c>
      <c r="O20">
        <v>0</v>
      </c>
      <c r="P20">
        <v>40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9</v>
      </c>
      <c r="AD20">
        <v>30</v>
      </c>
      <c r="AE20">
        <v>0</v>
      </c>
      <c r="AF20" t="s">
        <v>83</v>
      </c>
      <c r="AG20">
        <f>0.15*P20</f>
        <v>6</v>
      </c>
    </row>
    <row r="21" spans="1:33" x14ac:dyDescent="0.35">
      <c r="A21" t="s">
        <v>595</v>
      </c>
      <c r="B21" t="s">
        <v>616</v>
      </c>
      <c r="C21" s="2">
        <v>38486</v>
      </c>
      <c r="D21" t="s">
        <v>46</v>
      </c>
      <c r="E21" s="3">
        <v>0.5444444444444444</v>
      </c>
      <c r="F21" s="3">
        <v>0.55486111111111114</v>
      </c>
      <c r="G21">
        <v>19.100000000000001</v>
      </c>
      <c r="H21">
        <v>31</v>
      </c>
      <c r="I21">
        <v>2</v>
      </c>
      <c r="J21">
        <v>1</v>
      </c>
      <c r="K21">
        <v>0</v>
      </c>
      <c r="L21">
        <v>5</v>
      </c>
      <c r="M21">
        <v>0</v>
      </c>
      <c r="N21">
        <v>0</v>
      </c>
      <c r="O21">
        <v>0</v>
      </c>
      <c r="P21">
        <v>30</v>
      </c>
      <c r="Q21">
        <v>0</v>
      </c>
      <c r="R21">
        <v>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20</v>
      </c>
      <c r="AD21">
        <v>5</v>
      </c>
      <c r="AE21">
        <v>0</v>
      </c>
      <c r="AF21" t="s">
        <v>84</v>
      </c>
      <c r="AG21">
        <f>0.5*P21</f>
        <v>15</v>
      </c>
    </row>
    <row r="22" spans="1:33" x14ac:dyDescent="0.35">
      <c r="A22" t="s">
        <v>595</v>
      </c>
      <c r="B22" t="s">
        <v>617</v>
      </c>
      <c r="C22" s="2">
        <v>38486</v>
      </c>
      <c r="D22" t="s">
        <v>33</v>
      </c>
      <c r="E22" s="3">
        <v>0.56527777777777777</v>
      </c>
      <c r="F22" s="3">
        <v>0.5756944444444444</v>
      </c>
      <c r="G22">
        <v>18.3</v>
      </c>
      <c r="H22">
        <v>44</v>
      </c>
      <c r="I22">
        <v>3</v>
      </c>
      <c r="J22">
        <v>2</v>
      </c>
      <c r="K22">
        <v>5</v>
      </c>
      <c r="L22">
        <v>0</v>
      </c>
      <c r="M22">
        <v>20</v>
      </c>
      <c r="N22">
        <v>0</v>
      </c>
      <c r="O22">
        <v>0</v>
      </c>
      <c r="P22">
        <v>25</v>
      </c>
      <c r="Q22">
        <v>0</v>
      </c>
      <c r="R22">
        <v>10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10</v>
      </c>
      <c r="AD22">
        <v>30</v>
      </c>
      <c r="AE22">
        <v>0</v>
      </c>
      <c r="AF22" t="s">
        <v>11</v>
      </c>
      <c r="AG22">
        <f>0.05*M22</f>
        <v>1</v>
      </c>
    </row>
    <row r="23" spans="1:33" x14ac:dyDescent="0.35">
      <c r="A23" t="s">
        <v>595</v>
      </c>
      <c r="B23" t="s">
        <v>618</v>
      </c>
      <c r="C23" s="2">
        <v>38486</v>
      </c>
      <c r="D23" t="s">
        <v>33</v>
      </c>
      <c r="E23" s="3">
        <v>0.59305555555555556</v>
      </c>
      <c r="F23" s="3">
        <v>0.60347222222222219</v>
      </c>
      <c r="G23">
        <v>18.7</v>
      </c>
      <c r="H23">
        <v>34</v>
      </c>
      <c r="I23">
        <v>3</v>
      </c>
      <c r="J23">
        <v>2</v>
      </c>
      <c r="K23">
        <v>25</v>
      </c>
      <c r="L23">
        <v>5</v>
      </c>
      <c r="M23">
        <v>0</v>
      </c>
      <c r="N23">
        <v>0</v>
      </c>
      <c r="O23">
        <v>0</v>
      </c>
      <c r="P23">
        <v>30</v>
      </c>
      <c r="Q23">
        <v>0</v>
      </c>
      <c r="R23">
        <v>25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15</v>
      </c>
      <c r="AE23">
        <v>0</v>
      </c>
      <c r="AF23" t="s">
        <v>84</v>
      </c>
      <c r="AG23">
        <f>0.6*P23</f>
        <v>18</v>
      </c>
    </row>
    <row r="24" spans="1:33" x14ac:dyDescent="0.35">
      <c r="A24" t="s">
        <v>595</v>
      </c>
      <c r="B24" t="s">
        <v>619</v>
      </c>
      <c r="C24" s="2">
        <v>38486</v>
      </c>
      <c r="D24" t="s">
        <v>33</v>
      </c>
      <c r="E24" s="3">
        <v>0.61805555555555558</v>
      </c>
      <c r="F24" s="3">
        <v>0.62847222222222221</v>
      </c>
      <c r="G24">
        <v>16.8</v>
      </c>
      <c r="H24">
        <v>36</v>
      </c>
      <c r="I24">
        <v>3</v>
      </c>
      <c r="J24">
        <v>2</v>
      </c>
      <c r="K24">
        <v>10</v>
      </c>
      <c r="L24">
        <v>0</v>
      </c>
      <c r="M24">
        <v>7</v>
      </c>
      <c r="N24">
        <v>0</v>
      </c>
      <c r="O24">
        <v>0</v>
      </c>
      <c r="P24">
        <v>10</v>
      </c>
      <c r="Q24">
        <v>0</v>
      </c>
      <c r="R24">
        <v>25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48</v>
      </c>
      <c r="AE24">
        <v>0</v>
      </c>
      <c r="AF24" t="s">
        <v>83</v>
      </c>
      <c r="AG24">
        <f>0.1*P24</f>
        <v>1</v>
      </c>
    </row>
    <row r="25" spans="1:33" x14ac:dyDescent="0.35">
      <c r="A25" t="s">
        <v>595</v>
      </c>
      <c r="B25" t="s">
        <v>619</v>
      </c>
      <c r="C25" s="2">
        <v>38486</v>
      </c>
      <c r="D25" t="s">
        <v>33</v>
      </c>
      <c r="E25" s="3">
        <v>0.61805555555555558</v>
      </c>
      <c r="F25" s="3">
        <v>0.62847222222222221</v>
      </c>
      <c r="G25">
        <v>16.8</v>
      </c>
      <c r="H25">
        <v>36</v>
      </c>
      <c r="I25">
        <v>3</v>
      </c>
      <c r="J25">
        <v>2</v>
      </c>
      <c r="K25">
        <v>10</v>
      </c>
      <c r="L25">
        <v>0</v>
      </c>
      <c r="M25">
        <v>7</v>
      </c>
      <c r="N25">
        <v>0</v>
      </c>
      <c r="O25">
        <v>0</v>
      </c>
      <c r="P25">
        <v>10</v>
      </c>
      <c r="Q25">
        <v>0</v>
      </c>
      <c r="R25">
        <v>25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48</v>
      </c>
      <c r="AE25">
        <v>0</v>
      </c>
      <c r="AF25" t="s">
        <v>11</v>
      </c>
      <c r="AG25">
        <f>0.01*M25</f>
        <v>7.0000000000000007E-2</v>
      </c>
    </row>
    <row r="26" spans="1:33" x14ac:dyDescent="0.35">
      <c r="A26" t="s">
        <v>595</v>
      </c>
      <c r="B26" t="s">
        <v>620</v>
      </c>
      <c r="C26" s="2">
        <v>38489</v>
      </c>
      <c r="D26" t="s">
        <v>45</v>
      </c>
      <c r="E26" s="3">
        <v>0.50069444444444444</v>
      </c>
      <c r="F26" s="3">
        <v>0.51111111111111118</v>
      </c>
      <c r="G26">
        <v>14.8</v>
      </c>
      <c r="H26">
        <v>55</v>
      </c>
      <c r="I26">
        <v>3</v>
      </c>
      <c r="J26">
        <v>2</v>
      </c>
      <c r="K26">
        <v>2</v>
      </c>
      <c r="L26">
        <v>0</v>
      </c>
      <c r="M26">
        <v>75</v>
      </c>
      <c r="N26">
        <v>0</v>
      </c>
      <c r="O26">
        <v>0</v>
      </c>
      <c r="P26">
        <v>0</v>
      </c>
      <c r="Q26">
        <v>0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15</v>
      </c>
      <c r="AE26">
        <v>5</v>
      </c>
      <c r="AF26" t="s">
        <v>11</v>
      </c>
      <c r="AG26">
        <f>0.1*M26</f>
        <v>7.5</v>
      </c>
    </row>
    <row r="27" spans="1:33" x14ac:dyDescent="0.35">
      <c r="A27" t="s">
        <v>595</v>
      </c>
      <c r="B27" t="s">
        <v>621</v>
      </c>
      <c r="C27" s="2">
        <v>38489</v>
      </c>
      <c r="D27" t="s">
        <v>61</v>
      </c>
      <c r="E27" s="3">
        <v>0.52152777777777781</v>
      </c>
      <c r="F27" s="3">
        <v>0.53194444444444444</v>
      </c>
      <c r="G27">
        <f>(16.1+10.3)/2</f>
        <v>13.200000000000001</v>
      </c>
      <c r="H27">
        <v>44</v>
      </c>
      <c r="I27">
        <v>3</v>
      </c>
      <c r="J27">
        <v>2</v>
      </c>
      <c r="K27">
        <v>43</v>
      </c>
      <c r="L27">
        <v>5</v>
      </c>
      <c r="M27">
        <v>0</v>
      </c>
      <c r="N27">
        <v>0</v>
      </c>
      <c r="O27">
        <v>7</v>
      </c>
      <c r="P27">
        <v>0</v>
      </c>
      <c r="Q27">
        <v>0</v>
      </c>
      <c r="R27">
        <v>35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10</v>
      </c>
      <c r="AE27">
        <v>0</v>
      </c>
      <c r="AF27" t="s">
        <v>13</v>
      </c>
      <c r="AG27">
        <f>0.35*O27</f>
        <v>2.4499999999999997</v>
      </c>
    </row>
    <row r="28" spans="1:33" x14ac:dyDescent="0.35">
      <c r="A28" t="s">
        <v>595</v>
      </c>
      <c r="B28" t="s">
        <v>622</v>
      </c>
      <c r="C28" s="2">
        <v>38489</v>
      </c>
      <c r="D28" t="s">
        <v>46</v>
      </c>
      <c r="E28" s="3">
        <v>0.54583333333333328</v>
      </c>
      <c r="F28" s="3">
        <v>0.55625000000000002</v>
      </c>
      <c r="G28">
        <v>14</v>
      </c>
      <c r="H28">
        <v>52</v>
      </c>
      <c r="I28">
        <v>3</v>
      </c>
      <c r="J28">
        <v>1</v>
      </c>
      <c r="K28">
        <v>0</v>
      </c>
      <c r="L28">
        <v>5</v>
      </c>
      <c r="M28">
        <v>0</v>
      </c>
      <c r="N28">
        <v>0</v>
      </c>
      <c r="O28">
        <v>0</v>
      </c>
      <c r="P28">
        <v>25</v>
      </c>
      <c r="Q28">
        <v>0</v>
      </c>
      <c r="R28">
        <v>50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10</v>
      </c>
      <c r="AD28">
        <v>10</v>
      </c>
      <c r="AE28">
        <v>0</v>
      </c>
      <c r="AF28" t="s">
        <v>84</v>
      </c>
      <c r="AG28">
        <f>0.5*P28</f>
        <v>12.5</v>
      </c>
    </row>
    <row r="29" spans="1:33" x14ac:dyDescent="0.35">
      <c r="A29" t="s">
        <v>595</v>
      </c>
      <c r="B29" t="s">
        <v>623</v>
      </c>
      <c r="C29" s="2">
        <v>38489</v>
      </c>
      <c r="D29" t="s">
        <v>33</v>
      </c>
      <c r="E29" s="3">
        <v>0.56597222222222221</v>
      </c>
      <c r="F29" s="3">
        <v>0.57638888888888895</v>
      </c>
      <c r="G29">
        <v>12.4</v>
      </c>
      <c r="H29">
        <v>51</v>
      </c>
      <c r="I29">
        <v>3</v>
      </c>
      <c r="J29">
        <v>2</v>
      </c>
      <c r="K29">
        <v>0</v>
      </c>
      <c r="L29">
        <v>5</v>
      </c>
      <c r="M29">
        <v>0</v>
      </c>
      <c r="N29">
        <v>0</v>
      </c>
      <c r="O29">
        <v>0</v>
      </c>
      <c r="P29">
        <v>25</v>
      </c>
      <c r="Q29">
        <v>0</v>
      </c>
      <c r="R29">
        <v>60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</v>
      </c>
      <c r="AE29">
        <v>0</v>
      </c>
      <c r="AF29" t="s">
        <v>83</v>
      </c>
      <c r="AG29">
        <f>0.3*P29</f>
        <v>7.5</v>
      </c>
    </row>
    <row r="30" spans="1:33" x14ac:dyDescent="0.35">
      <c r="A30" t="s">
        <v>595</v>
      </c>
      <c r="B30" t="s">
        <v>624</v>
      </c>
      <c r="C30" s="2">
        <v>38494</v>
      </c>
      <c r="D30" t="s">
        <v>36</v>
      </c>
      <c r="E30" s="3">
        <v>0.56736111111111109</v>
      </c>
      <c r="F30" s="3">
        <v>0.57777777777777783</v>
      </c>
      <c r="G30">
        <v>24.8</v>
      </c>
      <c r="H30">
        <v>37</v>
      </c>
      <c r="I30">
        <v>3</v>
      </c>
      <c r="J30">
        <v>2</v>
      </c>
      <c r="K30">
        <v>3</v>
      </c>
      <c r="L30">
        <v>0</v>
      </c>
      <c r="M30">
        <v>70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25</v>
      </c>
      <c r="AE30">
        <v>1</v>
      </c>
      <c r="AF30" t="s">
        <v>11</v>
      </c>
      <c r="AG30">
        <f>0.5*M30</f>
        <v>35</v>
      </c>
    </row>
    <row r="31" spans="1:33" x14ac:dyDescent="0.35">
      <c r="A31" t="s">
        <v>595</v>
      </c>
      <c r="B31" t="s">
        <v>625</v>
      </c>
      <c r="C31" s="2">
        <v>38494</v>
      </c>
      <c r="D31" t="s">
        <v>54</v>
      </c>
      <c r="E31" s="3">
        <v>0.59722222222222221</v>
      </c>
      <c r="F31" s="3">
        <v>0.60763888888888895</v>
      </c>
      <c r="G31">
        <v>20.7</v>
      </c>
      <c r="H31">
        <v>31</v>
      </c>
      <c r="I31">
        <v>2</v>
      </c>
      <c r="J31">
        <v>3</v>
      </c>
      <c r="K31">
        <v>20</v>
      </c>
      <c r="L31">
        <v>5</v>
      </c>
      <c r="M31">
        <v>0</v>
      </c>
      <c r="N31">
        <v>0</v>
      </c>
      <c r="O31">
        <v>25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30</v>
      </c>
      <c r="AD31">
        <v>20</v>
      </c>
      <c r="AE31">
        <v>0</v>
      </c>
      <c r="AF31" t="s">
        <v>13</v>
      </c>
      <c r="AG31">
        <f>0.8*O31</f>
        <v>20</v>
      </c>
    </row>
    <row r="32" spans="1:33" x14ac:dyDescent="0.35">
      <c r="A32" t="s">
        <v>595</v>
      </c>
      <c r="B32" t="s">
        <v>626</v>
      </c>
      <c r="C32" s="2">
        <v>38494</v>
      </c>
      <c r="D32" t="s">
        <v>52</v>
      </c>
      <c r="E32" s="3">
        <v>0.61944444444444446</v>
      </c>
      <c r="F32" s="3">
        <v>0.62986111111111109</v>
      </c>
      <c r="G32">
        <v>20.6</v>
      </c>
      <c r="H32">
        <v>27</v>
      </c>
      <c r="I32">
        <v>2</v>
      </c>
      <c r="J32">
        <v>2</v>
      </c>
      <c r="K32">
        <v>67</v>
      </c>
      <c r="L32">
        <v>0</v>
      </c>
      <c r="M32">
        <v>0</v>
      </c>
      <c r="N32">
        <v>0</v>
      </c>
      <c r="O32">
        <v>0</v>
      </c>
      <c r="P32">
        <v>25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0</v>
      </c>
      <c r="AF32" t="s">
        <v>83</v>
      </c>
      <c r="AG32">
        <f>0.5*P32</f>
        <v>12.5</v>
      </c>
    </row>
    <row r="33" spans="1:33" x14ac:dyDescent="0.35">
      <c r="A33" t="s">
        <v>595</v>
      </c>
      <c r="B33" t="s">
        <v>627</v>
      </c>
      <c r="C33" s="2">
        <v>38494</v>
      </c>
      <c r="D33" t="s">
        <v>40</v>
      </c>
      <c r="E33" s="3">
        <v>0.6479166666666667</v>
      </c>
      <c r="F33" s="3">
        <v>0.65833333333333333</v>
      </c>
      <c r="G33">
        <v>23.4</v>
      </c>
      <c r="H33">
        <v>26</v>
      </c>
      <c r="I33">
        <v>2</v>
      </c>
      <c r="J33">
        <v>1</v>
      </c>
      <c r="K33">
        <v>80</v>
      </c>
      <c r="L33">
        <v>2</v>
      </c>
      <c r="M33">
        <v>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</v>
      </c>
      <c r="AD33">
        <v>5</v>
      </c>
      <c r="AE33">
        <v>0</v>
      </c>
      <c r="AF33" t="s">
        <v>84</v>
      </c>
      <c r="AG33">
        <f>0.7*P33</f>
        <v>7</v>
      </c>
    </row>
    <row r="34" spans="1:33" x14ac:dyDescent="0.35">
      <c r="A34" t="s">
        <v>595</v>
      </c>
      <c r="B34" t="s">
        <v>628</v>
      </c>
      <c r="C34" s="2">
        <v>38495</v>
      </c>
      <c r="D34" t="s">
        <v>47</v>
      </c>
      <c r="E34" s="3">
        <v>0.56319444444444444</v>
      </c>
      <c r="F34" s="3">
        <v>0.57361111111111118</v>
      </c>
      <c r="G34">
        <v>19.5</v>
      </c>
      <c r="H34">
        <v>61</v>
      </c>
      <c r="I34">
        <v>3</v>
      </c>
      <c r="J34">
        <v>1</v>
      </c>
      <c r="K34">
        <v>58</v>
      </c>
      <c r="L34">
        <v>4</v>
      </c>
      <c r="M34">
        <v>10</v>
      </c>
      <c r="N34">
        <v>0</v>
      </c>
      <c r="O34">
        <v>0</v>
      </c>
      <c r="P34">
        <v>25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</v>
      </c>
      <c r="AE34">
        <v>1</v>
      </c>
      <c r="AF34" t="s">
        <v>84</v>
      </c>
      <c r="AG34">
        <f>0.8*M34</f>
        <v>8</v>
      </c>
    </row>
    <row r="35" spans="1:33" x14ac:dyDescent="0.35">
      <c r="A35" t="s">
        <v>595</v>
      </c>
      <c r="B35" t="s">
        <v>628</v>
      </c>
      <c r="C35" s="2">
        <v>38495</v>
      </c>
      <c r="D35" t="s">
        <v>47</v>
      </c>
      <c r="E35" s="3">
        <v>0.56319444444444444</v>
      </c>
      <c r="F35" s="3">
        <v>0.57361111111111118</v>
      </c>
      <c r="G35">
        <v>19.5</v>
      </c>
      <c r="H35">
        <v>61</v>
      </c>
      <c r="I35">
        <v>3</v>
      </c>
      <c r="J35">
        <v>1</v>
      </c>
      <c r="K35">
        <v>58</v>
      </c>
      <c r="L35">
        <v>4</v>
      </c>
      <c r="M35">
        <v>10</v>
      </c>
      <c r="N35">
        <v>0</v>
      </c>
      <c r="O35">
        <v>0</v>
      </c>
      <c r="P35">
        <v>25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</v>
      </c>
      <c r="AE35">
        <v>1</v>
      </c>
      <c r="AF35" t="s">
        <v>11</v>
      </c>
      <c r="AG35">
        <f>0.8*P35</f>
        <v>20</v>
      </c>
    </row>
    <row r="36" spans="1:33" x14ac:dyDescent="0.35">
      <c r="A36" t="s">
        <v>595</v>
      </c>
      <c r="B36" t="s">
        <v>629</v>
      </c>
      <c r="C36" s="2">
        <v>38495</v>
      </c>
      <c r="D36" t="s">
        <v>40</v>
      </c>
      <c r="E36" s="3">
        <v>0.58611111111111114</v>
      </c>
      <c r="F36" s="3">
        <v>0.59652777777777777</v>
      </c>
      <c r="G36">
        <v>20.2</v>
      </c>
      <c r="H36">
        <v>41</v>
      </c>
      <c r="I36">
        <v>3</v>
      </c>
      <c r="J36">
        <v>2</v>
      </c>
      <c r="K36">
        <v>15</v>
      </c>
      <c r="L36">
        <v>1</v>
      </c>
      <c r="M36">
        <v>0</v>
      </c>
      <c r="N36">
        <v>0</v>
      </c>
      <c r="O36">
        <v>40</v>
      </c>
      <c r="P36">
        <v>2</v>
      </c>
      <c r="Q36">
        <v>0</v>
      </c>
      <c r="R36">
        <v>20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20</v>
      </c>
      <c r="AD36">
        <v>2</v>
      </c>
      <c r="AE36">
        <v>0</v>
      </c>
      <c r="AF36" t="s">
        <v>13</v>
      </c>
      <c r="AG36">
        <f>0.8*O36</f>
        <v>32</v>
      </c>
    </row>
    <row r="37" spans="1:33" x14ac:dyDescent="0.35">
      <c r="A37" t="s">
        <v>595</v>
      </c>
      <c r="B37" t="s">
        <v>630</v>
      </c>
      <c r="C37" s="2">
        <v>38495</v>
      </c>
      <c r="D37" t="s">
        <v>46</v>
      </c>
      <c r="E37" s="3">
        <v>0.61041666666666672</v>
      </c>
      <c r="F37" s="3">
        <v>0.62083333333333335</v>
      </c>
      <c r="G37">
        <v>18.399999999999999</v>
      </c>
      <c r="H37">
        <v>56</v>
      </c>
      <c r="I37">
        <v>3</v>
      </c>
      <c r="J37">
        <v>3</v>
      </c>
      <c r="K37">
        <v>50</v>
      </c>
      <c r="L37">
        <v>7</v>
      </c>
      <c r="M37">
        <v>0</v>
      </c>
      <c r="N37">
        <v>0</v>
      </c>
      <c r="O37">
        <v>0</v>
      </c>
      <c r="P37">
        <v>30</v>
      </c>
      <c r="Q37">
        <v>0</v>
      </c>
      <c r="R37">
        <v>8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0</v>
      </c>
      <c r="AF37" t="s">
        <v>83</v>
      </c>
      <c r="AG37">
        <f>0.3*P37</f>
        <v>9</v>
      </c>
    </row>
    <row r="38" spans="1:33" x14ac:dyDescent="0.35">
      <c r="A38" t="s">
        <v>595</v>
      </c>
      <c r="B38" t="s">
        <v>631</v>
      </c>
      <c r="C38" s="2">
        <v>38495</v>
      </c>
      <c r="D38" t="s">
        <v>31</v>
      </c>
      <c r="E38" s="3">
        <v>0.62569444444444444</v>
      </c>
      <c r="F38" s="3">
        <v>0.63611111111111118</v>
      </c>
      <c r="G38">
        <v>18.600000000000001</v>
      </c>
      <c r="H38">
        <v>60</v>
      </c>
      <c r="I38">
        <v>3</v>
      </c>
      <c r="J38">
        <v>2</v>
      </c>
      <c r="K38">
        <v>10</v>
      </c>
      <c r="L38">
        <v>10</v>
      </c>
      <c r="M38">
        <v>50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20</v>
      </c>
      <c r="AE38">
        <v>10</v>
      </c>
      <c r="AF38" t="s">
        <v>11</v>
      </c>
      <c r="AG38">
        <f>0.7*M38</f>
        <v>35</v>
      </c>
    </row>
    <row r="39" spans="1:33" x14ac:dyDescent="0.35">
      <c r="A39" t="s">
        <v>595</v>
      </c>
      <c r="B39" t="s">
        <v>632</v>
      </c>
      <c r="C39" s="2">
        <v>38495</v>
      </c>
      <c r="D39">
        <v>0</v>
      </c>
      <c r="E39" s="3">
        <v>0.64236111111111105</v>
      </c>
      <c r="F39" s="3">
        <v>0.65277777777777779</v>
      </c>
      <c r="G39">
        <v>17.5</v>
      </c>
      <c r="H39">
        <v>63</v>
      </c>
      <c r="I39">
        <v>3</v>
      </c>
      <c r="J39">
        <v>2</v>
      </c>
      <c r="K39">
        <v>0</v>
      </c>
      <c r="L39">
        <v>0</v>
      </c>
      <c r="M39">
        <v>0</v>
      </c>
      <c r="N39">
        <v>78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10</v>
      </c>
      <c r="AD39">
        <v>10</v>
      </c>
      <c r="AE39">
        <v>0</v>
      </c>
      <c r="AF39" t="s">
        <v>84</v>
      </c>
      <c r="AG39">
        <f>0.01*P39</f>
        <v>0.01</v>
      </c>
    </row>
    <row r="40" spans="1:33" x14ac:dyDescent="0.35">
      <c r="A40" t="s">
        <v>595</v>
      </c>
      <c r="B40" t="s">
        <v>632</v>
      </c>
      <c r="C40" s="2">
        <v>38495</v>
      </c>
      <c r="D40">
        <v>0</v>
      </c>
      <c r="E40" s="3">
        <v>0.64236111111111105</v>
      </c>
      <c r="F40" s="3">
        <v>0.65277777777777779</v>
      </c>
      <c r="G40">
        <v>17.5</v>
      </c>
      <c r="H40">
        <v>63</v>
      </c>
      <c r="I40">
        <v>3</v>
      </c>
      <c r="J40">
        <v>2</v>
      </c>
      <c r="K40">
        <v>0</v>
      </c>
      <c r="L40">
        <v>0</v>
      </c>
      <c r="M40">
        <v>0</v>
      </c>
      <c r="N40">
        <v>78</v>
      </c>
      <c r="O40">
        <v>0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</v>
      </c>
      <c r="AD40">
        <v>10</v>
      </c>
      <c r="AE40">
        <v>0</v>
      </c>
      <c r="AF40" t="s">
        <v>12</v>
      </c>
      <c r="AG40">
        <f>0.05*N40</f>
        <v>3.9000000000000004</v>
      </c>
    </row>
    <row r="41" spans="1:33" x14ac:dyDescent="0.35">
      <c r="A41" t="s">
        <v>595</v>
      </c>
      <c r="B41" t="s">
        <v>633</v>
      </c>
      <c r="C41" s="2">
        <v>38499</v>
      </c>
      <c r="D41">
        <v>0</v>
      </c>
      <c r="E41" s="3">
        <v>0.46180555555555558</v>
      </c>
      <c r="F41" s="3">
        <v>0.47152777777777777</v>
      </c>
      <c r="G41">
        <v>19.899999999999999</v>
      </c>
      <c r="H41">
        <v>36</v>
      </c>
      <c r="I41">
        <v>2</v>
      </c>
      <c r="J41">
        <v>2</v>
      </c>
      <c r="K41">
        <v>0</v>
      </c>
      <c r="L41">
        <v>0</v>
      </c>
      <c r="M41">
        <v>0</v>
      </c>
      <c r="N41">
        <v>85</v>
      </c>
      <c r="O41">
        <v>0</v>
      </c>
      <c r="P41">
        <v>12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3</v>
      </c>
      <c r="AE41">
        <v>0</v>
      </c>
      <c r="AF41" t="s">
        <v>12</v>
      </c>
      <c r="AG41">
        <f>0.25*N41</f>
        <v>21.25</v>
      </c>
    </row>
    <row r="42" spans="1:33" x14ac:dyDescent="0.35">
      <c r="A42" t="s">
        <v>595</v>
      </c>
      <c r="B42" t="s">
        <v>634</v>
      </c>
      <c r="C42" s="2">
        <v>38499</v>
      </c>
      <c r="D42" t="s">
        <v>33</v>
      </c>
      <c r="E42" s="3">
        <v>0.4916666666666667</v>
      </c>
      <c r="F42" s="3">
        <v>0.50208333333333333</v>
      </c>
      <c r="G42">
        <v>21.6</v>
      </c>
      <c r="H42">
        <v>39</v>
      </c>
      <c r="I42">
        <v>2</v>
      </c>
      <c r="J42">
        <v>2</v>
      </c>
      <c r="K42">
        <v>0</v>
      </c>
      <c r="L42">
        <v>0</v>
      </c>
      <c r="M42">
        <v>65</v>
      </c>
      <c r="N42">
        <v>0</v>
      </c>
      <c r="O42">
        <v>0</v>
      </c>
      <c r="P42">
        <v>0</v>
      </c>
      <c r="Q42">
        <v>0</v>
      </c>
      <c r="R42">
        <v>35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t="s">
        <v>11</v>
      </c>
      <c r="AG42">
        <f>0.6*M42</f>
        <v>39</v>
      </c>
    </row>
    <row r="43" spans="1:33" x14ac:dyDescent="0.35">
      <c r="A43" t="s">
        <v>595</v>
      </c>
      <c r="B43" t="s">
        <v>635</v>
      </c>
      <c r="C43" s="2">
        <v>38499</v>
      </c>
      <c r="D43" t="s">
        <v>33</v>
      </c>
      <c r="E43" s="3">
        <v>0.5131944444444444</v>
      </c>
      <c r="F43" s="3">
        <v>0.52361111111111114</v>
      </c>
      <c r="G43">
        <v>21.6</v>
      </c>
      <c r="H43">
        <v>39</v>
      </c>
      <c r="I43">
        <v>2</v>
      </c>
      <c r="J43">
        <v>2</v>
      </c>
      <c r="K43">
        <v>7</v>
      </c>
      <c r="L43">
        <v>1</v>
      </c>
      <c r="M43">
        <v>62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25</v>
      </c>
      <c r="AE43">
        <v>5</v>
      </c>
      <c r="AF43" t="s">
        <v>11</v>
      </c>
      <c r="AG43">
        <f>0.6*M43</f>
        <v>37.199999999999996</v>
      </c>
    </row>
    <row r="44" spans="1:33" x14ac:dyDescent="0.35">
      <c r="A44" s="6" t="s">
        <v>595</v>
      </c>
      <c r="B44" t="s">
        <v>636</v>
      </c>
      <c r="C44" s="12">
        <v>38499</v>
      </c>
      <c r="D44" s="6" t="s">
        <v>33</v>
      </c>
      <c r="E44" s="13">
        <v>0.52847222222222223</v>
      </c>
      <c r="F44" s="13">
        <v>0.53888888888888886</v>
      </c>
      <c r="G44" s="6">
        <v>24.5</v>
      </c>
      <c r="H44" s="6">
        <v>31</v>
      </c>
      <c r="I44" s="6">
        <v>2</v>
      </c>
      <c r="J44" s="6">
        <v>2</v>
      </c>
      <c r="K44" s="6">
        <v>10</v>
      </c>
      <c r="L44" s="6">
        <v>5</v>
      </c>
      <c r="M44" s="6">
        <v>0</v>
      </c>
      <c r="N44" s="6">
        <v>0</v>
      </c>
      <c r="O44" s="6">
        <v>0</v>
      </c>
      <c r="P44" s="6">
        <v>36</v>
      </c>
      <c r="Q44">
        <v>0</v>
      </c>
      <c r="R44" s="6">
        <v>49</v>
      </c>
      <c r="S44" s="6">
        <v>0</v>
      </c>
      <c r="T44" s="6">
        <v>0</v>
      </c>
      <c r="U44">
        <v>0</v>
      </c>
      <c r="V44" s="6">
        <v>0</v>
      </c>
      <c r="W44">
        <v>0</v>
      </c>
      <c r="X44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 t="s">
        <v>83</v>
      </c>
      <c r="AG44" s="6">
        <f>35*0.3</f>
        <v>10.5</v>
      </c>
    </row>
    <row r="45" spans="1:33" x14ac:dyDescent="0.35">
      <c r="A45" s="6" t="s">
        <v>595</v>
      </c>
      <c r="B45" t="s">
        <v>636</v>
      </c>
      <c r="C45" s="12">
        <v>38499</v>
      </c>
      <c r="D45" s="6" t="s">
        <v>33</v>
      </c>
      <c r="E45" s="13">
        <v>0.52847222222222223</v>
      </c>
      <c r="F45" s="13">
        <v>0.53888888888888886</v>
      </c>
      <c r="G45" s="6">
        <v>24.5</v>
      </c>
      <c r="H45" s="6">
        <v>31</v>
      </c>
      <c r="I45" s="6">
        <v>2</v>
      </c>
      <c r="J45" s="6">
        <v>2</v>
      </c>
      <c r="K45" s="6">
        <v>10</v>
      </c>
      <c r="L45" s="6">
        <v>5</v>
      </c>
      <c r="M45" s="6">
        <v>0</v>
      </c>
      <c r="N45" s="6">
        <v>0</v>
      </c>
      <c r="O45" s="6">
        <v>0</v>
      </c>
      <c r="P45" s="6">
        <v>36</v>
      </c>
      <c r="Q45">
        <v>0</v>
      </c>
      <c r="R45" s="6">
        <v>49</v>
      </c>
      <c r="S45" s="6">
        <v>0</v>
      </c>
      <c r="T45" s="6">
        <v>0</v>
      </c>
      <c r="U45">
        <v>0</v>
      </c>
      <c r="V45" s="6">
        <v>0</v>
      </c>
      <c r="W45">
        <v>0</v>
      </c>
      <c r="X45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 t="s">
        <v>84</v>
      </c>
      <c r="AG45" s="6">
        <f>1*0.5</f>
        <v>0.5</v>
      </c>
    </row>
    <row r="46" spans="1:33" x14ac:dyDescent="0.35">
      <c r="A46" t="s">
        <v>595</v>
      </c>
      <c r="B46" t="s">
        <v>637</v>
      </c>
      <c r="C46" s="2">
        <v>38499</v>
      </c>
      <c r="D46" t="s">
        <v>46</v>
      </c>
      <c r="E46" s="3">
        <v>0.56111111111111112</v>
      </c>
      <c r="F46" s="3">
        <v>0.57152777777777775</v>
      </c>
      <c r="G46">
        <v>23.9</v>
      </c>
      <c r="H46">
        <v>27</v>
      </c>
      <c r="I46">
        <v>1</v>
      </c>
      <c r="J46">
        <v>2</v>
      </c>
      <c r="K46">
        <v>62</v>
      </c>
      <c r="L46">
        <v>3</v>
      </c>
      <c r="M46">
        <v>0</v>
      </c>
      <c r="N46">
        <v>0</v>
      </c>
      <c r="O46">
        <v>30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</v>
      </c>
      <c r="AE46">
        <v>0</v>
      </c>
      <c r="AF46" t="s">
        <v>13</v>
      </c>
      <c r="AG46">
        <f>0.7*O46</f>
        <v>21</v>
      </c>
    </row>
    <row r="47" spans="1:33" x14ac:dyDescent="0.35">
      <c r="A47" s="6" t="s">
        <v>595</v>
      </c>
      <c r="B47" t="s">
        <v>638</v>
      </c>
      <c r="C47" s="12">
        <v>38499</v>
      </c>
      <c r="D47" s="6">
        <v>0</v>
      </c>
      <c r="E47" s="13">
        <v>0.57916666666666672</v>
      </c>
      <c r="F47" s="13">
        <v>0.58958333333333335</v>
      </c>
      <c r="G47" s="6">
        <v>23.9</v>
      </c>
      <c r="H47" s="6">
        <v>27</v>
      </c>
      <c r="I47" s="6">
        <v>2</v>
      </c>
      <c r="J47" s="6">
        <v>2</v>
      </c>
      <c r="K47" s="6">
        <v>33</v>
      </c>
      <c r="L47" s="6">
        <v>5</v>
      </c>
      <c r="M47" s="6">
        <v>0</v>
      </c>
      <c r="N47" s="6">
        <v>0</v>
      </c>
      <c r="O47" s="6">
        <v>0</v>
      </c>
      <c r="P47" s="6">
        <v>52</v>
      </c>
      <c r="Q47">
        <v>0</v>
      </c>
      <c r="R47" s="6">
        <v>0</v>
      </c>
      <c r="S47" s="6">
        <v>0</v>
      </c>
      <c r="T47" s="6">
        <v>0</v>
      </c>
      <c r="U47">
        <v>0</v>
      </c>
      <c r="V47" s="6">
        <v>0</v>
      </c>
      <c r="W47">
        <v>0</v>
      </c>
      <c r="X47">
        <v>0</v>
      </c>
      <c r="Y47" s="6">
        <v>0</v>
      </c>
      <c r="Z47" s="6">
        <v>0</v>
      </c>
      <c r="AA47" s="6">
        <v>0</v>
      </c>
      <c r="AB47" s="6">
        <v>0</v>
      </c>
      <c r="AC47" s="6">
        <v>10</v>
      </c>
      <c r="AD47" s="6">
        <v>0</v>
      </c>
      <c r="AE47" s="6">
        <v>0</v>
      </c>
      <c r="AF47" s="6" t="s">
        <v>84</v>
      </c>
      <c r="AG47" s="6">
        <f>0.7*50</f>
        <v>35</v>
      </c>
    </row>
    <row r="48" spans="1:33" x14ac:dyDescent="0.35">
      <c r="A48" s="6" t="s">
        <v>595</v>
      </c>
      <c r="B48" t="s">
        <v>638</v>
      </c>
      <c r="C48" s="12">
        <v>38499</v>
      </c>
      <c r="D48" s="6">
        <v>0</v>
      </c>
      <c r="E48" s="13">
        <v>0.57916666666666672</v>
      </c>
      <c r="F48" s="13">
        <v>0.58958333333333335</v>
      </c>
      <c r="G48" s="6">
        <v>23.9</v>
      </c>
      <c r="H48" s="6">
        <v>27</v>
      </c>
      <c r="I48" s="6">
        <v>2</v>
      </c>
      <c r="J48" s="6">
        <v>2</v>
      </c>
      <c r="K48" s="6">
        <v>33</v>
      </c>
      <c r="L48" s="6">
        <v>5</v>
      </c>
      <c r="M48" s="6">
        <v>0</v>
      </c>
      <c r="N48" s="6">
        <v>0</v>
      </c>
      <c r="O48" s="6">
        <v>0</v>
      </c>
      <c r="P48" s="6">
        <v>52</v>
      </c>
      <c r="Q48">
        <v>0</v>
      </c>
      <c r="R48" s="6">
        <v>0</v>
      </c>
      <c r="S48" s="6">
        <v>0</v>
      </c>
      <c r="T48" s="6">
        <v>0</v>
      </c>
      <c r="U48">
        <v>0</v>
      </c>
      <c r="V48" s="6">
        <v>0</v>
      </c>
      <c r="W48">
        <v>0</v>
      </c>
      <c r="X48">
        <v>0</v>
      </c>
      <c r="Y48" s="6">
        <v>0</v>
      </c>
      <c r="Z48" s="6">
        <v>0</v>
      </c>
      <c r="AA48" s="6">
        <v>0</v>
      </c>
      <c r="AB48" s="6">
        <v>0</v>
      </c>
      <c r="AC48" s="6">
        <v>10</v>
      </c>
      <c r="AD48" s="6">
        <v>0</v>
      </c>
      <c r="AE48" s="6">
        <v>0</v>
      </c>
      <c r="AF48" s="6" t="s">
        <v>83</v>
      </c>
      <c r="AG48" s="6">
        <f>0.01*2</f>
        <v>0.02</v>
      </c>
    </row>
    <row r="49" spans="1:33" x14ac:dyDescent="0.35">
      <c r="A49" t="s">
        <v>595</v>
      </c>
      <c r="B49" t="s">
        <v>639</v>
      </c>
      <c r="C49" s="2">
        <v>38499</v>
      </c>
      <c r="D49" t="s">
        <v>46</v>
      </c>
      <c r="E49" s="3">
        <v>0.60277777777777775</v>
      </c>
      <c r="F49" s="3">
        <v>0.61319444444444449</v>
      </c>
      <c r="G49">
        <f>(25.1+21.8)/2</f>
        <v>23.450000000000003</v>
      </c>
      <c r="H49">
        <v>27</v>
      </c>
      <c r="I49">
        <v>2</v>
      </c>
      <c r="J49">
        <v>2</v>
      </c>
      <c r="K49">
        <v>62</v>
      </c>
      <c r="L49">
        <v>3</v>
      </c>
      <c r="M49">
        <v>0</v>
      </c>
      <c r="N49">
        <v>0</v>
      </c>
      <c r="O49">
        <v>30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 t="s">
        <v>13</v>
      </c>
      <c r="AG49">
        <f>0.7*O49</f>
        <v>21</v>
      </c>
    </row>
    <row r="50" spans="1:33" x14ac:dyDescent="0.35">
      <c r="A50" t="s">
        <v>595</v>
      </c>
      <c r="B50" t="s">
        <v>640</v>
      </c>
      <c r="C50" s="2">
        <v>38499</v>
      </c>
      <c r="D50">
        <v>0</v>
      </c>
      <c r="E50" s="3">
        <v>0.61875000000000002</v>
      </c>
      <c r="F50" s="3">
        <v>0.62916666666666665</v>
      </c>
      <c r="G50">
        <v>22.6</v>
      </c>
      <c r="H50">
        <v>29</v>
      </c>
      <c r="I50">
        <v>2</v>
      </c>
      <c r="J50">
        <v>2</v>
      </c>
      <c r="K50">
        <v>17</v>
      </c>
      <c r="L50">
        <v>0</v>
      </c>
      <c r="M50">
        <v>30</v>
      </c>
      <c r="N50">
        <v>0</v>
      </c>
      <c r="O50">
        <v>0</v>
      </c>
      <c r="P50">
        <v>3</v>
      </c>
      <c r="Q50">
        <v>0</v>
      </c>
      <c r="R50">
        <v>10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30</v>
      </c>
      <c r="AE50">
        <v>10</v>
      </c>
      <c r="AF50" t="s">
        <v>11</v>
      </c>
      <c r="AG50">
        <f>0.8*M50</f>
        <v>24</v>
      </c>
    </row>
    <row r="51" spans="1:33" x14ac:dyDescent="0.35">
      <c r="A51" t="s">
        <v>595</v>
      </c>
      <c r="B51" t="s">
        <v>641</v>
      </c>
      <c r="C51" s="2">
        <v>38499</v>
      </c>
      <c r="D51">
        <v>0</v>
      </c>
      <c r="E51" s="3">
        <v>0.65902777777777777</v>
      </c>
      <c r="F51" s="3">
        <v>0.6694444444444444</v>
      </c>
      <c r="G51">
        <v>25.4</v>
      </c>
      <c r="H51">
        <v>30</v>
      </c>
      <c r="I51">
        <v>2</v>
      </c>
      <c r="J51">
        <v>2</v>
      </c>
      <c r="K51">
        <v>0</v>
      </c>
      <c r="L51">
        <v>0</v>
      </c>
      <c r="M51">
        <v>0</v>
      </c>
      <c r="N51">
        <v>75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10</v>
      </c>
      <c r="AD51">
        <v>15</v>
      </c>
      <c r="AE51">
        <v>0</v>
      </c>
      <c r="AF51" t="s">
        <v>12</v>
      </c>
      <c r="AG51">
        <f>0.2*N51</f>
        <v>15</v>
      </c>
    </row>
    <row r="52" spans="1:33" x14ac:dyDescent="0.35">
      <c r="A52" t="s">
        <v>595</v>
      </c>
      <c r="B52" t="s">
        <v>642</v>
      </c>
      <c r="C52" s="2">
        <v>38502</v>
      </c>
      <c r="D52">
        <v>0</v>
      </c>
      <c r="E52" s="3">
        <v>0.55763888888888891</v>
      </c>
      <c r="F52" s="3">
        <v>0.56805555555555554</v>
      </c>
      <c r="G52">
        <v>23.9</v>
      </c>
      <c r="H52">
        <v>33</v>
      </c>
      <c r="I52">
        <v>2</v>
      </c>
      <c r="J52">
        <v>2</v>
      </c>
      <c r="K52">
        <v>25</v>
      </c>
      <c r="L52">
        <v>0</v>
      </c>
      <c r="M52">
        <v>0</v>
      </c>
      <c r="N52">
        <v>0</v>
      </c>
      <c r="O52">
        <v>0</v>
      </c>
      <c r="P52">
        <v>45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2</v>
      </c>
      <c r="AA52">
        <v>0</v>
      </c>
      <c r="AB52">
        <v>0</v>
      </c>
      <c r="AC52">
        <v>18</v>
      </c>
      <c r="AD52">
        <v>10</v>
      </c>
      <c r="AE52">
        <v>0</v>
      </c>
      <c r="AF52" t="s">
        <v>83</v>
      </c>
      <c r="AG52">
        <f>0.25*P52</f>
        <v>11.25</v>
      </c>
    </row>
    <row r="53" spans="1:33" x14ac:dyDescent="0.35">
      <c r="A53" t="s">
        <v>595</v>
      </c>
      <c r="B53" t="s">
        <v>643</v>
      </c>
      <c r="C53" s="2">
        <v>38502</v>
      </c>
      <c r="D53" t="s">
        <v>33</v>
      </c>
      <c r="E53" s="3">
        <v>0.57499999999999996</v>
      </c>
      <c r="F53" s="3">
        <v>0.5854166666666667</v>
      </c>
      <c r="G53">
        <v>24</v>
      </c>
      <c r="H53">
        <v>31</v>
      </c>
      <c r="I53">
        <v>2</v>
      </c>
      <c r="J53">
        <v>2</v>
      </c>
      <c r="K53">
        <v>25</v>
      </c>
      <c r="L53">
        <v>5</v>
      </c>
      <c r="M53">
        <v>30</v>
      </c>
      <c r="N53">
        <v>0</v>
      </c>
      <c r="O53">
        <v>0</v>
      </c>
      <c r="P53">
        <v>20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19</v>
      </c>
      <c r="AE53">
        <v>0</v>
      </c>
      <c r="AF53" t="s">
        <v>83</v>
      </c>
      <c r="AG53">
        <f>0.05*P53</f>
        <v>1</v>
      </c>
    </row>
    <row r="54" spans="1:33" x14ac:dyDescent="0.35">
      <c r="A54" t="s">
        <v>595</v>
      </c>
      <c r="B54" t="s">
        <v>643</v>
      </c>
      <c r="C54" s="2">
        <v>38502</v>
      </c>
      <c r="D54" t="s">
        <v>33</v>
      </c>
      <c r="E54" s="3">
        <v>0.57499999999999996</v>
      </c>
      <c r="F54" s="3">
        <v>0.5854166666666667</v>
      </c>
      <c r="G54">
        <v>24</v>
      </c>
      <c r="H54">
        <v>31</v>
      </c>
      <c r="I54">
        <v>2</v>
      </c>
      <c r="J54">
        <v>2</v>
      </c>
      <c r="K54">
        <v>25</v>
      </c>
      <c r="L54">
        <v>5</v>
      </c>
      <c r="M54">
        <v>30</v>
      </c>
      <c r="N54">
        <v>0</v>
      </c>
      <c r="O54">
        <v>0</v>
      </c>
      <c r="P54">
        <v>20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19</v>
      </c>
      <c r="AE54">
        <v>0</v>
      </c>
      <c r="AF54" t="s">
        <v>11</v>
      </c>
      <c r="AG54">
        <f>0.5*M54</f>
        <v>15</v>
      </c>
    </row>
    <row r="55" spans="1:33" x14ac:dyDescent="0.35">
      <c r="A55" t="s">
        <v>595</v>
      </c>
      <c r="B55" t="s">
        <v>644</v>
      </c>
      <c r="C55" s="2">
        <v>38502</v>
      </c>
      <c r="D55">
        <v>0</v>
      </c>
      <c r="E55" s="3">
        <v>0.59583333333333333</v>
      </c>
      <c r="F55" s="3">
        <v>0.60902777777777783</v>
      </c>
      <c r="G55">
        <v>25.4</v>
      </c>
      <c r="H55">
        <v>31</v>
      </c>
      <c r="I55">
        <v>2</v>
      </c>
      <c r="J55">
        <v>2</v>
      </c>
      <c r="K55">
        <v>0</v>
      </c>
      <c r="L55">
        <v>0</v>
      </c>
      <c r="M55">
        <v>0</v>
      </c>
      <c r="N55">
        <v>90</v>
      </c>
      <c r="O55">
        <v>0</v>
      </c>
      <c r="P55">
        <v>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0</v>
      </c>
      <c r="AF55" t="s">
        <v>84</v>
      </c>
      <c r="AG55">
        <f>0.7*P55</f>
        <v>5.6</v>
      </c>
    </row>
    <row r="56" spans="1:33" x14ac:dyDescent="0.35">
      <c r="A56" t="s">
        <v>595</v>
      </c>
      <c r="B56" t="s">
        <v>644</v>
      </c>
      <c r="C56" s="2">
        <v>38502</v>
      </c>
      <c r="D56">
        <v>0</v>
      </c>
      <c r="E56" s="3">
        <v>0.59583333333333333</v>
      </c>
      <c r="F56" s="3">
        <v>0.60902777777777783</v>
      </c>
      <c r="G56">
        <v>25.4</v>
      </c>
      <c r="H56">
        <v>31</v>
      </c>
      <c r="I56">
        <v>2</v>
      </c>
      <c r="J56">
        <v>2</v>
      </c>
      <c r="K56">
        <v>0</v>
      </c>
      <c r="L56">
        <v>0</v>
      </c>
      <c r="M56">
        <v>0</v>
      </c>
      <c r="N56">
        <v>90</v>
      </c>
      <c r="O56">
        <v>0</v>
      </c>
      <c r="P56">
        <v>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 t="s">
        <v>12</v>
      </c>
      <c r="AG56">
        <f>0.2*N56</f>
        <v>18</v>
      </c>
    </row>
    <row r="57" spans="1:33" x14ac:dyDescent="0.35">
      <c r="A57" t="s">
        <v>595</v>
      </c>
      <c r="B57" t="s">
        <v>645</v>
      </c>
      <c r="C57" s="2">
        <v>38502</v>
      </c>
      <c r="D57" t="s">
        <v>46</v>
      </c>
      <c r="E57" s="3">
        <v>0.63888888888888895</v>
      </c>
      <c r="F57" s="3">
        <v>0.64930555555555558</v>
      </c>
      <c r="G57">
        <v>21.9</v>
      </c>
      <c r="H57">
        <v>36</v>
      </c>
      <c r="I57">
        <v>2</v>
      </c>
      <c r="J57">
        <v>2</v>
      </c>
      <c r="K57">
        <v>0</v>
      </c>
      <c r="L57">
        <v>2</v>
      </c>
      <c r="M57">
        <v>0</v>
      </c>
      <c r="N57">
        <v>0</v>
      </c>
      <c r="O57">
        <v>0</v>
      </c>
      <c r="P57">
        <v>0</v>
      </c>
      <c r="Q57">
        <v>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12</v>
      </c>
      <c r="Y57">
        <v>3</v>
      </c>
      <c r="Z57">
        <v>0</v>
      </c>
      <c r="AA57">
        <v>0</v>
      </c>
      <c r="AB57">
        <v>0</v>
      </c>
      <c r="AC57">
        <v>53</v>
      </c>
      <c r="AD57">
        <v>25</v>
      </c>
      <c r="AE57">
        <v>0</v>
      </c>
      <c r="AF57" t="s">
        <v>86</v>
      </c>
      <c r="AG57">
        <f>0.3*X57</f>
        <v>3.5999999999999996</v>
      </c>
    </row>
    <row r="58" spans="1:33" x14ac:dyDescent="0.35">
      <c r="A58" t="s">
        <v>595</v>
      </c>
      <c r="B58" t="s">
        <v>646</v>
      </c>
      <c r="C58" s="2">
        <v>38502</v>
      </c>
      <c r="D58" t="s">
        <v>46</v>
      </c>
      <c r="E58" s="3">
        <v>0.65416666666666667</v>
      </c>
      <c r="F58" s="3">
        <v>0.6645833333333333</v>
      </c>
      <c r="G58">
        <v>19.2</v>
      </c>
      <c r="H58">
        <v>37</v>
      </c>
      <c r="I58">
        <v>3</v>
      </c>
      <c r="J58">
        <v>2</v>
      </c>
      <c r="K58">
        <v>62</v>
      </c>
      <c r="L58">
        <v>3</v>
      </c>
      <c r="M58">
        <v>0</v>
      </c>
      <c r="N58">
        <v>0</v>
      </c>
      <c r="O58">
        <v>30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0</v>
      </c>
      <c r="AF58" t="s">
        <v>13</v>
      </c>
      <c r="AG58">
        <f>0.25*O58</f>
        <v>7.5</v>
      </c>
    </row>
    <row r="59" spans="1:33" x14ac:dyDescent="0.35">
      <c r="A59" t="s">
        <v>595</v>
      </c>
      <c r="B59" t="s">
        <v>647</v>
      </c>
      <c r="C59" s="2">
        <v>38506</v>
      </c>
      <c r="D59">
        <v>0</v>
      </c>
      <c r="E59" s="3">
        <v>0.61944444444444446</v>
      </c>
      <c r="F59" s="3">
        <v>0.62986111111111109</v>
      </c>
      <c r="G59">
        <v>27.7</v>
      </c>
      <c r="H59">
        <v>49</v>
      </c>
      <c r="I59">
        <v>3</v>
      </c>
      <c r="J59">
        <v>1</v>
      </c>
      <c r="K59">
        <v>0</v>
      </c>
      <c r="L59">
        <v>0</v>
      </c>
      <c r="M59">
        <v>0</v>
      </c>
      <c r="N59">
        <v>85</v>
      </c>
      <c r="O59">
        <v>0</v>
      </c>
      <c r="P59">
        <v>15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t="s">
        <v>84</v>
      </c>
      <c r="AG59">
        <f>0.1*P59</f>
        <v>1.5</v>
      </c>
    </row>
    <row r="60" spans="1:33" x14ac:dyDescent="0.35">
      <c r="A60" t="s">
        <v>595</v>
      </c>
      <c r="B60" t="s">
        <v>647</v>
      </c>
      <c r="C60" s="2">
        <v>38506</v>
      </c>
      <c r="D60">
        <v>0</v>
      </c>
      <c r="E60" s="3">
        <v>0.61944444444444446</v>
      </c>
      <c r="F60" s="3">
        <v>0.62986111111111109</v>
      </c>
      <c r="G60">
        <v>27.7</v>
      </c>
      <c r="H60">
        <v>49</v>
      </c>
      <c r="I60">
        <v>3</v>
      </c>
      <c r="J60">
        <v>1</v>
      </c>
      <c r="K60">
        <v>0</v>
      </c>
      <c r="L60">
        <v>0</v>
      </c>
      <c r="M60">
        <v>0</v>
      </c>
      <c r="N60">
        <v>85</v>
      </c>
      <c r="O60">
        <v>0</v>
      </c>
      <c r="P60">
        <v>15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t="s">
        <v>12</v>
      </c>
      <c r="AG60">
        <f>0.6*N60</f>
        <v>51</v>
      </c>
    </row>
    <row r="61" spans="1:33" x14ac:dyDescent="0.35">
      <c r="A61" t="s">
        <v>595</v>
      </c>
      <c r="B61" t="s">
        <v>648</v>
      </c>
      <c r="C61" s="2">
        <v>38506</v>
      </c>
      <c r="D61">
        <v>0</v>
      </c>
      <c r="E61" s="3">
        <v>0.64166666666666672</v>
      </c>
      <c r="F61" s="3">
        <v>0.65208333333333335</v>
      </c>
      <c r="G61">
        <v>24.7</v>
      </c>
      <c r="H61">
        <v>57</v>
      </c>
      <c r="I61">
        <v>2</v>
      </c>
      <c r="J61">
        <v>2</v>
      </c>
      <c r="K61">
        <v>0</v>
      </c>
      <c r="L61">
        <v>0</v>
      </c>
      <c r="M61">
        <v>0</v>
      </c>
      <c r="N61">
        <v>80</v>
      </c>
      <c r="O61">
        <v>0</v>
      </c>
      <c r="P61">
        <v>7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</v>
      </c>
      <c r="AE61">
        <v>0</v>
      </c>
      <c r="AF61" t="s">
        <v>84</v>
      </c>
      <c r="AG61">
        <f>0.2*P61</f>
        <v>1.4000000000000001</v>
      </c>
    </row>
    <row r="62" spans="1:33" x14ac:dyDescent="0.35">
      <c r="A62" t="s">
        <v>595</v>
      </c>
      <c r="B62" t="s">
        <v>648</v>
      </c>
      <c r="C62" s="2">
        <v>38506</v>
      </c>
      <c r="D62">
        <v>0</v>
      </c>
      <c r="E62" s="3">
        <v>0.64166666666666672</v>
      </c>
      <c r="F62" s="3">
        <v>0.65208333333333335</v>
      </c>
      <c r="G62">
        <v>24.7</v>
      </c>
      <c r="H62">
        <v>57</v>
      </c>
      <c r="I62">
        <v>2</v>
      </c>
      <c r="J62">
        <v>2</v>
      </c>
      <c r="K62">
        <v>0</v>
      </c>
      <c r="L62">
        <v>0</v>
      </c>
      <c r="M62">
        <v>0</v>
      </c>
      <c r="N62">
        <v>80</v>
      </c>
      <c r="O62">
        <v>0</v>
      </c>
      <c r="P62">
        <v>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13</v>
      </c>
      <c r="AE62">
        <v>0</v>
      </c>
      <c r="AF62" t="s">
        <v>12</v>
      </c>
      <c r="AG62">
        <f>0.05*N62</f>
        <v>4</v>
      </c>
    </row>
    <row r="63" spans="1:33" x14ac:dyDescent="0.35">
      <c r="A63" t="s">
        <v>595</v>
      </c>
      <c r="B63" t="s">
        <v>649</v>
      </c>
      <c r="C63" s="2">
        <v>38511</v>
      </c>
      <c r="D63">
        <v>0</v>
      </c>
      <c r="E63" s="3">
        <v>0.48749999999999999</v>
      </c>
      <c r="F63" s="3">
        <v>0.49861111111111112</v>
      </c>
      <c r="G63">
        <v>23.6</v>
      </c>
      <c r="H63">
        <v>43</v>
      </c>
      <c r="I63">
        <v>1</v>
      </c>
      <c r="J63">
        <v>2</v>
      </c>
      <c r="K63">
        <v>1</v>
      </c>
      <c r="L63">
        <v>0</v>
      </c>
      <c r="M63">
        <v>0</v>
      </c>
      <c r="N63">
        <v>97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 t="s">
        <v>12</v>
      </c>
      <c r="AG63">
        <f>0.03*N63</f>
        <v>2.9099999999999997</v>
      </c>
    </row>
    <row r="64" spans="1:33" x14ac:dyDescent="0.35">
      <c r="A64" t="s">
        <v>595</v>
      </c>
      <c r="B64" t="s">
        <v>650</v>
      </c>
      <c r="C64" s="2">
        <v>38511</v>
      </c>
      <c r="D64">
        <v>0</v>
      </c>
      <c r="E64" s="3">
        <v>0.50902777777777775</v>
      </c>
      <c r="F64" s="3">
        <v>0.51944444444444449</v>
      </c>
      <c r="G64">
        <v>24.3</v>
      </c>
      <c r="H64">
        <v>34</v>
      </c>
      <c r="I64">
        <v>1</v>
      </c>
      <c r="J64">
        <v>2</v>
      </c>
      <c r="K64">
        <v>0</v>
      </c>
      <c r="L64">
        <v>5</v>
      </c>
      <c r="M64">
        <v>0</v>
      </c>
      <c r="N64">
        <v>88</v>
      </c>
      <c r="O64">
        <v>0</v>
      </c>
      <c r="P64">
        <v>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0</v>
      </c>
      <c r="AF64" t="s">
        <v>84</v>
      </c>
      <c r="AG64">
        <f>0.25*P64</f>
        <v>1</v>
      </c>
    </row>
    <row r="65" spans="1:33" x14ac:dyDescent="0.35">
      <c r="A65" t="s">
        <v>595</v>
      </c>
      <c r="B65" t="s">
        <v>650</v>
      </c>
      <c r="C65" s="2">
        <v>38511</v>
      </c>
      <c r="D65">
        <v>0</v>
      </c>
      <c r="E65" s="3">
        <v>0.50902777777777775</v>
      </c>
      <c r="F65" s="3">
        <v>0.51944444444444449</v>
      </c>
      <c r="G65">
        <v>24.3</v>
      </c>
      <c r="H65">
        <v>34</v>
      </c>
      <c r="I65">
        <v>1</v>
      </c>
      <c r="J65">
        <v>2</v>
      </c>
      <c r="K65">
        <v>0</v>
      </c>
      <c r="L65">
        <v>5</v>
      </c>
      <c r="M65">
        <v>0</v>
      </c>
      <c r="N65">
        <v>88</v>
      </c>
      <c r="O65">
        <v>0</v>
      </c>
      <c r="P65">
        <v>4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3</v>
      </c>
      <c r="AD65">
        <v>0</v>
      </c>
      <c r="AE65">
        <v>0</v>
      </c>
      <c r="AF65" t="s">
        <v>12</v>
      </c>
      <c r="AG65">
        <f>0.02*N65</f>
        <v>1.76</v>
      </c>
    </row>
    <row r="66" spans="1:33" x14ac:dyDescent="0.35">
      <c r="A66" t="s">
        <v>595</v>
      </c>
      <c r="B66" t="s">
        <v>651</v>
      </c>
      <c r="C66" s="2">
        <v>38511</v>
      </c>
      <c r="D66">
        <v>0</v>
      </c>
      <c r="E66" s="3">
        <v>0.52500000000000002</v>
      </c>
      <c r="F66" s="3">
        <v>0.53541666666666665</v>
      </c>
      <c r="G66">
        <v>22.6</v>
      </c>
      <c r="H66">
        <v>36</v>
      </c>
      <c r="I66">
        <v>1</v>
      </c>
      <c r="J66">
        <v>2</v>
      </c>
      <c r="K66">
        <v>0</v>
      </c>
      <c r="L66">
        <v>0</v>
      </c>
      <c r="M66">
        <v>0</v>
      </c>
      <c r="N66">
        <v>80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</v>
      </c>
      <c r="AE66">
        <v>0</v>
      </c>
      <c r="AF66" t="s">
        <v>12</v>
      </c>
      <c r="AG66">
        <f>0.02*N66</f>
        <v>1.6</v>
      </c>
    </row>
    <row r="67" spans="1:33" x14ac:dyDescent="0.35">
      <c r="A67" t="s">
        <v>595</v>
      </c>
      <c r="B67" t="s">
        <v>652</v>
      </c>
      <c r="C67" s="2">
        <v>38511</v>
      </c>
      <c r="D67" t="s">
        <v>46</v>
      </c>
      <c r="E67" s="3">
        <v>0.57361111111111118</v>
      </c>
      <c r="F67" s="3">
        <v>0.58402777777777781</v>
      </c>
      <c r="G67">
        <v>24.8</v>
      </c>
      <c r="H67">
        <v>32</v>
      </c>
      <c r="I67">
        <v>1</v>
      </c>
      <c r="J67">
        <v>2</v>
      </c>
      <c r="K67">
        <v>0</v>
      </c>
      <c r="L67">
        <v>10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25</v>
      </c>
      <c r="Z67">
        <v>0</v>
      </c>
      <c r="AA67">
        <v>0</v>
      </c>
      <c r="AB67">
        <v>0</v>
      </c>
      <c r="AC67">
        <v>60</v>
      </c>
      <c r="AD67">
        <v>5</v>
      </c>
      <c r="AE67">
        <v>0</v>
      </c>
      <c r="AF67" t="s">
        <v>19</v>
      </c>
      <c r="AG67">
        <f>0.08*Y67</f>
        <v>2</v>
      </c>
    </row>
    <row r="68" spans="1:33" x14ac:dyDescent="0.35">
      <c r="A68" t="s">
        <v>595</v>
      </c>
      <c r="B68" t="s">
        <v>653</v>
      </c>
      <c r="C68" s="2">
        <v>38511</v>
      </c>
      <c r="D68" t="s">
        <v>46</v>
      </c>
      <c r="E68" s="3">
        <v>0.59027777777777779</v>
      </c>
      <c r="F68" s="3">
        <v>0.60069444444444442</v>
      </c>
      <c r="G68">
        <v>23.2</v>
      </c>
      <c r="H68">
        <v>32</v>
      </c>
      <c r="I68">
        <v>2</v>
      </c>
      <c r="J68">
        <v>2</v>
      </c>
      <c r="K68">
        <v>0</v>
      </c>
      <c r="L68">
        <v>35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55</v>
      </c>
      <c r="AD68">
        <v>10</v>
      </c>
      <c r="AE68">
        <v>0</v>
      </c>
      <c r="AF68" t="s">
        <v>10</v>
      </c>
      <c r="AG68">
        <f>0.5*L68</f>
        <v>17.5</v>
      </c>
    </row>
    <row r="69" spans="1:33" x14ac:dyDescent="0.35">
      <c r="A69" t="s">
        <v>595</v>
      </c>
      <c r="B69" t="s">
        <v>654</v>
      </c>
      <c r="C69" s="2">
        <v>38511</v>
      </c>
      <c r="D69" t="s">
        <v>46</v>
      </c>
      <c r="E69" s="3">
        <v>0.60416666666666663</v>
      </c>
      <c r="F69" s="3">
        <v>0.61458333333333337</v>
      </c>
      <c r="G69">
        <v>23.8</v>
      </c>
      <c r="H69">
        <v>33</v>
      </c>
      <c r="I69">
        <v>2</v>
      </c>
      <c r="J69">
        <v>2</v>
      </c>
      <c r="K69">
        <v>76</v>
      </c>
      <c r="L69">
        <v>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8</v>
      </c>
      <c r="Z69">
        <v>0</v>
      </c>
      <c r="AA69">
        <v>0</v>
      </c>
      <c r="AB69">
        <v>0</v>
      </c>
      <c r="AC69">
        <v>10</v>
      </c>
      <c r="AD69">
        <v>0</v>
      </c>
      <c r="AE69">
        <v>0</v>
      </c>
      <c r="AF69" t="s">
        <v>19</v>
      </c>
      <c r="AG69">
        <f>0.1*Y69</f>
        <v>0.8</v>
      </c>
    </row>
    <row r="70" spans="1:33" x14ac:dyDescent="0.35">
      <c r="A70" t="s">
        <v>595</v>
      </c>
      <c r="B70" t="s">
        <v>654</v>
      </c>
      <c r="C70" s="2">
        <v>38511</v>
      </c>
      <c r="D70" t="s">
        <v>46</v>
      </c>
      <c r="E70" s="3">
        <v>0.60416666666666663</v>
      </c>
      <c r="F70" s="3">
        <v>0.61458333333333337</v>
      </c>
      <c r="G70">
        <v>23.8</v>
      </c>
      <c r="H70">
        <v>33</v>
      </c>
      <c r="I70">
        <v>2</v>
      </c>
      <c r="J70">
        <v>2</v>
      </c>
      <c r="K70">
        <v>76</v>
      </c>
      <c r="L70">
        <v>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8</v>
      </c>
      <c r="Z70">
        <v>0</v>
      </c>
      <c r="AA70">
        <v>0</v>
      </c>
      <c r="AB70">
        <v>0</v>
      </c>
      <c r="AC70">
        <v>10</v>
      </c>
      <c r="AD70">
        <v>0</v>
      </c>
      <c r="AE70">
        <v>0</v>
      </c>
      <c r="AF70" t="s">
        <v>592</v>
      </c>
      <c r="AG70">
        <f>1*V70</f>
        <v>1</v>
      </c>
    </row>
    <row r="71" spans="1:33" x14ac:dyDescent="0.35">
      <c r="A71" t="s">
        <v>595</v>
      </c>
      <c r="B71" t="s">
        <v>654</v>
      </c>
      <c r="C71" s="2">
        <v>38511</v>
      </c>
      <c r="D71" t="s">
        <v>46</v>
      </c>
      <c r="E71" s="3">
        <v>0.60416666666666663</v>
      </c>
      <c r="F71" s="3">
        <v>0.61458333333333337</v>
      </c>
      <c r="G71">
        <v>23.8</v>
      </c>
      <c r="H71">
        <v>33</v>
      </c>
      <c r="I71">
        <v>2</v>
      </c>
      <c r="J71">
        <v>2</v>
      </c>
      <c r="K71">
        <v>76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8</v>
      </c>
      <c r="Z71">
        <v>0</v>
      </c>
      <c r="AA71">
        <v>0</v>
      </c>
      <c r="AB71">
        <v>0</v>
      </c>
      <c r="AC71">
        <v>10</v>
      </c>
      <c r="AD71">
        <v>0</v>
      </c>
      <c r="AE71">
        <v>0</v>
      </c>
      <c r="AF71" t="s">
        <v>10</v>
      </c>
      <c r="AG71">
        <f>0.1*L71</f>
        <v>0.5</v>
      </c>
    </row>
    <row r="72" spans="1:33" x14ac:dyDescent="0.35">
      <c r="A72" t="s">
        <v>595</v>
      </c>
      <c r="B72" t="s">
        <v>654</v>
      </c>
      <c r="C72" s="2">
        <v>38511</v>
      </c>
      <c r="D72" t="s">
        <v>46</v>
      </c>
      <c r="E72" s="3">
        <v>0.60416666666666663</v>
      </c>
      <c r="F72" s="3">
        <v>0.61458333333333337</v>
      </c>
      <c r="G72">
        <v>23.8</v>
      </c>
      <c r="H72">
        <v>33</v>
      </c>
      <c r="I72">
        <v>2</v>
      </c>
      <c r="J72">
        <v>2</v>
      </c>
      <c r="K72">
        <v>76</v>
      </c>
      <c r="L72">
        <v>5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8</v>
      </c>
      <c r="Z72">
        <v>0</v>
      </c>
      <c r="AA72">
        <v>0</v>
      </c>
      <c r="AB72">
        <v>0</v>
      </c>
      <c r="AC72">
        <v>10</v>
      </c>
      <c r="AD72">
        <v>0</v>
      </c>
      <c r="AE72">
        <v>0</v>
      </c>
      <c r="AF72" t="s">
        <v>10</v>
      </c>
      <c r="AG72">
        <f>0.1*L72</f>
        <v>0.5</v>
      </c>
    </row>
    <row r="73" spans="1:33" x14ac:dyDescent="0.35">
      <c r="A73" t="s">
        <v>595</v>
      </c>
      <c r="B73" t="s">
        <v>655</v>
      </c>
      <c r="C73" s="2">
        <v>38511</v>
      </c>
      <c r="D73" t="s">
        <v>33</v>
      </c>
      <c r="E73" s="3">
        <v>0.63472222222222219</v>
      </c>
      <c r="F73" s="3">
        <v>0.64513888888888882</v>
      </c>
      <c r="G73">
        <v>21.6</v>
      </c>
      <c r="H73">
        <v>36</v>
      </c>
      <c r="I73">
        <v>2</v>
      </c>
      <c r="J73">
        <v>2</v>
      </c>
      <c r="K73">
        <v>69</v>
      </c>
      <c r="L73">
        <v>0</v>
      </c>
      <c r="M73">
        <v>3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15</v>
      </c>
      <c r="AE73">
        <v>1</v>
      </c>
      <c r="AF73" t="s">
        <v>20</v>
      </c>
      <c r="AG73">
        <f>0.1*Z73</f>
        <v>1</v>
      </c>
    </row>
    <row r="74" spans="1:33" x14ac:dyDescent="0.35">
      <c r="A74" t="s">
        <v>595</v>
      </c>
      <c r="B74" t="s">
        <v>656</v>
      </c>
      <c r="C74" s="2">
        <v>38512</v>
      </c>
      <c r="D74">
        <v>0</v>
      </c>
      <c r="E74" s="3">
        <v>0.62708333333333333</v>
      </c>
      <c r="F74" s="3">
        <v>0.63749999999999996</v>
      </c>
      <c r="G74">
        <v>25.4</v>
      </c>
      <c r="H74">
        <v>40</v>
      </c>
      <c r="I74">
        <v>2</v>
      </c>
      <c r="J74">
        <v>2</v>
      </c>
      <c r="K74">
        <v>0</v>
      </c>
      <c r="L74">
        <v>0</v>
      </c>
      <c r="M74">
        <v>0</v>
      </c>
      <c r="N74">
        <v>85</v>
      </c>
      <c r="O74">
        <v>0</v>
      </c>
      <c r="P74">
        <v>10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</v>
      </c>
      <c r="AE74">
        <v>0</v>
      </c>
      <c r="AF74" t="s">
        <v>12</v>
      </c>
      <c r="AG74">
        <f>0.02*N74</f>
        <v>1.7</v>
      </c>
    </row>
    <row r="75" spans="1:33" x14ac:dyDescent="0.35">
      <c r="A75" t="s">
        <v>595</v>
      </c>
      <c r="B75" t="s">
        <v>657</v>
      </c>
      <c r="C75" s="2">
        <v>38512</v>
      </c>
      <c r="D75" s="8">
        <v>0</v>
      </c>
      <c r="E75" s="3">
        <v>0.64236111111111105</v>
      </c>
      <c r="F75" s="3">
        <v>0.65277777777777779</v>
      </c>
      <c r="G75">
        <v>25.6</v>
      </c>
      <c r="H75">
        <v>41</v>
      </c>
      <c r="I75">
        <v>2</v>
      </c>
      <c r="J75">
        <v>3</v>
      </c>
      <c r="K75">
        <v>0</v>
      </c>
      <c r="L75">
        <v>0</v>
      </c>
      <c r="M75">
        <v>0</v>
      </c>
      <c r="N75">
        <v>90</v>
      </c>
      <c r="O75">
        <v>0</v>
      </c>
      <c r="P75">
        <v>1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8</v>
      </c>
      <c r="AD75">
        <v>0</v>
      </c>
      <c r="AE75">
        <v>0</v>
      </c>
      <c r="AF75" t="s">
        <v>12</v>
      </c>
      <c r="AG75">
        <f>0.05*N75</f>
        <v>4.5</v>
      </c>
    </row>
    <row r="76" spans="1:33" x14ac:dyDescent="0.35">
      <c r="A76" t="s">
        <v>595</v>
      </c>
      <c r="B76" t="s">
        <v>658</v>
      </c>
      <c r="C76" s="2">
        <v>38512</v>
      </c>
      <c r="D76" s="8" t="s">
        <v>40</v>
      </c>
      <c r="E76" s="3">
        <v>0.65694444444444444</v>
      </c>
      <c r="F76" s="3">
        <v>0.66736111111111107</v>
      </c>
      <c r="G76">
        <v>22.3</v>
      </c>
      <c r="H76">
        <v>47</v>
      </c>
      <c r="I76">
        <v>2</v>
      </c>
      <c r="J76">
        <v>3</v>
      </c>
      <c r="K76">
        <v>3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4</v>
      </c>
      <c r="S76">
        <v>0</v>
      </c>
      <c r="T76">
        <v>3</v>
      </c>
      <c r="U76">
        <v>0</v>
      </c>
      <c r="V76">
        <v>0</v>
      </c>
      <c r="W76">
        <v>0</v>
      </c>
      <c r="X76">
        <v>0</v>
      </c>
      <c r="Y76">
        <v>2</v>
      </c>
      <c r="Z76">
        <v>1</v>
      </c>
      <c r="AA76">
        <v>0</v>
      </c>
      <c r="AB76">
        <v>0</v>
      </c>
      <c r="AC76">
        <v>80</v>
      </c>
      <c r="AD76">
        <v>5</v>
      </c>
      <c r="AE76">
        <v>0</v>
      </c>
      <c r="AF76" t="s">
        <v>19</v>
      </c>
      <c r="AG76">
        <f>0.03*Y76</f>
        <v>0.06</v>
      </c>
    </row>
    <row r="77" spans="1:33" x14ac:dyDescent="0.35">
      <c r="A77" t="s">
        <v>595</v>
      </c>
      <c r="B77" t="s">
        <v>658</v>
      </c>
      <c r="C77" s="2">
        <v>38512</v>
      </c>
      <c r="D77" s="8" t="s">
        <v>40</v>
      </c>
      <c r="E77" s="3">
        <v>0.65694444444444444</v>
      </c>
      <c r="F77" s="3">
        <v>0.66736111111111107</v>
      </c>
      <c r="G77">
        <v>22.3</v>
      </c>
      <c r="H77">
        <v>47</v>
      </c>
      <c r="I77">
        <v>2</v>
      </c>
      <c r="J77">
        <v>3</v>
      </c>
      <c r="K77">
        <v>3</v>
      </c>
      <c r="L77">
        <v>1</v>
      </c>
      <c r="M77">
        <v>0</v>
      </c>
      <c r="N77">
        <v>0</v>
      </c>
      <c r="O77">
        <v>0</v>
      </c>
      <c r="P77">
        <v>1</v>
      </c>
      <c r="Q77">
        <v>0</v>
      </c>
      <c r="R77">
        <v>4</v>
      </c>
      <c r="S77">
        <v>0</v>
      </c>
      <c r="T77">
        <v>3</v>
      </c>
      <c r="U77">
        <v>0</v>
      </c>
      <c r="V77">
        <v>0</v>
      </c>
      <c r="W77">
        <v>0</v>
      </c>
      <c r="X77">
        <v>0</v>
      </c>
      <c r="Y77">
        <v>2</v>
      </c>
      <c r="Z77">
        <v>1</v>
      </c>
      <c r="AA77">
        <v>0</v>
      </c>
      <c r="AB77">
        <v>0</v>
      </c>
      <c r="AC77">
        <v>80</v>
      </c>
      <c r="AD77">
        <v>5</v>
      </c>
      <c r="AE77">
        <v>0</v>
      </c>
      <c r="AF77" t="s">
        <v>16</v>
      </c>
      <c r="AG77">
        <f>0.05*T77</f>
        <v>0.15000000000000002</v>
      </c>
    </row>
    <row r="78" spans="1:33" x14ac:dyDescent="0.35">
      <c r="A78" t="s">
        <v>595</v>
      </c>
      <c r="B78" t="s">
        <v>659</v>
      </c>
      <c r="C78" s="2">
        <v>38513</v>
      </c>
      <c r="D78" s="8" t="s">
        <v>50</v>
      </c>
      <c r="E78" s="3">
        <v>0.58194444444444449</v>
      </c>
      <c r="F78" s="3">
        <v>0.59236111111111112</v>
      </c>
      <c r="G78">
        <v>18.899999999999999</v>
      </c>
      <c r="H78">
        <v>41</v>
      </c>
      <c r="I78">
        <v>2</v>
      </c>
      <c r="J78">
        <v>3</v>
      </c>
      <c r="K78">
        <v>0</v>
      </c>
      <c r="L78">
        <v>5</v>
      </c>
      <c r="M78">
        <v>0</v>
      </c>
      <c r="N78">
        <v>0</v>
      </c>
      <c r="O78">
        <v>0</v>
      </c>
      <c r="P78">
        <v>25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25</v>
      </c>
      <c r="Z78">
        <v>0</v>
      </c>
      <c r="AA78">
        <v>0</v>
      </c>
      <c r="AB78">
        <v>2</v>
      </c>
      <c r="AC78">
        <v>40</v>
      </c>
      <c r="AD78">
        <v>3</v>
      </c>
      <c r="AE78">
        <v>0</v>
      </c>
      <c r="AF78" t="s">
        <v>19</v>
      </c>
      <c r="AG78">
        <f>0.25*Y78</f>
        <v>6.25</v>
      </c>
    </row>
    <row r="79" spans="1:33" x14ac:dyDescent="0.35">
      <c r="A79" t="s">
        <v>595</v>
      </c>
      <c r="B79" t="s">
        <v>660</v>
      </c>
      <c r="C79" s="2">
        <v>38518</v>
      </c>
      <c r="D79">
        <v>0</v>
      </c>
      <c r="E79" s="3">
        <v>0.4152777777777778</v>
      </c>
      <c r="F79" s="3">
        <v>0.42569444444444443</v>
      </c>
      <c r="G79">
        <v>18.899999999999999</v>
      </c>
      <c r="H79">
        <v>45</v>
      </c>
      <c r="I79">
        <v>0</v>
      </c>
      <c r="J79">
        <v>2</v>
      </c>
      <c r="K79">
        <v>0</v>
      </c>
      <c r="L79">
        <v>0</v>
      </c>
      <c r="M79">
        <v>0</v>
      </c>
      <c r="N79">
        <v>67</v>
      </c>
      <c r="O79">
        <v>0</v>
      </c>
      <c r="P79">
        <v>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25</v>
      </c>
      <c r="AE79">
        <v>0</v>
      </c>
      <c r="AF79" t="s">
        <v>83</v>
      </c>
      <c r="AG79">
        <f>0.05*P79</f>
        <v>0.15000000000000002</v>
      </c>
    </row>
    <row r="80" spans="1:33" x14ac:dyDescent="0.35">
      <c r="A80" t="s">
        <v>595</v>
      </c>
      <c r="B80" t="s">
        <v>660</v>
      </c>
      <c r="C80" s="2">
        <v>38518</v>
      </c>
      <c r="D80">
        <v>0</v>
      </c>
      <c r="E80" s="3">
        <v>0.4152777777777778</v>
      </c>
      <c r="F80" s="3">
        <v>0.42569444444444443</v>
      </c>
      <c r="G80">
        <v>18.899999999999999</v>
      </c>
      <c r="H80">
        <v>45</v>
      </c>
      <c r="I80">
        <v>0</v>
      </c>
      <c r="J80">
        <v>2</v>
      </c>
      <c r="K80">
        <v>0</v>
      </c>
      <c r="L80">
        <v>0</v>
      </c>
      <c r="M80">
        <v>0</v>
      </c>
      <c r="N80">
        <v>67</v>
      </c>
      <c r="O80">
        <v>0</v>
      </c>
      <c r="P80">
        <v>3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5</v>
      </c>
      <c r="AD80">
        <v>25</v>
      </c>
      <c r="AE80">
        <v>0</v>
      </c>
      <c r="AF80" t="s">
        <v>12</v>
      </c>
      <c r="AG80">
        <f>0.01*N80</f>
        <v>0.67</v>
      </c>
    </row>
    <row r="81" spans="1:33" x14ac:dyDescent="0.35">
      <c r="A81" t="s">
        <v>595</v>
      </c>
      <c r="B81" t="s">
        <v>661</v>
      </c>
      <c r="C81" s="2">
        <v>38518</v>
      </c>
      <c r="D81">
        <v>0</v>
      </c>
      <c r="E81" s="3">
        <v>0.44027777777777777</v>
      </c>
      <c r="F81" s="3">
        <v>0.45069444444444445</v>
      </c>
      <c r="G81">
        <v>20.5</v>
      </c>
      <c r="H81">
        <v>37</v>
      </c>
      <c r="I81">
        <v>0</v>
      </c>
      <c r="J81">
        <v>1</v>
      </c>
      <c r="K81">
        <v>0</v>
      </c>
      <c r="L81">
        <v>3</v>
      </c>
      <c r="M81">
        <v>0</v>
      </c>
      <c r="N81">
        <v>0</v>
      </c>
      <c r="O81">
        <v>0</v>
      </c>
      <c r="P81">
        <v>45</v>
      </c>
      <c r="Q81">
        <v>0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50</v>
      </c>
      <c r="AD81">
        <v>0</v>
      </c>
      <c r="AE81">
        <v>0</v>
      </c>
      <c r="AF81" t="s">
        <v>83</v>
      </c>
      <c r="AG81">
        <f>0.05*P81</f>
        <v>2.25</v>
      </c>
    </row>
    <row r="82" spans="1:33" x14ac:dyDescent="0.35">
      <c r="A82" t="s">
        <v>595</v>
      </c>
      <c r="B82" t="s">
        <v>662</v>
      </c>
      <c r="C82" s="2">
        <v>38518</v>
      </c>
      <c r="D82" t="s">
        <v>46</v>
      </c>
      <c r="E82" s="3">
        <v>0.46319444444444446</v>
      </c>
      <c r="F82" s="3">
        <v>0.47361111111111115</v>
      </c>
      <c r="G82">
        <v>21.3</v>
      </c>
      <c r="H82">
        <v>42</v>
      </c>
      <c r="I82">
        <v>0</v>
      </c>
      <c r="J82">
        <v>2</v>
      </c>
      <c r="K82">
        <v>40</v>
      </c>
      <c r="L82">
        <v>15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44</v>
      </c>
      <c r="AD82">
        <v>0</v>
      </c>
      <c r="AE82">
        <v>0</v>
      </c>
      <c r="AF82" t="s">
        <v>592</v>
      </c>
      <c r="AG82">
        <f>1*V82</f>
        <v>1</v>
      </c>
    </row>
    <row r="83" spans="1:33" x14ac:dyDescent="0.35">
      <c r="A83" t="s">
        <v>595</v>
      </c>
      <c r="B83" t="s">
        <v>662</v>
      </c>
      <c r="C83" s="2">
        <v>38518</v>
      </c>
      <c r="D83" t="s">
        <v>46</v>
      </c>
      <c r="E83" s="3">
        <v>0.46319444444444446</v>
      </c>
      <c r="F83" s="3">
        <v>0.47361111111111115</v>
      </c>
      <c r="G83">
        <v>21.3</v>
      </c>
      <c r="H83">
        <v>42</v>
      </c>
      <c r="I83">
        <v>0</v>
      </c>
      <c r="J83">
        <v>2</v>
      </c>
      <c r="K83">
        <v>40</v>
      </c>
      <c r="L83">
        <v>15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44</v>
      </c>
      <c r="AD83">
        <v>0</v>
      </c>
      <c r="AE83">
        <v>0</v>
      </c>
      <c r="AF83" t="s">
        <v>10</v>
      </c>
      <c r="AG83">
        <f>0.5*L82</f>
        <v>7.5</v>
      </c>
    </row>
    <row r="84" spans="1:33" x14ac:dyDescent="0.35">
      <c r="A84" t="s">
        <v>595</v>
      </c>
      <c r="B84" t="s">
        <v>662</v>
      </c>
      <c r="C84" s="2">
        <v>38518</v>
      </c>
      <c r="D84" t="s">
        <v>46</v>
      </c>
      <c r="E84" s="3">
        <v>0.46319444444444446</v>
      </c>
      <c r="F84" s="3">
        <v>0.47361111111111115</v>
      </c>
      <c r="G84">
        <v>21.3</v>
      </c>
      <c r="H84">
        <v>42</v>
      </c>
      <c r="I84">
        <v>0</v>
      </c>
      <c r="J84">
        <v>2</v>
      </c>
      <c r="K84">
        <v>40</v>
      </c>
      <c r="L84">
        <v>15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44</v>
      </c>
      <c r="AD84">
        <v>0</v>
      </c>
      <c r="AE84">
        <v>0</v>
      </c>
      <c r="AF84" t="s">
        <v>592</v>
      </c>
      <c r="AG84">
        <f>0.01*V84</f>
        <v>0.01</v>
      </c>
    </row>
    <row r="85" spans="1:33" x14ac:dyDescent="0.35">
      <c r="A85" t="s">
        <v>595</v>
      </c>
      <c r="B85" t="s">
        <v>663</v>
      </c>
      <c r="C85" s="2">
        <v>38518</v>
      </c>
      <c r="D85" t="s">
        <v>46</v>
      </c>
      <c r="E85" s="3">
        <v>0.48055555555555557</v>
      </c>
      <c r="F85" s="3">
        <v>0.4909722222222222</v>
      </c>
      <c r="G85">
        <v>21.6</v>
      </c>
      <c r="H85">
        <v>34</v>
      </c>
      <c r="I85">
        <v>0</v>
      </c>
      <c r="J85">
        <v>2</v>
      </c>
      <c r="K85">
        <v>5</v>
      </c>
      <c r="L85">
        <v>4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50</v>
      </c>
      <c r="Z85">
        <v>0</v>
      </c>
      <c r="AA85">
        <v>0</v>
      </c>
      <c r="AB85">
        <v>0</v>
      </c>
      <c r="AC85">
        <v>38</v>
      </c>
      <c r="AD85">
        <v>3</v>
      </c>
      <c r="AE85">
        <v>0</v>
      </c>
      <c r="AF85" t="s">
        <v>19</v>
      </c>
      <c r="AG85">
        <f>0.4*Y85</f>
        <v>20</v>
      </c>
    </row>
    <row r="86" spans="1:33" x14ac:dyDescent="0.35">
      <c r="A86" t="s">
        <v>595</v>
      </c>
      <c r="B86" t="s">
        <v>664</v>
      </c>
      <c r="C86" s="2">
        <v>38518</v>
      </c>
      <c r="D86" t="s">
        <v>33</v>
      </c>
      <c r="E86" s="3">
        <v>0.5083333333333333</v>
      </c>
      <c r="F86" s="3">
        <v>0.51875000000000004</v>
      </c>
      <c r="G86">
        <v>24.7</v>
      </c>
      <c r="H86">
        <v>38</v>
      </c>
      <c r="I86">
        <v>0</v>
      </c>
      <c r="J86">
        <v>1</v>
      </c>
      <c r="K86">
        <v>41</v>
      </c>
      <c r="L86">
        <v>50</v>
      </c>
      <c r="M86">
        <v>1</v>
      </c>
      <c r="N86">
        <v>0</v>
      </c>
      <c r="O86">
        <v>0</v>
      </c>
      <c r="P86">
        <v>0</v>
      </c>
      <c r="Q86">
        <v>0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2</v>
      </c>
      <c r="AE86">
        <v>0</v>
      </c>
      <c r="AF86" t="s">
        <v>19</v>
      </c>
      <c r="AG86">
        <f>0.2*Y86</f>
        <v>0.2</v>
      </c>
    </row>
    <row r="87" spans="1:33" x14ac:dyDescent="0.35">
      <c r="A87" t="s">
        <v>595</v>
      </c>
      <c r="B87" t="s">
        <v>664</v>
      </c>
      <c r="C87" s="2">
        <v>38518</v>
      </c>
      <c r="D87" t="s">
        <v>33</v>
      </c>
      <c r="E87" s="3">
        <v>0.5083333333333333</v>
      </c>
      <c r="F87" s="3">
        <v>0.51875000000000004</v>
      </c>
      <c r="G87">
        <v>24.7</v>
      </c>
      <c r="H87">
        <v>38</v>
      </c>
      <c r="I87">
        <v>0</v>
      </c>
      <c r="J87">
        <v>1</v>
      </c>
      <c r="K87">
        <v>41</v>
      </c>
      <c r="L87">
        <v>50</v>
      </c>
      <c r="M87">
        <v>1</v>
      </c>
      <c r="N87">
        <v>0</v>
      </c>
      <c r="O87">
        <v>0</v>
      </c>
      <c r="P87">
        <v>0</v>
      </c>
      <c r="Q87">
        <v>0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 t="s">
        <v>10</v>
      </c>
      <c r="AG87">
        <f>0.6*L87</f>
        <v>30</v>
      </c>
    </row>
    <row r="88" spans="1:33" x14ac:dyDescent="0.35">
      <c r="A88" t="s">
        <v>595</v>
      </c>
      <c r="B88" t="s">
        <v>665</v>
      </c>
      <c r="C88" s="2">
        <v>38518</v>
      </c>
      <c r="D88">
        <v>0</v>
      </c>
      <c r="E88" s="3">
        <v>0.52847222222222223</v>
      </c>
      <c r="F88" s="3">
        <v>0.53888888888888886</v>
      </c>
      <c r="G88">
        <v>24.9</v>
      </c>
      <c r="H88">
        <v>28</v>
      </c>
      <c r="I88">
        <v>0</v>
      </c>
      <c r="J88">
        <v>1</v>
      </c>
      <c r="K88">
        <v>10</v>
      </c>
      <c r="L88">
        <v>1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73</v>
      </c>
      <c r="AD88">
        <v>0</v>
      </c>
      <c r="AE88">
        <v>0</v>
      </c>
      <c r="AF88" t="s">
        <v>16</v>
      </c>
      <c r="AG88">
        <f>0.05*T88</f>
        <v>0.30000000000000004</v>
      </c>
    </row>
    <row r="89" spans="1:33" x14ac:dyDescent="0.35">
      <c r="A89" t="s">
        <v>595</v>
      </c>
      <c r="B89" t="s">
        <v>666</v>
      </c>
      <c r="C89" s="2">
        <v>38518</v>
      </c>
      <c r="D89" t="s">
        <v>33</v>
      </c>
      <c r="E89" s="3">
        <v>0.55208333333333337</v>
      </c>
      <c r="F89" s="3">
        <v>0.5625</v>
      </c>
      <c r="G89">
        <v>27.1</v>
      </c>
      <c r="H89">
        <v>43</v>
      </c>
      <c r="I89">
        <v>0</v>
      </c>
      <c r="J89">
        <v>1</v>
      </c>
      <c r="K89">
        <v>60</v>
      </c>
      <c r="L89">
        <v>35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4</v>
      </c>
      <c r="AE89">
        <v>0</v>
      </c>
      <c r="AF89" t="s">
        <v>20</v>
      </c>
      <c r="AG89">
        <f>0.2*Z89</f>
        <v>0.2</v>
      </c>
    </row>
    <row r="90" spans="1:33" x14ac:dyDescent="0.35">
      <c r="A90" t="s">
        <v>595</v>
      </c>
      <c r="B90" t="s">
        <v>666</v>
      </c>
      <c r="C90" s="2">
        <v>38518</v>
      </c>
      <c r="D90" t="s">
        <v>33</v>
      </c>
      <c r="E90" s="3">
        <v>0.55208333333333337</v>
      </c>
      <c r="F90" s="3">
        <v>0.5625</v>
      </c>
      <c r="G90">
        <v>27.1</v>
      </c>
      <c r="H90">
        <v>43</v>
      </c>
      <c r="I90">
        <v>0</v>
      </c>
      <c r="J90">
        <v>1</v>
      </c>
      <c r="K90">
        <v>60</v>
      </c>
      <c r="L90">
        <v>35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4</v>
      </c>
      <c r="AE90">
        <v>0</v>
      </c>
      <c r="AF90" t="s">
        <v>10</v>
      </c>
      <c r="AG90">
        <f>0.65*L90</f>
        <v>22.75</v>
      </c>
    </row>
    <row r="91" spans="1:33" x14ac:dyDescent="0.35">
      <c r="A91" t="s">
        <v>595</v>
      </c>
      <c r="B91" t="s">
        <v>667</v>
      </c>
      <c r="C91" s="2">
        <v>38523</v>
      </c>
      <c r="D91" t="s">
        <v>33</v>
      </c>
      <c r="E91" s="3">
        <v>0.3666666666666667</v>
      </c>
      <c r="F91" s="3">
        <v>0.37708333333333338</v>
      </c>
      <c r="G91">
        <v>24.9</v>
      </c>
      <c r="H91">
        <v>64</v>
      </c>
      <c r="I91">
        <v>0</v>
      </c>
      <c r="J91">
        <v>2</v>
      </c>
      <c r="K91">
        <v>35</v>
      </c>
      <c r="L91">
        <v>32</v>
      </c>
      <c r="M91">
        <v>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5</v>
      </c>
      <c r="AD91">
        <v>19</v>
      </c>
      <c r="AE91">
        <v>3</v>
      </c>
      <c r="AF91" t="s">
        <v>20</v>
      </c>
      <c r="AG91">
        <f>0.3*Z91</f>
        <v>0.3</v>
      </c>
    </row>
    <row r="92" spans="1:33" x14ac:dyDescent="0.35">
      <c r="A92" t="s">
        <v>595</v>
      </c>
      <c r="B92" t="s">
        <v>667</v>
      </c>
      <c r="C92" s="2">
        <v>38523</v>
      </c>
      <c r="D92" t="s">
        <v>33</v>
      </c>
      <c r="E92" s="3">
        <v>0.3666666666666667</v>
      </c>
      <c r="F92" s="3">
        <v>0.37708333333333338</v>
      </c>
      <c r="G92">
        <v>24.9</v>
      </c>
      <c r="H92">
        <v>64</v>
      </c>
      <c r="I92">
        <v>0</v>
      </c>
      <c r="J92">
        <v>2</v>
      </c>
      <c r="K92">
        <v>35</v>
      </c>
      <c r="L92">
        <v>32</v>
      </c>
      <c r="M92">
        <v>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5</v>
      </c>
      <c r="AD92">
        <v>19</v>
      </c>
      <c r="AE92">
        <v>3</v>
      </c>
      <c r="AF92" t="s">
        <v>10</v>
      </c>
      <c r="AG92">
        <f>0.25*L92</f>
        <v>8</v>
      </c>
    </row>
    <row r="93" spans="1:33" x14ac:dyDescent="0.35">
      <c r="A93" t="s">
        <v>595</v>
      </c>
      <c r="B93" t="s">
        <v>668</v>
      </c>
      <c r="C93" s="2">
        <v>38523</v>
      </c>
      <c r="D93" t="s">
        <v>33</v>
      </c>
      <c r="E93" s="3">
        <v>0.38194444444444442</v>
      </c>
      <c r="F93" s="3">
        <v>0.3923611111111111</v>
      </c>
      <c r="G93">
        <v>25.5</v>
      </c>
      <c r="H93">
        <v>59</v>
      </c>
      <c r="I93">
        <v>1</v>
      </c>
      <c r="J93">
        <v>3</v>
      </c>
      <c r="K93">
        <v>51</v>
      </c>
      <c r="L93">
        <v>45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1</v>
      </c>
      <c r="AF93" t="s">
        <v>20</v>
      </c>
      <c r="AG93">
        <f>0.1*Z93</f>
        <v>0.1</v>
      </c>
    </row>
    <row r="94" spans="1:33" x14ac:dyDescent="0.35">
      <c r="A94" t="s">
        <v>595</v>
      </c>
      <c r="B94" t="s">
        <v>668</v>
      </c>
      <c r="C94" s="2">
        <v>38523</v>
      </c>
      <c r="D94" t="s">
        <v>33</v>
      </c>
      <c r="E94" s="3">
        <v>0.38194444444444442</v>
      </c>
      <c r="F94" s="3">
        <v>0.3923611111111111</v>
      </c>
      <c r="G94">
        <v>25.5</v>
      </c>
      <c r="H94">
        <v>59</v>
      </c>
      <c r="I94">
        <v>1</v>
      </c>
      <c r="J94">
        <v>3</v>
      </c>
      <c r="K94">
        <v>51</v>
      </c>
      <c r="L94">
        <v>45</v>
      </c>
      <c r="M94">
        <v>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1</v>
      </c>
      <c r="AF94" t="s">
        <v>10</v>
      </c>
      <c r="AG94">
        <f>0.3*L94</f>
        <v>13.5</v>
      </c>
    </row>
    <row r="95" spans="1:33" x14ac:dyDescent="0.35">
      <c r="A95" t="s">
        <v>595</v>
      </c>
      <c r="B95" t="s">
        <v>669</v>
      </c>
      <c r="C95" s="2">
        <v>38523</v>
      </c>
      <c r="D95" t="s">
        <v>45</v>
      </c>
      <c r="E95" s="3">
        <v>0.40138888888888885</v>
      </c>
      <c r="F95" s="3">
        <v>0.41180555555555554</v>
      </c>
      <c r="G95">
        <v>26.8</v>
      </c>
      <c r="H95">
        <v>61</v>
      </c>
      <c r="I95">
        <v>1</v>
      </c>
      <c r="J95">
        <v>3</v>
      </c>
      <c r="K95">
        <v>5</v>
      </c>
      <c r="L95">
        <v>1</v>
      </c>
      <c r="M95">
        <v>0</v>
      </c>
      <c r="N95">
        <v>0</v>
      </c>
      <c r="O95">
        <v>0</v>
      </c>
      <c r="P95">
        <v>5</v>
      </c>
      <c r="Q95">
        <v>0</v>
      </c>
      <c r="R95">
        <v>72</v>
      </c>
      <c r="S95">
        <v>0</v>
      </c>
      <c r="T95">
        <v>12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5</v>
      </c>
      <c r="AD95">
        <v>0</v>
      </c>
      <c r="AE95">
        <v>0</v>
      </c>
      <c r="AF95" t="s">
        <v>16</v>
      </c>
      <c r="AG95">
        <f>0.12*T95</f>
        <v>1.44</v>
      </c>
    </row>
    <row r="96" spans="1:33" x14ac:dyDescent="0.35">
      <c r="A96" t="s">
        <v>595</v>
      </c>
      <c r="B96" t="s">
        <v>669</v>
      </c>
      <c r="C96" s="2">
        <v>38523</v>
      </c>
      <c r="D96" t="s">
        <v>45</v>
      </c>
      <c r="E96" s="3">
        <v>0.40138888888888885</v>
      </c>
      <c r="F96" s="3">
        <v>0.41180555555555554</v>
      </c>
      <c r="G96">
        <v>26.8</v>
      </c>
      <c r="H96">
        <v>61</v>
      </c>
      <c r="I96">
        <v>1</v>
      </c>
      <c r="J96">
        <v>3</v>
      </c>
      <c r="K96">
        <v>5</v>
      </c>
      <c r="L96">
        <v>1</v>
      </c>
      <c r="M96">
        <v>0</v>
      </c>
      <c r="N96">
        <v>0</v>
      </c>
      <c r="O96">
        <v>0</v>
      </c>
      <c r="P96">
        <v>5</v>
      </c>
      <c r="Q96">
        <v>0</v>
      </c>
      <c r="R96">
        <v>72</v>
      </c>
      <c r="S96">
        <v>0</v>
      </c>
      <c r="T96">
        <v>12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5</v>
      </c>
      <c r="AD96">
        <v>0</v>
      </c>
      <c r="AE96">
        <v>0</v>
      </c>
      <c r="AF96" t="s">
        <v>10</v>
      </c>
      <c r="AG96">
        <f>0.4*L96</f>
        <v>0.4</v>
      </c>
    </row>
    <row r="97" spans="1:33" x14ac:dyDescent="0.35">
      <c r="A97" t="s">
        <v>595</v>
      </c>
      <c r="B97" t="s">
        <v>670</v>
      </c>
      <c r="C97" s="2">
        <v>38523</v>
      </c>
      <c r="D97" t="s">
        <v>33</v>
      </c>
      <c r="E97" s="3">
        <v>0.4236111111111111</v>
      </c>
      <c r="F97" s="3">
        <v>0.43402777777777773</v>
      </c>
      <c r="G97">
        <v>26.1</v>
      </c>
      <c r="H97">
        <v>50</v>
      </c>
      <c r="I97">
        <v>1</v>
      </c>
      <c r="J97">
        <v>2</v>
      </c>
      <c r="K97">
        <v>51</v>
      </c>
      <c r="L97">
        <v>3</v>
      </c>
      <c r="M97">
        <v>0</v>
      </c>
      <c r="N97">
        <v>0</v>
      </c>
      <c r="O97">
        <v>0</v>
      </c>
      <c r="P97">
        <v>20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10</v>
      </c>
      <c r="Z97">
        <v>1</v>
      </c>
      <c r="AA97">
        <v>0</v>
      </c>
      <c r="AB97">
        <v>0</v>
      </c>
      <c r="AC97">
        <v>15</v>
      </c>
      <c r="AD97">
        <v>0</v>
      </c>
      <c r="AE97">
        <v>0</v>
      </c>
      <c r="AF97" t="s">
        <v>19</v>
      </c>
      <c r="AG97">
        <f>0.5*Y97</f>
        <v>5</v>
      </c>
    </row>
    <row r="98" spans="1:33" x14ac:dyDescent="0.35">
      <c r="A98" t="s">
        <v>595</v>
      </c>
      <c r="B98" t="s">
        <v>670</v>
      </c>
      <c r="C98" s="2">
        <v>38523</v>
      </c>
      <c r="D98" t="s">
        <v>33</v>
      </c>
      <c r="E98" s="3">
        <v>0.4236111111111111</v>
      </c>
      <c r="F98" s="3">
        <v>0.43402777777777773</v>
      </c>
      <c r="G98">
        <v>26.1</v>
      </c>
      <c r="H98">
        <v>50</v>
      </c>
      <c r="I98">
        <v>1</v>
      </c>
      <c r="J98">
        <v>2</v>
      </c>
      <c r="K98">
        <v>51</v>
      </c>
      <c r="L98">
        <v>3</v>
      </c>
      <c r="M98">
        <v>0</v>
      </c>
      <c r="N98">
        <v>0</v>
      </c>
      <c r="O98">
        <v>0</v>
      </c>
      <c r="P98">
        <v>20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10</v>
      </c>
      <c r="Z98">
        <v>1</v>
      </c>
      <c r="AA98">
        <v>0</v>
      </c>
      <c r="AB98">
        <v>0</v>
      </c>
      <c r="AC98">
        <v>15</v>
      </c>
      <c r="AD98">
        <v>0</v>
      </c>
      <c r="AE98">
        <v>0</v>
      </c>
      <c r="AF98" t="s">
        <v>20</v>
      </c>
      <c r="AG98">
        <f>0.05*Z98</f>
        <v>0.05</v>
      </c>
    </row>
    <row r="99" spans="1:33" x14ac:dyDescent="0.35">
      <c r="A99" t="s">
        <v>595</v>
      </c>
      <c r="B99" t="s">
        <v>670</v>
      </c>
      <c r="C99" s="2">
        <v>38523</v>
      </c>
      <c r="D99" t="s">
        <v>33</v>
      </c>
      <c r="E99" s="3">
        <v>0.4236111111111111</v>
      </c>
      <c r="F99" s="3">
        <v>0.43402777777777773</v>
      </c>
      <c r="G99">
        <v>26.1</v>
      </c>
      <c r="H99">
        <v>50</v>
      </c>
      <c r="I99">
        <v>1</v>
      </c>
      <c r="J99">
        <v>2</v>
      </c>
      <c r="K99">
        <v>51</v>
      </c>
      <c r="L99">
        <v>3</v>
      </c>
      <c r="M99">
        <v>0</v>
      </c>
      <c r="N99">
        <v>0</v>
      </c>
      <c r="O99">
        <v>0</v>
      </c>
      <c r="P99">
        <v>20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10</v>
      </c>
      <c r="Z99">
        <v>1</v>
      </c>
      <c r="AA99">
        <v>0</v>
      </c>
      <c r="AB99">
        <v>0</v>
      </c>
      <c r="AC99">
        <v>15</v>
      </c>
      <c r="AD99">
        <v>0</v>
      </c>
      <c r="AE99">
        <v>0</v>
      </c>
      <c r="AF99" t="s">
        <v>10</v>
      </c>
      <c r="AG99">
        <f>0.4*L99</f>
        <v>1.2000000000000002</v>
      </c>
    </row>
    <row r="100" spans="1:33" x14ac:dyDescent="0.35">
      <c r="A100" t="s">
        <v>595</v>
      </c>
      <c r="B100" t="s">
        <v>671</v>
      </c>
      <c r="C100" s="2">
        <v>38523</v>
      </c>
      <c r="D100" t="s">
        <v>33</v>
      </c>
      <c r="E100" s="3">
        <v>0.44097222222222227</v>
      </c>
      <c r="F100" s="3">
        <v>0.4513888888888889</v>
      </c>
      <c r="G100">
        <v>26.2</v>
      </c>
      <c r="H100">
        <v>48</v>
      </c>
      <c r="I100">
        <v>2</v>
      </c>
      <c r="J100">
        <v>3</v>
      </c>
      <c r="K100">
        <v>52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0</v>
      </c>
      <c r="R100">
        <v>25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</v>
      </c>
      <c r="Z100">
        <v>8</v>
      </c>
      <c r="AA100">
        <v>0</v>
      </c>
      <c r="AB100">
        <v>0</v>
      </c>
      <c r="AC100">
        <v>0</v>
      </c>
      <c r="AD100">
        <v>10</v>
      </c>
      <c r="AE100">
        <v>1</v>
      </c>
      <c r="AF100" t="s">
        <v>19</v>
      </c>
      <c r="AG100">
        <f>0.65*Y100</f>
        <v>1.3</v>
      </c>
    </row>
    <row r="101" spans="1:33" x14ac:dyDescent="0.35">
      <c r="A101" t="s">
        <v>595</v>
      </c>
      <c r="B101" t="s">
        <v>671</v>
      </c>
      <c r="C101" s="2">
        <v>38523</v>
      </c>
      <c r="D101" t="s">
        <v>33</v>
      </c>
      <c r="E101" s="3">
        <v>0.44097222222222227</v>
      </c>
      <c r="F101" s="3">
        <v>0.4513888888888889</v>
      </c>
      <c r="G101">
        <v>26.2</v>
      </c>
      <c r="H101">
        <v>48</v>
      </c>
      <c r="I101">
        <v>2</v>
      </c>
      <c r="J101">
        <v>3</v>
      </c>
      <c r="K101">
        <v>52</v>
      </c>
      <c r="L101">
        <v>0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25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8</v>
      </c>
      <c r="AA101">
        <v>0</v>
      </c>
      <c r="AB101">
        <v>0</v>
      </c>
      <c r="AC101">
        <v>0</v>
      </c>
      <c r="AD101">
        <v>10</v>
      </c>
      <c r="AE101">
        <v>1</v>
      </c>
      <c r="AF101" t="s">
        <v>20</v>
      </c>
      <c r="AG101">
        <f>0.1*Z101</f>
        <v>0.8</v>
      </c>
    </row>
    <row r="102" spans="1:33" x14ac:dyDescent="0.35">
      <c r="A102" t="s">
        <v>595</v>
      </c>
      <c r="B102" t="s">
        <v>672</v>
      </c>
      <c r="C102" s="2">
        <v>38523</v>
      </c>
      <c r="D102" t="s">
        <v>46</v>
      </c>
      <c r="E102" s="3">
        <v>0.47499999999999998</v>
      </c>
      <c r="F102" s="3">
        <v>0.48541666666666666</v>
      </c>
      <c r="G102">
        <v>28.4</v>
      </c>
      <c r="H102">
        <v>53</v>
      </c>
      <c r="I102">
        <v>2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50</v>
      </c>
      <c r="Z102">
        <v>0</v>
      </c>
      <c r="AA102">
        <v>0</v>
      </c>
      <c r="AB102">
        <v>0</v>
      </c>
      <c r="AC102">
        <v>50</v>
      </c>
      <c r="AD102">
        <v>0</v>
      </c>
      <c r="AE102">
        <v>0</v>
      </c>
      <c r="AF102" t="s">
        <v>19</v>
      </c>
      <c r="AG102">
        <f>0.7*Y102</f>
        <v>35</v>
      </c>
    </row>
    <row r="103" spans="1:33" x14ac:dyDescent="0.35">
      <c r="A103" t="s">
        <v>595</v>
      </c>
      <c r="B103" t="s">
        <v>673</v>
      </c>
      <c r="C103" s="2">
        <v>38523</v>
      </c>
      <c r="D103" t="s">
        <v>33</v>
      </c>
      <c r="E103" s="3">
        <v>0.49305555555555558</v>
      </c>
      <c r="F103" s="3">
        <v>0.50347222222222221</v>
      </c>
      <c r="G103">
        <v>26.5</v>
      </c>
      <c r="H103">
        <v>50</v>
      </c>
      <c r="I103">
        <v>2</v>
      </c>
      <c r="J103">
        <v>2</v>
      </c>
      <c r="K103">
        <v>32</v>
      </c>
      <c r="L103">
        <v>50</v>
      </c>
      <c r="M103">
        <v>8</v>
      </c>
      <c r="N103">
        <v>0</v>
      </c>
      <c r="O103">
        <v>0</v>
      </c>
      <c r="P103">
        <v>0</v>
      </c>
      <c r="Q103">
        <v>0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</v>
      </c>
      <c r="Z103">
        <v>0</v>
      </c>
      <c r="AA103">
        <v>0</v>
      </c>
      <c r="AB103">
        <v>0</v>
      </c>
      <c r="AC103">
        <v>0</v>
      </c>
      <c r="AD103">
        <v>3</v>
      </c>
      <c r="AE103">
        <v>0</v>
      </c>
      <c r="AF103" t="s">
        <v>19</v>
      </c>
      <c r="AG103">
        <f>0.4*Y103</f>
        <v>0.8</v>
      </c>
    </row>
    <row r="104" spans="1:33" x14ac:dyDescent="0.35">
      <c r="A104" t="s">
        <v>595</v>
      </c>
      <c r="B104" t="s">
        <v>673</v>
      </c>
      <c r="C104" s="2">
        <v>38523</v>
      </c>
      <c r="D104" t="s">
        <v>33</v>
      </c>
      <c r="E104" s="3">
        <v>0.49305555555555558</v>
      </c>
      <c r="F104" s="3">
        <v>0.50347222222222221</v>
      </c>
      <c r="G104">
        <v>26.5</v>
      </c>
      <c r="H104">
        <v>50</v>
      </c>
      <c r="I104">
        <v>2</v>
      </c>
      <c r="J104">
        <v>2</v>
      </c>
      <c r="K104">
        <v>32</v>
      </c>
      <c r="L104">
        <v>50</v>
      </c>
      <c r="M104">
        <v>8</v>
      </c>
      <c r="N104">
        <v>0</v>
      </c>
      <c r="O104">
        <v>0</v>
      </c>
      <c r="P104">
        <v>0</v>
      </c>
      <c r="Q104">
        <v>0</v>
      </c>
      <c r="R104">
        <v>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</v>
      </c>
      <c r="Z104">
        <v>0</v>
      </c>
      <c r="AA104">
        <v>0</v>
      </c>
      <c r="AB104">
        <v>0</v>
      </c>
      <c r="AC104">
        <v>0</v>
      </c>
      <c r="AD104">
        <v>3</v>
      </c>
      <c r="AE104">
        <v>0</v>
      </c>
      <c r="AF104" t="s">
        <v>10</v>
      </c>
      <c r="AG104">
        <f>0.3*L104</f>
        <v>15</v>
      </c>
    </row>
    <row r="105" spans="1:33" x14ac:dyDescent="0.35">
      <c r="A105" t="s">
        <v>595</v>
      </c>
      <c r="B105" t="s">
        <v>674</v>
      </c>
      <c r="C105" s="2">
        <v>38526</v>
      </c>
      <c r="D105" t="s">
        <v>36</v>
      </c>
      <c r="E105" s="3">
        <v>0.38124999999999998</v>
      </c>
      <c r="F105" s="3">
        <v>0.39166666666666666</v>
      </c>
      <c r="G105">
        <v>23.3</v>
      </c>
      <c r="H105">
        <v>61</v>
      </c>
      <c r="I105">
        <v>0</v>
      </c>
      <c r="J105">
        <v>2</v>
      </c>
      <c r="K105">
        <v>39</v>
      </c>
      <c r="L105">
        <v>50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10</v>
      </c>
      <c r="AE105">
        <v>0</v>
      </c>
      <c r="AF105" t="s">
        <v>10</v>
      </c>
      <c r="AG105">
        <f>0.1*L105</f>
        <v>5</v>
      </c>
    </row>
    <row r="106" spans="1:33" x14ac:dyDescent="0.35">
      <c r="A106" t="s">
        <v>595</v>
      </c>
      <c r="B106" t="s">
        <v>675</v>
      </c>
      <c r="C106" s="2">
        <v>38526</v>
      </c>
      <c r="D106" t="s">
        <v>33</v>
      </c>
      <c r="E106" s="3">
        <v>0.39583333333333331</v>
      </c>
      <c r="F106" s="3">
        <v>0.40625</v>
      </c>
      <c r="G106">
        <v>23.5</v>
      </c>
      <c r="H106">
        <v>52</v>
      </c>
      <c r="I106">
        <v>0</v>
      </c>
      <c r="J106">
        <v>1</v>
      </c>
      <c r="K106">
        <v>60</v>
      </c>
      <c r="L106">
        <v>0</v>
      </c>
      <c r="M106">
        <v>30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5</v>
      </c>
      <c r="AB106">
        <v>0</v>
      </c>
      <c r="AC106">
        <v>0</v>
      </c>
      <c r="AD106">
        <v>4</v>
      </c>
      <c r="AE106">
        <v>0</v>
      </c>
      <c r="AF106" t="s">
        <v>21</v>
      </c>
      <c r="AG106">
        <f>0.11*AA106</f>
        <v>0.55000000000000004</v>
      </c>
    </row>
    <row r="107" spans="1:33" x14ac:dyDescent="0.35">
      <c r="A107" t="s">
        <v>595</v>
      </c>
      <c r="B107" t="s">
        <v>676</v>
      </c>
      <c r="C107" s="2">
        <v>38526</v>
      </c>
      <c r="D107" t="s">
        <v>33</v>
      </c>
      <c r="E107" s="3">
        <v>0.41180555555555554</v>
      </c>
      <c r="F107" s="3">
        <v>0.42222222222222222</v>
      </c>
      <c r="G107">
        <v>24.7</v>
      </c>
      <c r="H107">
        <v>55</v>
      </c>
      <c r="I107">
        <v>0</v>
      </c>
      <c r="J107">
        <v>1</v>
      </c>
      <c r="K107">
        <v>62</v>
      </c>
      <c r="L107">
        <v>20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</v>
      </c>
      <c r="Z107">
        <v>5</v>
      </c>
      <c r="AA107">
        <v>0</v>
      </c>
      <c r="AB107">
        <v>0</v>
      </c>
      <c r="AC107">
        <v>5</v>
      </c>
      <c r="AD107">
        <v>5</v>
      </c>
      <c r="AE107">
        <v>1</v>
      </c>
      <c r="AF107" t="s">
        <v>19</v>
      </c>
      <c r="AG107">
        <f>0.6*Y107</f>
        <v>1.2</v>
      </c>
    </row>
    <row r="108" spans="1:33" x14ac:dyDescent="0.35">
      <c r="A108" t="s">
        <v>595</v>
      </c>
      <c r="B108" t="s">
        <v>676</v>
      </c>
      <c r="C108" s="2">
        <v>38526</v>
      </c>
      <c r="D108" t="s">
        <v>33</v>
      </c>
      <c r="E108" s="3">
        <v>0.41180555555555554</v>
      </c>
      <c r="F108" s="3">
        <v>0.42222222222222222</v>
      </c>
      <c r="G108">
        <v>24.7</v>
      </c>
      <c r="H108">
        <v>55</v>
      </c>
      <c r="I108">
        <v>0</v>
      </c>
      <c r="J108">
        <v>1</v>
      </c>
      <c r="K108">
        <v>62</v>
      </c>
      <c r="L108">
        <v>20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</v>
      </c>
      <c r="Z108">
        <v>5</v>
      </c>
      <c r="AA108">
        <v>0</v>
      </c>
      <c r="AB108">
        <v>0</v>
      </c>
      <c r="AC108">
        <v>5</v>
      </c>
      <c r="AD108">
        <v>5</v>
      </c>
      <c r="AE108">
        <v>1</v>
      </c>
      <c r="AF108" t="s">
        <v>20</v>
      </c>
      <c r="AG108">
        <f>0.19*Z108</f>
        <v>0.95</v>
      </c>
    </row>
    <row r="109" spans="1:33" x14ac:dyDescent="0.35">
      <c r="A109" t="s">
        <v>595</v>
      </c>
      <c r="B109" t="s">
        <v>677</v>
      </c>
      <c r="C109" s="2">
        <v>38526</v>
      </c>
      <c r="D109" t="s">
        <v>33</v>
      </c>
      <c r="E109" s="3">
        <v>0.42986111111111108</v>
      </c>
      <c r="F109" s="3">
        <v>0.44027777777777777</v>
      </c>
      <c r="G109">
        <v>24.8</v>
      </c>
      <c r="H109">
        <v>47</v>
      </c>
      <c r="I109">
        <v>0</v>
      </c>
      <c r="J109">
        <v>1</v>
      </c>
      <c r="K109">
        <v>41</v>
      </c>
      <c r="L109">
        <v>8</v>
      </c>
      <c r="M109">
        <v>0</v>
      </c>
      <c r="N109">
        <v>0</v>
      </c>
      <c r="O109">
        <v>0</v>
      </c>
      <c r="P109">
        <v>30</v>
      </c>
      <c r="Q109">
        <v>0</v>
      </c>
      <c r="R109">
        <v>0</v>
      </c>
      <c r="S109">
        <v>0</v>
      </c>
      <c r="T109">
        <v>7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0</v>
      </c>
      <c r="AB109">
        <v>0</v>
      </c>
      <c r="AC109">
        <v>0</v>
      </c>
      <c r="AD109">
        <v>12</v>
      </c>
      <c r="AE109">
        <v>0</v>
      </c>
      <c r="AF109" t="s">
        <v>16</v>
      </c>
      <c r="AG109">
        <f>0.1*T109</f>
        <v>0.70000000000000007</v>
      </c>
    </row>
    <row r="110" spans="1:33" x14ac:dyDescent="0.35">
      <c r="A110" t="s">
        <v>595</v>
      </c>
      <c r="B110" t="s">
        <v>677</v>
      </c>
      <c r="C110" s="2">
        <v>38526</v>
      </c>
      <c r="D110" t="s">
        <v>33</v>
      </c>
      <c r="E110" s="3">
        <v>0.42986111111111108</v>
      </c>
      <c r="F110" s="3">
        <v>0.44027777777777777</v>
      </c>
      <c r="G110">
        <v>24.8</v>
      </c>
      <c r="H110">
        <v>47</v>
      </c>
      <c r="I110">
        <v>0</v>
      </c>
      <c r="J110">
        <v>1</v>
      </c>
      <c r="K110">
        <v>41</v>
      </c>
      <c r="L110">
        <v>8</v>
      </c>
      <c r="M110">
        <v>0</v>
      </c>
      <c r="N110">
        <v>0</v>
      </c>
      <c r="O110">
        <v>0</v>
      </c>
      <c r="P110">
        <v>30</v>
      </c>
      <c r="Q110">
        <v>0</v>
      </c>
      <c r="R110">
        <v>0</v>
      </c>
      <c r="S110">
        <v>0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0</v>
      </c>
      <c r="AB110">
        <v>0</v>
      </c>
      <c r="AC110">
        <v>0</v>
      </c>
      <c r="AD110">
        <v>12</v>
      </c>
      <c r="AE110">
        <v>0</v>
      </c>
      <c r="AF110" t="s">
        <v>20</v>
      </c>
      <c r="AG110">
        <f>1/23*Z110</f>
        <v>8.6956521739130432E-2</v>
      </c>
    </row>
    <row r="111" spans="1:33" x14ac:dyDescent="0.35">
      <c r="A111" t="s">
        <v>595</v>
      </c>
      <c r="B111" t="s">
        <v>678</v>
      </c>
      <c r="C111" s="2">
        <v>38526</v>
      </c>
      <c r="D111">
        <v>0</v>
      </c>
      <c r="E111" s="3">
        <v>0.44305555555555554</v>
      </c>
      <c r="F111" s="3">
        <v>0.45347222222222222</v>
      </c>
      <c r="G111">
        <v>25.6</v>
      </c>
      <c r="H111">
        <v>48</v>
      </c>
      <c r="I111">
        <v>0</v>
      </c>
      <c r="J111">
        <v>2</v>
      </c>
      <c r="K111">
        <v>61</v>
      </c>
      <c r="L111">
        <v>1</v>
      </c>
      <c r="M111">
        <v>0</v>
      </c>
      <c r="N111">
        <v>0</v>
      </c>
      <c r="O111">
        <v>0</v>
      </c>
      <c r="P111">
        <v>4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12</v>
      </c>
      <c r="Z111">
        <v>1</v>
      </c>
      <c r="AA111">
        <v>0</v>
      </c>
      <c r="AB111">
        <v>0</v>
      </c>
      <c r="AC111">
        <v>20</v>
      </c>
      <c r="AD111">
        <v>1</v>
      </c>
      <c r="AE111">
        <v>0</v>
      </c>
      <c r="AF111" t="s">
        <v>19</v>
      </c>
      <c r="AG111">
        <f>0.8*Y111</f>
        <v>9.6000000000000014</v>
      </c>
    </row>
    <row r="112" spans="1:33" x14ac:dyDescent="0.35">
      <c r="A112" t="s">
        <v>595</v>
      </c>
      <c r="B112" t="s">
        <v>679</v>
      </c>
      <c r="C112" s="2">
        <v>38526</v>
      </c>
      <c r="D112" t="s">
        <v>45</v>
      </c>
      <c r="E112" s="3">
        <v>0.40138888888888885</v>
      </c>
      <c r="F112" s="3">
        <v>0.41180555555555554</v>
      </c>
      <c r="G112">
        <v>26.8</v>
      </c>
      <c r="H112">
        <v>61</v>
      </c>
      <c r="I112">
        <v>1</v>
      </c>
      <c r="J112">
        <v>3</v>
      </c>
      <c r="K112">
        <v>5</v>
      </c>
      <c r="L112">
        <v>1</v>
      </c>
      <c r="M112">
        <v>0</v>
      </c>
      <c r="N112">
        <v>0</v>
      </c>
      <c r="O112">
        <v>0</v>
      </c>
      <c r="P112">
        <v>5</v>
      </c>
      <c r="Q112">
        <v>0</v>
      </c>
      <c r="R112">
        <v>72</v>
      </c>
      <c r="S112">
        <v>0</v>
      </c>
      <c r="T112">
        <v>12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5</v>
      </c>
      <c r="AD112">
        <v>0</v>
      </c>
      <c r="AE112">
        <v>0</v>
      </c>
      <c r="AF112" t="s">
        <v>16</v>
      </c>
      <c r="AG112">
        <f>0.15*T112</f>
        <v>1.7999999999999998</v>
      </c>
    </row>
    <row r="113" spans="1:33" x14ac:dyDescent="0.35">
      <c r="A113" t="s">
        <v>595</v>
      </c>
      <c r="B113" t="s">
        <v>680</v>
      </c>
      <c r="C113" s="2">
        <v>38526</v>
      </c>
      <c r="D113">
        <v>0</v>
      </c>
      <c r="E113" s="3">
        <v>0.47291666666666665</v>
      </c>
      <c r="F113" s="3">
        <v>0.48333333333333334</v>
      </c>
      <c r="G113">
        <v>25.4</v>
      </c>
      <c r="H113">
        <v>46</v>
      </c>
      <c r="I113">
        <v>0</v>
      </c>
      <c r="J113">
        <v>2</v>
      </c>
      <c r="K113">
        <v>5</v>
      </c>
      <c r="L113">
        <v>1</v>
      </c>
      <c r="M113">
        <v>0</v>
      </c>
      <c r="N113">
        <v>0</v>
      </c>
      <c r="O113">
        <v>0</v>
      </c>
      <c r="P113">
        <v>5</v>
      </c>
      <c r="Q113">
        <v>0</v>
      </c>
      <c r="R113">
        <v>72</v>
      </c>
      <c r="S113">
        <v>0</v>
      </c>
      <c r="T113">
        <v>12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5</v>
      </c>
      <c r="AD113">
        <v>0</v>
      </c>
      <c r="AE113">
        <v>0</v>
      </c>
      <c r="AF113" t="s">
        <v>16</v>
      </c>
      <c r="AG113">
        <f>0.15*T113</f>
        <v>1.7999999999999998</v>
      </c>
    </row>
    <row r="114" spans="1:33" x14ac:dyDescent="0.35">
      <c r="A114" t="s">
        <v>595</v>
      </c>
      <c r="B114" t="s">
        <v>681</v>
      </c>
      <c r="C114" s="2">
        <v>38526</v>
      </c>
      <c r="D114">
        <v>0</v>
      </c>
      <c r="E114" s="3">
        <v>0.53749999999999998</v>
      </c>
      <c r="F114" s="3">
        <v>0.54791666666666672</v>
      </c>
      <c r="G114">
        <v>26.6</v>
      </c>
      <c r="H114">
        <v>49</v>
      </c>
      <c r="I114">
        <v>0</v>
      </c>
      <c r="J114">
        <v>1</v>
      </c>
      <c r="K114">
        <v>5</v>
      </c>
      <c r="L114">
        <v>1</v>
      </c>
      <c r="M114">
        <v>0</v>
      </c>
      <c r="N114">
        <v>0</v>
      </c>
      <c r="O114">
        <v>0</v>
      </c>
      <c r="P114">
        <v>5</v>
      </c>
      <c r="Q114">
        <v>0</v>
      </c>
      <c r="R114">
        <v>72</v>
      </c>
      <c r="S114">
        <v>0</v>
      </c>
      <c r="T114">
        <v>12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5</v>
      </c>
      <c r="AD114">
        <v>0</v>
      </c>
      <c r="AE114">
        <v>0</v>
      </c>
      <c r="AF114" t="s">
        <v>16</v>
      </c>
      <c r="AG114">
        <f>0.15*T114</f>
        <v>1.7999999999999998</v>
      </c>
    </row>
    <row r="115" spans="1:33" x14ac:dyDescent="0.35">
      <c r="A115" t="s">
        <v>595</v>
      </c>
      <c r="B115" t="s">
        <v>682</v>
      </c>
      <c r="C115" s="2">
        <v>38526</v>
      </c>
      <c r="D115" t="s">
        <v>33</v>
      </c>
      <c r="E115" s="3">
        <v>0.55138888888888882</v>
      </c>
      <c r="F115" s="3">
        <v>0.56180555555555556</v>
      </c>
      <c r="G115">
        <v>27.5</v>
      </c>
      <c r="H115">
        <v>35</v>
      </c>
      <c r="I115">
        <v>1</v>
      </c>
      <c r="J115">
        <v>2</v>
      </c>
      <c r="K115">
        <v>60</v>
      </c>
      <c r="L115">
        <v>0</v>
      </c>
      <c r="M115">
        <v>30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5</v>
      </c>
      <c r="AB115">
        <v>0</v>
      </c>
      <c r="AC115">
        <v>0</v>
      </c>
      <c r="AD115">
        <v>4</v>
      </c>
      <c r="AE115">
        <v>0</v>
      </c>
      <c r="AF115" t="s">
        <v>21</v>
      </c>
      <c r="AG115">
        <f>0.11*AA115</f>
        <v>0.55000000000000004</v>
      </c>
    </row>
    <row r="116" spans="1:33" x14ac:dyDescent="0.35">
      <c r="A116" t="s">
        <v>595</v>
      </c>
      <c r="B116" t="s">
        <v>683</v>
      </c>
      <c r="C116" s="2">
        <v>38526</v>
      </c>
      <c r="D116" t="s">
        <v>46</v>
      </c>
      <c r="E116" s="3">
        <v>0.50486111111111109</v>
      </c>
      <c r="F116" s="3">
        <v>0.51527777777777783</v>
      </c>
      <c r="G116">
        <v>25.8</v>
      </c>
      <c r="H116">
        <v>52</v>
      </c>
      <c r="I116">
        <v>0</v>
      </c>
      <c r="J116">
        <v>2</v>
      </c>
      <c r="K116">
        <v>56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20</v>
      </c>
      <c r="Z116">
        <v>0</v>
      </c>
      <c r="AA116">
        <v>0</v>
      </c>
      <c r="AB116">
        <v>0</v>
      </c>
      <c r="AC116">
        <v>20</v>
      </c>
      <c r="AD116">
        <v>0</v>
      </c>
      <c r="AE116">
        <v>0</v>
      </c>
      <c r="AF116" t="s">
        <v>19</v>
      </c>
      <c r="AG116">
        <f>0.65*Y116</f>
        <v>13</v>
      </c>
    </row>
    <row r="117" spans="1:33" x14ac:dyDescent="0.35">
      <c r="A117" t="s">
        <v>595</v>
      </c>
      <c r="B117" t="s">
        <v>684</v>
      </c>
      <c r="C117" s="2">
        <v>38526</v>
      </c>
      <c r="D117" t="s">
        <v>33</v>
      </c>
      <c r="E117" s="3">
        <v>0.56319444444444444</v>
      </c>
      <c r="F117" s="3">
        <v>0.57361111111111118</v>
      </c>
      <c r="G117">
        <v>28.3</v>
      </c>
      <c r="H117">
        <v>37</v>
      </c>
      <c r="I117">
        <v>0</v>
      </c>
      <c r="J117">
        <v>2</v>
      </c>
      <c r="K117">
        <v>35</v>
      </c>
      <c r="L117">
        <v>40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8</v>
      </c>
      <c r="Z117">
        <v>0</v>
      </c>
      <c r="AA117">
        <v>0</v>
      </c>
      <c r="AB117">
        <v>0</v>
      </c>
      <c r="AC117">
        <v>5</v>
      </c>
      <c r="AD117">
        <v>1</v>
      </c>
      <c r="AE117">
        <v>0</v>
      </c>
      <c r="AF117" t="s">
        <v>19</v>
      </c>
      <c r="AG117">
        <f>0.7*Y117</f>
        <v>5.6</v>
      </c>
    </row>
    <row r="118" spans="1:33" x14ac:dyDescent="0.35">
      <c r="A118" t="s">
        <v>595</v>
      </c>
      <c r="B118" t="s">
        <v>684</v>
      </c>
      <c r="C118" s="2">
        <v>38526</v>
      </c>
      <c r="D118" t="s">
        <v>33</v>
      </c>
      <c r="E118" s="3">
        <v>0.56319444444444444</v>
      </c>
      <c r="F118" s="3">
        <v>0.57361111111111118</v>
      </c>
      <c r="G118">
        <v>28.3</v>
      </c>
      <c r="H118">
        <v>37</v>
      </c>
      <c r="I118">
        <v>0</v>
      </c>
      <c r="J118">
        <v>2</v>
      </c>
      <c r="K118">
        <v>35</v>
      </c>
      <c r="L118">
        <v>40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8</v>
      </c>
      <c r="Z118">
        <v>0</v>
      </c>
      <c r="AA118">
        <v>0</v>
      </c>
      <c r="AB118">
        <v>0</v>
      </c>
      <c r="AC118">
        <v>5</v>
      </c>
      <c r="AD118">
        <v>1</v>
      </c>
      <c r="AE118">
        <v>0</v>
      </c>
      <c r="AF118" t="s">
        <v>19</v>
      </c>
      <c r="AG118">
        <f>0.7*Y118</f>
        <v>5.6</v>
      </c>
    </row>
    <row r="119" spans="1:33" x14ac:dyDescent="0.35">
      <c r="A119" t="s">
        <v>595</v>
      </c>
      <c r="B119" t="s">
        <v>684</v>
      </c>
      <c r="C119" s="2">
        <v>38526</v>
      </c>
      <c r="D119" t="s">
        <v>33</v>
      </c>
      <c r="E119" s="3">
        <v>0.56319444444444444</v>
      </c>
      <c r="F119" s="3">
        <v>0.57361111111111118</v>
      </c>
      <c r="G119">
        <v>28.3</v>
      </c>
      <c r="H119">
        <v>37</v>
      </c>
      <c r="I119">
        <v>0</v>
      </c>
      <c r="J119">
        <v>2</v>
      </c>
      <c r="K119">
        <v>35</v>
      </c>
      <c r="L119">
        <v>40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0</v>
      </c>
      <c r="AC119">
        <v>5</v>
      </c>
      <c r="AD119">
        <v>1</v>
      </c>
      <c r="AE119">
        <v>0</v>
      </c>
      <c r="AF119" t="s">
        <v>10</v>
      </c>
      <c r="AG119">
        <f>0.01*L119</f>
        <v>0.4</v>
      </c>
    </row>
    <row r="120" spans="1:33" x14ac:dyDescent="0.35">
      <c r="A120" t="s">
        <v>595</v>
      </c>
      <c r="B120" t="s">
        <v>684</v>
      </c>
      <c r="C120" s="2">
        <v>38526</v>
      </c>
      <c r="D120" t="s">
        <v>33</v>
      </c>
      <c r="E120" s="3">
        <v>0.56319444444444444</v>
      </c>
      <c r="F120" s="3">
        <v>0.57361111111111118</v>
      </c>
      <c r="G120">
        <v>28.3</v>
      </c>
      <c r="H120">
        <v>37</v>
      </c>
      <c r="I120">
        <v>0</v>
      </c>
      <c r="J120">
        <v>2</v>
      </c>
      <c r="K120">
        <v>35</v>
      </c>
      <c r="L120">
        <v>40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8</v>
      </c>
      <c r="Z120">
        <v>0</v>
      </c>
      <c r="AA120">
        <v>0</v>
      </c>
      <c r="AB120">
        <v>0</v>
      </c>
      <c r="AC120">
        <v>5</v>
      </c>
      <c r="AD120">
        <v>1</v>
      </c>
      <c r="AE120">
        <v>0</v>
      </c>
      <c r="AF120" t="s">
        <v>10</v>
      </c>
      <c r="AG120">
        <f>0.01*L120</f>
        <v>0.4</v>
      </c>
    </row>
    <row r="121" spans="1:33" x14ac:dyDescent="0.35">
      <c r="A121" t="s">
        <v>595</v>
      </c>
      <c r="B121" t="s">
        <v>685</v>
      </c>
      <c r="C121" s="2">
        <v>38532</v>
      </c>
      <c r="D121" t="s">
        <v>36</v>
      </c>
      <c r="E121" s="3">
        <v>0.34583333333333338</v>
      </c>
      <c r="F121" s="3">
        <v>0.35625000000000001</v>
      </c>
      <c r="G121">
        <v>18.3</v>
      </c>
      <c r="H121">
        <v>63</v>
      </c>
      <c r="I121">
        <v>0</v>
      </c>
      <c r="J121">
        <v>2</v>
      </c>
      <c r="K121">
        <v>5</v>
      </c>
      <c r="L121">
        <v>5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10</v>
      </c>
      <c r="S121">
        <v>80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t="s">
        <v>15</v>
      </c>
      <c r="AG121">
        <f>0.08*S121</f>
        <v>6.4</v>
      </c>
    </row>
    <row r="122" spans="1:33" x14ac:dyDescent="0.35">
      <c r="A122" t="s">
        <v>595</v>
      </c>
      <c r="B122" t="s">
        <v>686</v>
      </c>
      <c r="C122" s="2">
        <v>38532</v>
      </c>
      <c r="D122" t="s">
        <v>46</v>
      </c>
      <c r="E122" s="3">
        <v>0.37291666666666662</v>
      </c>
      <c r="F122" s="3">
        <v>0.3833333333333333</v>
      </c>
      <c r="G122">
        <v>20.8</v>
      </c>
      <c r="H122">
        <v>61</v>
      </c>
      <c r="I122">
        <v>0</v>
      </c>
      <c r="J122">
        <v>1</v>
      </c>
      <c r="K122">
        <v>69</v>
      </c>
      <c r="L122">
        <v>20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5</v>
      </c>
      <c r="AE122">
        <v>0</v>
      </c>
      <c r="AF122" t="s">
        <v>10</v>
      </c>
      <c r="AG122">
        <f>0.1*L122</f>
        <v>2</v>
      </c>
    </row>
    <row r="123" spans="1:33" x14ac:dyDescent="0.35">
      <c r="A123" t="s">
        <v>595</v>
      </c>
      <c r="B123" t="s">
        <v>687</v>
      </c>
      <c r="C123" s="2">
        <v>38532</v>
      </c>
      <c r="D123" t="s">
        <v>46</v>
      </c>
      <c r="E123" s="3">
        <v>0.3972222222222222</v>
      </c>
      <c r="F123" s="3">
        <v>0.40763888888888888</v>
      </c>
      <c r="G123">
        <v>21.1</v>
      </c>
      <c r="H123">
        <v>54</v>
      </c>
      <c r="I123">
        <v>0</v>
      </c>
      <c r="J123">
        <v>1</v>
      </c>
      <c r="K123">
        <v>10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45</v>
      </c>
      <c r="Z123">
        <v>0</v>
      </c>
      <c r="AA123">
        <v>0</v>
      </c>
      <c r="AB123">
        <v>0</v>
      </c>
      <c r="AC123">
        <v>45</v>
      </c>
      <c r="AD123">
        <v>0</v>
      </c>
      <c r="AE123">
        <v>0</v>
      </c>
      <c r="AF123" t="s">
        <v>19</v>
      </c>
      <c r="AG123">
        <f>0.6*Y123</f>
        <v>27</v>
      </c>
    </row>
    <row r="124" spans="1:33" x14ac:dyDescent="0.35">
      <c r="A124" t="s">
        <v>595</v>
      </c>
      <c r="B124" t="s">
        <v>688</v>
      </c>
      <c r="C124" s="2">
        <v>38532</v>
      </c>
      <c r="D124" t="s">
        <v>48</v>
      </c>
      <c r="E124" s="3">
        <v>0.41249999999999998</v>
      </c>
      <c r="F124" s="3">
        <v>0.42291666666666666</v>
      </c>
      <c r="G124">
        <v>23</v>
      </c>
      <c r="H124">
        <v>40</v>
      </c>
      <c r="I124">
        <v>0</v>
      </c>
      <c r="J124">
        <v>1</v>
      </c>
      <c r="K124">
        <v>0</v>
      </c>
      <c r="L124">
        <v>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35</v>
      </c>
      <c r="S124">
        <v>0</v>
      </c>
      <c r="T124">
        <v>0</v>
      </c>
      <c r="U124">
        <v>0</v>
      </c>
      <c r="V124">
        <v>10</v>
      </c>
      <c r="W124">
        <v>0</v>
      </c>
      <c r="X124">
        <v>0</v>
      </c>
      <c r="Y124">
        <v>20</v>
      </c>
      <c r="Z124">
        <v>0</v>
      </c>
      <c r="AA124">
        <v>0</v>
      </c>
      <c r="AB124">
        <v>0</v>
      </c>
      <c r="AC124">
        <v>27</v>
      </c>
      <c r="AD124">
        <v>5</v>
      </c>
      <c r="AE124">
        <v>0</v>
      </c>
      <c r="AF124" t="s">
        <v>19</v>
      </c>
      <c r="AG124">
        <f>0.25*Y124</f>
        <v>5</v>
      </c>
    </row>
    <row r="125" spans="1:33" x14ac:dyDescent="0.35">
      <c r="A125" t="s">
        <v>595</v>
      </c>
      <c r="B125" t="s">
        <v>688</v>
      </c>
      <c r="C125" s="2">
        <v>38532</v>
      </c>
      <c r="D125" t="s">
        <v>48</v>
      </c>
      <c r="E125" s="3">
        <v>0.41249999999999998</v>
      </c>
      <c r="F125" s="3">
        <v>0.42291666666666666</v>
      </c>
      <c r="G125">
        <v>23</v>
      </c>
      <c r="H125">
        <v>40</v>
      </c>
      <c r="I125">
        <v>0</v>
      </c>
      <c r="J125">
        <v>1</v>
      </c>
      <c r="K125">
        <v>0</v>
      </c>
      <c r="L125">
        <v>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35</v>
      </c>
      <c r="S125">
        <v>0</v>
      </c>
      <c r="T125">
        <v>0</v>
      </c>
      <c r="U125">
        <v>10</v>
      </c>
      <c r="V125">
        <v>0</v>
      </c>
      <c r="W125">
        <v>0</v>
      </c>
      <c r="X125">
        <v>0</v>
      </c>
      <c r="Y125">
        <v>20</v>
      </c>
      <c r="Z125">
        <v>0</v>
      </c>
      <c r="AA125">
        <v>0</v>
      </c>
      <c r="AB125">
        <v>0</v>
      </c>
      <c r="AC125">
        <v>27</v>
      </c>
      <c r="AD125">
        <v>5</v>
      </c>
      <c r="AE125">
        <v>0</v>
      </c>
      <c r="AF125" t="s">
        <v>17</v>
      </c>
      <c r="AG125">
        <f>0.25*U125</f>
        <v>2.5</v>
      </c>
    </row>
    <row r="126" spans="1:33" x14ac:dyDescent="0.35">
      <c r="A126" t="s">
        <v>595</v>
      </c>
      <c r="B126" t="s">
        <v>689</v>
      </c>
      <c r="C126" s="2">
        <v>38532</v>
      </c>
      <c r="D126" t="s">
        <v>33</v>
      </c>
      <c r="E126" s="3">
        <v>0.44236111111111115</v>
      </c>
      <c r="F126" s="3">
        <v>0.45277777777777778</v>
      </c>
      <c r="G126">
        <v>22</v>
      </c>
      <c r="H126">
        <v>57</v>
      </c>
      <c r="I126">
        <v>0</v>
      </c>
      <c r="J126">
        <v>2</v>
      </c>
      <c r="K126">
        <v>74</v>
      </c>
      <c r="L126">
        <v>1</v>
      </c>
      <c r="M126">
        <v>0</v>
      </c>
      <c r="N126">
        <v>0</v>
      </c>
      <c r="O126">
        <v>0</v>
      </c>
      <c r="P126">
        <v>7</v>
      </c>
      <c r="Q126">
        <v>0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8</v>
      </c>
      <c r="AD126">
        <v>0</v>
      </c>
      <c r="AE126">
        <v>0</v>
      </c>
      <c r="AF126" t="s">
        <v>16</v>
      </c>
      <c r="AG126">
        <f>0.05*T126</f>
        <v>0.25</v>
      </c>
    </row>
    <row r="127" spans="1:33" x14ac:dyDescent="0.35">
      <c r="A127" t="s">
        <v>595</v>
      </c>
      <c r="B127" t="s">
        <v>689</v>
      </c>
      <c r="C127" s="2">
        <v>38532</v>
      </c>
      <c r="D127" t="s">
        <v>33</v>
      </c>
      <c r="E127" s="3">
        <v>0.44236111111111115</v>
      </c>
      <c r="F127" s="3">
        <v>0.45277777777777778</v>
      </c>
      <c r="G127">
        <v>22</v>
      </c>
      <c r="H127">
        <v>57</v>
      </c>
      <c r="I127">
        <v>0</v>
      </c>
      <c r="J127">
        <v>2</v>
      </c>
      <c r="K127">
        <v>74</v>
      </c>
      <c r="L127">
        <v>1</v>
      </c>
      <c r="M127">
        <v>0</v>
      </c>
      <c r="N127">
        <v>0</v>
      </c>
      <c r="O127">
        <v>0</v>
      </c>
      <c r="P127">
        <v>7</v>
      </c>
      <c r="Q127">
        <v>0</v>
      </c>
      <c r="R127">
        <v>0</v>
      </c>
      <c r="S127">
        <v>0</v>
      </c>
      <c r="T127">
        <v>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5</v>
      </c>
      <c r="AA127">
        <v>0</v>
      </c>
      <c r="AB127">
        <v>0</v>
      </c>
      <c r="AC127">
        <v>8</v>
      </c>
      <c r="AD127">
        <v>0</v>
      </c>
      <c r="AE127">
        <v>0</v>
      </c>
      <c r="AF127" t="s">
        <v>20</v>
      </c>
      <c r="AG127">
        <f>0.16*Z127</f>
        <v>0.8</v>
      </c>
    </row>
    <row r="128" spans="1:33" x14ac:dyDescent="0.35">
      <c r="A128" t="s">
        <v>595</v>
      </c>
      <c r="B128" t="s">
        <v>690</v>
      </c>
      <c r="C128" s="2">
        <v>38532</v>
      </c>
      <c r="D128" t="s">
        <v>33</v>
      </c>
      <c r="E128" s="3">
        <v>0.47083333333333338</v>
      </c>
      <c r="F128" s="3">
        <v>0.48125000000000001</v>
      </c>
      <c r="G128">
        <v>23.3</v>
      </c>
      <c r="H128">
        <v>46</v>
      </c>
      <c r="I128">
        <v>0</v>
      </c>
      <c r="J128">
        <v>2</v>
      </c>
      <c r="K128">
        <v>60</v>
      </c>
      <c r="L128">
        <v>0</v>
      </c>
      <c r="M128">
        <v>30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5</v>
      </c>
      <c r="AB128">
        <v>0</v>
      </c>
      <c r="AC128">
        <v>0</v>
      </c>
      <c r="AD128">
        <v>4</v>
      </c>
      <c r="AE128">
        <v>0</v>
      </c>
      <c r="AF128" t="s">
        <v>19</v>
      </c>
      <c r="AG128">
        <f>0.7*Y128</f>
        <v>0.7</v>
      </c>
    </row>
    <row r="129" spans="1:33" x14ac:dyDescent="0.35">
      <c r="A129" t="s">
        <v>595</v>
      </c>
      <c r="B129" t="s">
        <v>690</v>
      </c>
      <c r="C129" s="2">
        <v>38532</v>
      </c>
      <c r="D129" t="s">
        <v>33</v>
      </c>
      <c r="E129" s="3">
        <v>0.47083333333333338</v>
      </c>
      <c r="F129" s="3">
        <v>0.48125000000000001</v>
      </c>
      <c r="G129">
        <v>23.3</v>
      </c>
      <c r="H129">
        <v>46</v>
      </c>
      <c r="I129">
        <v>0</v>
      </c>
      <c r="J129">
        <v>2</v>
      </c>
      <c r="K129">
        <v>60</v>
      </c>
      <c r="L129">
        <v>0</v>
      </c>
      <c r="M129">
        <v>30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5</v>
      </c>
      <c r="AB129">
        <v>0</v>
      </c>
      <c r="AC129">
        <v>0</v>
      </c>
      <c r="AD129">
        <v>4</v>
      </c>
      <c r="AE129">
        <v>0</v>
      </c>
      <c r="AF129" t="s">
        <v>21</v>
      </c>
      <c r="AG129">
        <f>0.44*AA129</f>
        <v>2.2000000000000002</v>
      </c>
    </row>
    <row r="130" spans="1:33" x14ac:dyDescent="0.35">
      <c r="A130" t="s">
        <v>595</v>
      </c>
      <c r="B130" t="s">
        <v>691</v>
      </c>
      <c r="C130" s="2">
        <v>38532</v>
      </c>
      <c r="D130" t="s">
        <v>33</v>
      </c>
      <c r="E130" s="3">
        <v>0.48472222222222222</v>
      </c>
      <c r="F130" s="3">
        <v>0.49513888888888885</v>
      </c>
      <c r="G130">
        <v>24.2</v>
      </c>
      <c r="H130">
        <v>42</v>
      </c>
      <c r="I130">
        <v>1</v>
      </c>
      <c r="J130">
        <v>2</v>
      </c>
      <c r="K130">
        <v>62</v>
      </c>
      <c r="L130">
        <v>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</v>
      </c>
      <c r="S130">
        <v>30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t="s">
        <v>15</v>
      </c>
      <c r="AG130">
        <f>0.1*S130</f>
        <v>3</v>
      </c>
    </row>
    <row r="131" spans="1:33" x14ac:dyDescent="0.35">
      <c r="A131" t="s">
        <v>595</v>
      </c>
      <c r="B131" t="s">
        <v>692</v>
      </c>
      <c r="C131" s="2">
        <v>38532</v>
      </c>
      <c r="D131" t="s">
        <v>33</v>
      </c>
      <c r="E131" s="3">
        <v>0.4993055555555555</v>
      </c>
      <c r="F131" s="3">
        <v>0.50972222222222219</v>
      </c>
      <c r="G131">
        <v>24</v>
      </c>
      <c r="H131">
        <v>43</v>
      </c>
      <c r="I131">
        <v>1</v>
      </c>
      <c r="J131">
        <v>2</v>
      </c>
      <c r="K131">
        <v>40</v>
      </c>
      <c r="L131">
        <v>15</v>
      </c>
      <c r="M131">
        <v>0</v>
      </c>
      <c r="N131">
        <v>0</v>
      </c>
      <c r="O131">
        <v>40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</v>
      </c>
      <c r="AA131">
        <v>0</v>
      </c>
      <c r="AB131">
        <v>0</v>
      </c>
      <c r="AC131">
        <v>0</v>
      </c>
      <c r="AD131">
        <v>2</v>
      </c>
      <c r="AE131">
        <v>0</v>
      </c>
      <c r="AF131" t="s">
        <v>13</v>
      </c>
      <c r="AG131">
        <f>0.1*O131</f>
        <v>4</v>
      </c>
    </row>
    <row r="132" spans="1:33" x14ac:dyDescent="0.35">
      <c r="A132" t="s">
        <v>595</v>
      </c>
      <c r="B132" t="s">
        <v>693</v>
      </c>
      <c r="C132" s="2">
        <v>38533</v>
      </c>
      <c r="D132" t="s">
        <v>31</v>
      </c>
      <c r="E132" s="3">
        <v>0.5625</v>
      </c>
      <c r="F132" s="3">
        <v>0.57291666666666663</v>
      </c>
      <c r="G132">
        <v>24.1</v>
      </c>
      <c r="H132">
        <v>40</v>
      </c>
      <c r="I132">
        <v>2</v>
      </c>
      <c r="J132">
        <v>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</v>
      </c>
      <c r="Q132">
        <v>0</v>
      </c>
      <c r="R132">
        <v>60</v>
      </c>
      <c r="S132">
        <v>0</v>
      </c>
      <c r="T132">
        <v>10</v>
      </c>
      <c r="U132">
        <v>0</v>
      </c>
      <c r="V132">
        <v>0</v>
      </c>
      <c r="W132">
        <v>0</v>
      </c>
      <c r="X132">
        <v>0</v>
      </c>
      <c r="Y132">
        <v>5</v>
      </c>
      <c r="Z132">
        <v>1</v>
      </c>
      <c r="AA132">
        <v>0</v>
      </c>
      <c r="AB132">
        <v>0</v>
      </c>
      <c r="AC132">
        <v>6</v>
      </c>
      <c r="AD132">
        <v>10</v>
      </c>
      <c r="AE132">
        <v>0</v>
      </c>
      <c r="AF132" t="s">
        <v>19</v>
      </c>
      <c r="AG132">
        <f>0.6*Y132</f>
        <v>3</v>
      </c>
    </row>
    <row r="133" spans="1:33" x14ac:dyDescent="0.35">
      <c r="A133" t="s">
        <v>595</v>
      </c>
      <c r="B133" t="s">
        <v>693</v>
      </c>
      <c r="C133" s="2">
        <v>38533</v>
      </c>
      <c r="D133" t="s">
        <v>31</v>
      </c>
      <c r="E133" s="3">
        <v>0.5625</v>
      </c>
      <c r="F133" s="3">
        <v>0.57291666666666663</v>
      </c>
      <c r="G133">
        <v>24.1</v>
      </c>
      <c r="H133">
        <v>40</v>
      </c>
      <c r="I133">
        <v>2</v>
      </c>
      <c r="J133">
        <v>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</v>
      </c>
      <c r="Q133">
        <v>0</v>
      </c>
      <c r="R133">
        <v>60</v>
      </c>
      <c r="S133">
        <v>0</v>
      </c>
      <c r="T133">
        <v>10</v>
      </c>
      <c r="U133">
        <v>0</v>
      </c>
      <c r="V133">
        <v>0</v>
      </c>
      <c r="W133">
        <v>0</v>
      </c>
      <c r="X133">
        <v>0</v>
      </c>
      <c r="Y133">
        <v>5</v>
      </c>
      <c r="Z133">
        <v>1</v>
      </c>
      <c r="AA133">
        <v>0</v>
      </c>
      <c r="AB133">
        <v>0</v>
      </c>
      <c r="AC133">
        <v>6</v>
      </c>
      <c r="AD133">
        <v>10</v>
      </c>
      <c r="AE133">
        <v>0</v>
      </c>
      <c r="AF133" t="s">
        <v>16</v>
      </c>
      <c r="AG133">
        <f>0.08*T133</f>
        <v>0.8</v>
      </c>
    </row>
    <row r="134" spans="1:33" x14ac:dyDescent="0.35">
      <c r="A134" t="s">
        <v>595</v>
      </c>
      <c r="B134" t="s">
        <v>693</v>
      </c>
      <c r="C134" s="2">
        <v>38533</v>
      </c>
      <c r="D134" t="s">
        <v>31</v>
      </c>
      <c r="E134" s="3">
        <v>0.5625</v>
      </c>
      <c r="F134" s="3">
        <v>0.57291666666666663</v>
      </c>
      <c r="G134">
        <v>24.1</v>
      </c>
      <c r="H134">
        <v>40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8</v>
      </c>
      <c r="Q134">
        <v>0</v>
      </c>
      <c r="R134">
        <v>60</v>
      </c>
      <c r="S134">
        <v>0</v>
      </c>
      <c r="T134">
        <v>10</v>
      </c>
      <c r="U134">
        <v>0</v>
      </c>
      <c r="V134">
        <v>0</v>
      </c>
      <c r="W134">
        <v>0</v>
      </c>
      <c r="X134">
        <v>0</v>
      </c>
      <c r="Y134">
        <v>5</v>
      </c>
      <c r="Z134">
        <v>1</v>
      </c>
      <c r="AA134">
        <v>0</v>
      </c>
      <c r="AB134">
        <v>0</v>
      </c>
      <c r="AC134">
        <v>6</v>
      </c>
      <c r="AD134">
        <v>10</v>
      </c>
      <c r="AE134">
        <v>0</v>
      </c>
      <c r="AF134" t="s">
        <v>20</v>
      </c>
      <c r="AG134">
        <f>0.05*Z134</f>
        <v>0.05</v>
      </c>
    </row>
    <row r="135" spans="1:33" x14ac:dyDescent="0.35">
      <c r="A135" t="s">
        <v>595</v>
      </c>
      <c r="B135" t="s">
        <v>694</v>
      </c>
      <c r="C135" s="2">
        <v>38533</v>
      </c>
      <c r="D135" t="s">
        <v>33</v>
      </c>
      <c r="E135" s="3">
        <v>0.5756944444444444</v>
      </c>
      <c r="F135" s="3">
        <v>0.58611111111111114</v>
      </c>
      <c r="G135">
        <v>22.3</v>
      </c>
      <c r="H135">
        <v>43</v>
      </c>
      <c r="I135">
        <v>3</v>
      </c>
      <c r="J135">
        <v>3</v>
      </c>
      <c r="K135">
        <v>45</v>
      </c>
      <c r="L135">
        <v>0</v>
      </c>
      <c r="M135">
        <v>0</v>
      </c>
      <c r="N135">
        <v>0</v>
      </c>
      <c r="O135">
        <v>0</v>
      </c>
      <c r="P135">
        <v>15</v>
      </c>
      <c r="Q135">
        <v>0</v>
      </c>
      <c r="R135">
        <v>13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10</v>
      </c>
      <c r="Z135">
        <v>5</v>
      </c>
      <c r="AA135">
        <v>0</v>
      </c>
      <c r="AB135">
        <v>0</v>
      </c>
      <c r="AC135">
        <v>5</v>
      </c>
      <c r="AD135">
        <v>5</v>
      </c>
      <c r="AE135">
        <v>2</v>
      </c>
      <c r="AF135" t="s">
        <v>19</v>
      </c>
      <c r="AG135">
        <f>0.6*Y135</f>
        <v>6</v>
      </c>
    </row>
    <row r="136" spans="1:33" x14ac:dyDescent="0.35">
      <c r="A136" t="s">
        <v>595</v>
      </c>
      <c r="B136" t="s">
        <v>694</v>
      </c>
      <c r="C136" s="2">
        <v>38533</v>
      </c>
      <c r="D136" t="s">
        <v>33</v>
      </c>
      <c r="E136" s="3">
        <v>0.5756944444444444</v>
      </c>
      <c r="F136" s="3">
        <v>0.58611111111111114</v>
      </c>
      <c r="G136">
        <v>22.3</v>
      </c>
      <c r="H136">
        <v>43</v>
      </c>
      <c r="I136">
        <v>3</v>
      </c>
      <c r="J136">
        <v>3</v>
      </c>
      <c r="K136">
        <v>45</v>
      </c>
      <c r="L136">
        <v>0</v>
      </c>
      <c r="M136">
        <v>0</v>
      </c>
      <c r="N136">
        <v>0</v>
      </c>
      <c r="O136">
        <v>0</v>
      </c>
      <c r="P136">
        <v>15</v>
      </c>
      <c r="Q136">
        <v>0</v>
      </c>
      <c r="R136">
        <v>13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10</v>
      </c>
      <c r="Z136">
        <v>5</v>
      </c>
      <c r="AA136">
        <v>0</v>
      </c>
      <c r="AB136">
        <v>0</v>
      </c>
      <c r="AC136">
        <v>5</v>
      </c>
      <c r="AD136">
        <v>5</v>
      </c>
      <c r="AE136">
        <v>2</v>
      </c>
      <c r="AF136" t="s">
        <v>20</v>
      </c>
      <c r="AG136">
        <f>0.1*Z136</f>
        <v>0.5</v>
      </c>
    </row>
    <row r="137" spans="1:33" x14ac:dyDescent="0.35">
      <c r="A137" t="s">
        <v>595</v>
      </c>
      <c r="B137" t="s">
        <v>695</v>
      </c>
      <c r="C137" s="2">
        <v>38533</v>
      </c>
      <c r="D137">
        <v>0</v>
      </c>
      <c r="E137" s="3">
        <v>0.58819444444444446</v>
      </c>
      <c r="F137" s="3">
        <v>0.59861111111111109</v>
      </c>
      <c r="G137">
        <v>24.6</v>
      </c>
      <c r="H137">
        <v>40</v>
      </c>
      <c r="I137">
        <v>2</v>
      </c>
      <c r="J137">
        <v>3</v>
      </c>
      <c r="K137">
        <v>25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50</v>
      </c>
      <c r="S137">
        <v>15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t="s">
        <v>15</v>
      </c>
      <c r="AG137">
        <f>0.5*S137</f>
        <v>7.5</v>
      </c>
    </row>
    <row r="138" spans="1:33" x14ac:dyDescent="0.35">
      <c r="A138" t="s">
        <v>595</v>
      </c>
      <c r="B138" t="s">
        <v>696</v>
      </c>
      <c r="C138" s="2">
        <v>38533</v>
      </c>
      <c r="D138">
        <v>0</v>
      </c>
      <c r="E138" s="3">
        <v>0.60555555555555551</v>
      </c>
      <c r="F138" s="3">
        <v>0.61597222222222225</v>
      </c>
      <c r="G138">
        <v>22.1</v>
      </c>
      <c r="H138">
        <v>43</v>
      </c>
      <c r="I138">
        <v>2</v>
      </c>
      <c r="J138">
        <v>3</v>
      </c>
      <c r="K138">
        <v>3</v>
      </c>
      <c r="L138">
        <v>1</v>
      </c>
      <c r="M138">
        <v>0</v>
      </c>
      <c r="N138">
        <v>0</v>
      </c>
      <c r="O138">
        <v>35</v>
      </c>
      <c r="P138">
        <v>2</v>
      </c>
      <c r="Q138">
        <v>0</v>
      </c>
      <c r="R138">
        <v>46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3</v>
      </c>
      <c r="Z138">
        <v>0</v>
      </c>
      <c r="AA138">
        <v>0</v>
      </c>
      <c r="AB138">
        <v>0</v>
      </c>
      <c r="AC138">
        <v>10</v>
      </c>
      <c r="AD138">
        <v>0</v>
      </c>
      <c r="AE138">
        <v>0</v>
      </c>
      <c r="AF138" t="s">
        <v>19</v>
      </c>
      <c r="AG138">
        <f>0.8*Y138</f>
        <v>2.4000000000000004</v>
      </c>
    </row>
    <row r="139" spans="1:33" x14ac:dyDescent="0.35">
      <c r="A139" t="s">
        <v>595</v>
      </c>
      <c r="B139" t="s">
        <v>696</v>
      </c>
      <c r="C139" s="2">
        <v>38533</v>
      </c>
      <c r="D139">
        <v>0</v>
      </c>
      <c r="E139" s="3">
        <v>0.60555555555555551</v>
      </c>
      <c r="F139" s="3">
        <v>0.61597222222222225</v>
      </c>
      <c r="G139">
        <v>22.1</v>
      </c>
      <c r="H139">
        <v>43</v>
      </c>
      <c r="I139">
        <v>2</v>
      </c>
      <c r="J139">
        <v>3</v>
      </c>
      <c r="K139">
        <v>3</v>
      </c>
      <c r="L139">
        <v>1</v>
      </c>
      <c r="M139">
        <v>0</v>
      </c>
      <c r="N139">
        <v>0</v>
      </c>
      <c r="O139">
        <v>35</v>
      </c>
      <c r="P139">
        <v>2</v>
      </c>
      <c r="Q139">
        <v>0</v>
      </c>
      <c r="R139">
        <v>46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3</v>
      </c>
      <c r="Z139">
        <v>0</v>
      </c>
      <c r="AA139">
        <v>0</v>
      </c>
      <c r="AB139">
        <v>0</v>
      </c>
      <c r="AC139">
        <v>10</v>
      </c>
      <c r="AD139">
        <v>0</v>
      </c>
      <c r="AE139">
        <v>0</v>
      </c>
      <c r="AF139" t="s">
        <v>13</v>
      </c>
      <c r="AG139">
        <f>0.25*O139</f>
        <v>8.75</v>
      </c>
    </row>
    <row r="140" spans="1:33" x14ac:dyDescent="0.35">
      <c r="A140" t="s">
        <v>595</v>
      </c>
      <c r="B140" t="s">
        <v>697</v>
      </c>
      <c r="C140" s="2">
        <v>38533</v>
      </c>
      <c r="D140" t="s">
        <v>33</v>
      </c>
      <c r="E140" s="3">
        <v>0.63472222222222219</v>
      </c>
      <c r="F140" s="3">
        <v>0.64513888888888882</v>
      </c>
      <c r="G140">
        <v>22.8</v>
      </c>
      <c r="H140">
        <v>41</v>
      </c>
      <c r="I140">
        <v>2</v>
      </c>
      <c r="J140">
        <v>3</v>
      </c>
      <c r="K140">
        <v>60</v>
      </c>
      <c r="L140">
        <v>0</v>
      </c>
      <c r="M140">
        <v>30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5</v>
      </c>
      <c r="AB140">
        <v>0</v>
      </c>
      <c r="AC140">
        <v>0</v>
      </c>
      <c r="AD140">
        <v>4</v>
      </c>
      <c r="AE140">
        <v>0</v>
      </c>
      <c r="AF140" t="s">
        <v>19</v>
      </c>
      <c r="AG140">
        <f>65*Y140</f>
        <v>65</v>
      </c>
    </row>
    <row r="141" spans="1:33" x14ac:dyDescent="0.35">
      <c r="A141" t="s">
        <v>595</v>
      </c>
      <c r="B141" t="s">
        <v>697</v>
      </c>
      <c r="C141" s="2">
        <v>38533</v>
      </c>
      <c r="D141" t="s">
        <v>33</v>
      </c>
      <c r="E141" s="3">
        <v>0.63472222222222219</v>
      </c>
      <c r="F141" s="3">
        <v>0.64513888888888882</v>
      </c>
      <c r="G141">
        <v>22.8</v>
      </c>
      <c r="H141">
        <v>41</v>
      </c>
      <c r="I141">
        <v>2</v>
      </c>
      <c r="J141">
        <v>3</v>
      </c>
      <c r="K141">
        <v>60</v>
      </c>
      <c r="L141">
        <v>0</v>
      </c>
      <c r="M141">
        <v>30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5</v>
      </c>
      <c r="AB141">
        <v>0</v>
      </c>
      <c r="AC141">
        <v>0</v>
      </c>
      <c r="AD141">
        <v>4</v>
      </c>
      <c r="AE141">
        <v>0</v>
      </c>
      <c r="AF141" t="s">
        <v>21</v>
      </c>
      <c r="AG141">
        <f>0.45*AA141</f>
        <v>2.25</v>
      </c>
    </row>
    <row r="142" spans="1:33" x14ac:dyDescent="0.35">
      <c r="A142" t="s">
        <v>595</v>
      </c>
      <c r="B142" t="s">
        <v>698</v>
      </c>
      <c r="C142" s="2">
        <v>38540</v>
      </c>
      <c r="D142">
        <v>0</v>
      </c>
      <c r="E142" s="3">
        <v>0.4861111111111111</v>
      </c>
      <c r="F142" s="3">
        <v>0.49305555555555558</v>
      </c>
      <c r="G142">
        <v>21</v>
      </c>
      <c r="H142">
        <v>70</v>
      </c>
      <c r="I142">
        <v>3</v>
      </c>
      <c r="J142">
        <v>2</v>
      </c>
      <c r="K142">
        <v>3</v>
      </c>
      <c r="L142">
        <v>1</v>
      </c>
      <c r="M142">
        <v>0</v>
      </c>
      <c r="N142">
        <v>0</v>
      </c>
      <c r="O142">
        <v>35</v>
      </c>
      <c r="P142">
        <v>2</v>
      </c>
      <c r="Q142">
        <v>0</v>
      </c>
      <c r="R142">
        <v>46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3</v>
      </c>
      <c r="Z142">
        <v>0</v>
      </c>
      <c r="AA142">
        <v>0</v>
      </c>
      <c r="AB142">
        <v>0</v>
      </c>
      <c r="AC142">
        <v>10</v>
      </c>
      <c r="AD142">
        <v>0</v>
      </c>
      <c r="AE142">
        <v>0</v>
      </c>
      <c r="AF142" t="s">
        <v>19</v>
      </c>
      <c r="AG142">
        <f>0.5*Y142</f>
        <v>1.5</v>
      </c>
    </row>
    <row r="143" spans="1:33" x14ac:dyDescent="0.35">
      <c r="A143" t="s">
        <v>595</v>
      </c>
      <c r="B143" t="s">
        <v>698</v>
      </c>
      <c r="C143" s="2">
        <v>38540</v>
      </c>
      <c r="D143">
        <v>0</v>
      </c>
      <c r="E143" s="3">
        <v>0.4861111111111111</v>
      </c>
      <c r="F143" s="3">
        <v>0.49305555555555558</v>
      </c>
      <c r="G143">
        <v>21</v>
      </c>
      <c r="H143">
        <v>70</v>
      </c>
      <c r="I143">
        <v>3</v>
      </c>
      <c r="J143">
        <v>2</v>
      </c>
      <c r="K143">
        <v>3</v>
      </c>
      <c r="L143">
        <v>1</v>
      </c>
      <c r="M143">
        <v>0</v>
      </c>
      <c r="N143">
        <v>0</v>
      </c>
      <c r="O143">
        <v>35</v>
      </c>
      <c r="P143">
        <v>2</v>
      </c>
      <c r="Q143">
        <v>0</v>
      </c>
      <c r="R143">
        <v>46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3</v>
      </c>
      <c r="Z143">
        <v>0</v>
      </c>
      <c r="AA143">
        <v>0</v>
      </c>
      <c r="AB143">
        <v>0</v>
      </c>
      <c r="AC143">
        <v>10</v>
      </c>
      <c r="AD143">
        <v>0</v>
      </c>
      <c r="AE143">
        <v>0</v>
      </c>
      <c r="AF143" t="s">
        <v>13</v>
      </c>
      <c r="AG143">
        <f>0.3*O143</f>
        <v>10.5</v>
      </c>
    </row>
    <row r="144" spans="1:33" x14ac:dyDescent="0.35">
      <c r="A144" t="s">
        <v>595</v>
      </c>
      <c r="B144" t="s">
        <v>699</v>
      </c>
      <c r="C144" s="2">
        <v>38540</v>
      </c>
      <c r="D144">
        <v>0</v>
      </c>
      <c r="E144" s="3">
        <v>0.50486111111111109</v>
      </c>
      <c r="F144" s="3">
        <v>0.51527777777777783</v>
      </c>
      <c r="G144">
        <v>20.3</v>
      </c>
      <c r="H144">
        <v>63</v>
      </c>
      <c r="I144">
        <v>3</v>
      </c>
      <c r="J144">
        <v>2</v>
      </c>
      <c r="K144">
        <v>25</v>
      </c>
      <c r="L144">
        <v>10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50</v>
      </c>
      <c r="S144">
        <v>15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t="s">
        <v>15</v>
      </c>
      <c r="AG144">
        <f>0.65*S144</f>
        <v>9.75</v>
      </c>
    </row>
    <row r="145" spans="1:33" x14ac:dyDescent="0.35">
      <c r="A145" t="s">
        <v>595</v>
      </c>
      <c r="B145" t="s">
        <v>700</v>
      </c>
      <c r="C145" s="2">
        <v>38540</v>
      </c>
      <c r="D145" t="s">
        <v>40</v>
      </c>
      <c r="E145" s="3">
        <v>0.51597222222222217</v>
      </c>
      <c r="F145" s="3">
        <v>0.52638888888888891</v>
      </c>
      <c r="G145">
        <v>20.3</v>
      </c>
      <c r="H145">
        <v>64</v>
      </c>
      <c r="I145">
        <v>3</v>
      </c>
      <c r="J145">
        <v>2</v>
      </c>
      <c r="K145">
        <v>20</v>
      </c>
      <c r="L145">
        <v>0</v>
      </c>
      <c r="M145">
        <v>0</v>
      </c>
      <c r="N145">
        <v>0</v>
      </c>
      <c r="O145">
        <v>0</v>
      </c>
      <c r="P145">
        <v>5</v>
      </c>
      <c r="Q145">
        <v>0</v>
      </c>
      <c r="R145">
        <v>25</v>
      </c>
      <c r="S145">
        <v>0</v>
      </c>
      <c r="T145">
        <v>25</v>
      </c>
      <c r="U145">
        <v>0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0</v>
      </c>
      <c r="AC145">
        <v>17</v>
      </c>
      <c r="AD145">
        <v>5</v>
      </c>
      <c r="AE145">
        <v>0</v>
      </c>
      <c r="AF145" t="s">
        <v>19</v>
      </c>
      <c r="AG145">
        <f>0.2*Y145</f>
        <v>0.60000000000000009</v>
      </c>
    </row>
    <row r="146" spans="1:33" x14ac:dyDescent="0.35">
      <c r="A146" t="s">
        <v>595</v>
      </c>
      <c r="B146" t="s">
        <v>700</v>
      </c>
      <c r="C146" s="2">
        <v>38540</v>
      </c>
      <c r="D146" t="s">
        <v>40</v>
      </c>
      <c r="E146" s="3">
        <v>0.51597222222222217</v>
      </c>
      <c r="F146" s="3">
        <v>0.52638888888888891</v>
      </c>
      <c r="G146">
        <v>20.3</v>
      </c>
      <c r="H146">
        <v>64</v>
      </c>
      <c r="I146">
        <v>3</v>
      </c>
      <c r="J146">
        <v>2</v>
      </c>
      <c r="K146">
        <v>20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0</v>
      </c>
      <c r="R146">
        <v>25</v>
      </c>
      <c r="S146">
        <v>0</v>
      </c>
      <c r="T146">
        <v>25</v>
      </c>
      <c r="U146">
        <v>0</v>
      </c>
      <c r="V146">
        <v>0</v>
      </c>
      <c r="W146">
        <v>0</v>
      </c>
      <c r="X146">
        <v>0</v>
      </c>
      <c r="Y146">
        <v>3</v>
      </c>
      <c r="Z146">
        <v>0</v>
      </c>
      <c r="AA146">
        <v>0</v>
      </c>
      <c r="AB146">
        <v>0</v>
      </c>
      <c r="AC146">
        <v>17</v>
      </c>
      <c r="AD146">
        <v>5</v>
      </c>
      <c r="AE146">
        <v>0</v>
      </c>
      <c r="AF146" t="s">
        <v>16</v>
      </c>
      <c r="AG146">
        <f>0.1*T146</f>
        <v>2.5</v>
      </c>
    </row>
    <row r="147" spans="1:33" x14ac:dyDescent="0.35">
      <c r="A147" t="s">
        <v>595</v>
      </c>
      <c r="B147" t="s">
        <v>701</v>
      </c>
      <c r="C147" s="2">
        <v>38540</v>
      </c>
      <c r="D147" t="s">
        <v>33</v>
      </c>
      <c r="E147" s="3">
        <v>0.53194444444444444</v>
      </c>
      <c r="F147" s="3">
        <v>0.54236111111111118</v>
      </c>
      <c r="G147">
        <v>20.8</v>
      </c>
      <c r="H147">
        <v>51</v>
      </c>
      <c r="I147">
        <v>3</v>
      </c>
      <c r="J147">
        <v>2</v>
      </c>
      <c r="K147">
        <v>60</v>
      </c>
      <c r="L147">
        <v>38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0</v>
      </c>
      <c r="AD147">
        <v>0</v>
      </c>
      <c r="AE147">
        <v>0</v>
      </c>
      <c r="AF147" t="s">
        <v>21</v>
      </c>
      <c r="AG147">
        <f>18/69*AA147</f>
        <v>0.52173913043478259</v>
      </c>
    </row>
    <row r="148" spans="1:33" x14ac:dyDescent="0.35">
      <c r="A148" t="s">
        <v>595</v>
      </c>
      <c r="B148" t="s">
        <v>702</v>
      </c>
      <c r="C148" s="2">
        <v>38545</v>
      </c>
      <c r="D148" t="s">
        <v>33</v>
      </c>
      <c r="E148" s="3">
        <v>0.52083333333333337</v>
      </c>
      <c r="F148" s="3">
        <v>0.53125</v>
      </c>
      <c r="G148">
        <v>30.8</v>
      </c>
      <c r="H148">
        <v>29</v>
      </c>
      <c r="I148">
        <v>0</v>
      </c>
      <c r="J148">
        <v>1</v>
      </c>
      <c r="K148">
        <v>10</v>
      </c>
      <c r="L148">
        <v>10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79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 t="s">
        <v>15</v>
      </c>
      <c r="AG148">
        <f>0.4*S148</f>
        <v>31.6</v>
      </c>
    </row>
    <row r="149" spans="1:33" x14ac:dyDescent="0.35">
      <c r="A149" t="s">
        <v>595</v>
      </c>
      <c r="B149" t="s">
        <v>703</v>
      </c>
      <c r="C149" s="2">
        <v>38545</v>
      </c>
      <c r="D149" t="s">
        <v>33</v>
      </c>
      <c r="E149" s="3">
        <v>0.53749999999999998</v>
      </c>
      <c r="F149" s="3">
        <v>0.54791666666666672</v>
      </c>
      <c r="G149">
        <v>31.7</v>
      </c>
      <c r="H149">
        <v>38</v>
      </c>
      <c r="I149">
        <v>1</v>
      </c>
      <c r="J149">
        <v>2</v>
      </c>
      <c r="K149">
        <v>55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20</v>
      </c>
      <c r="S149">
        <v>25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t="s">
        <v>15</v>
      </c>
      <c r="AG149">
        <f>0.3*S149</f>
        <v>7.5</v>
      </c>
    </row>
    <row r="150" spans="1:33" x14ac:dyDescent="0.35">
      <c r="A150" t="s">
        <v>595</v>
      </c>
      <c r="B150" t="s">
        <v>704</v>
      </c>
      <c r="C150" s="2">
        <v>38545</v>
      </c>
      <c r="D150" t="s">
        <v>34</v>
      </c>
      <c r="E150" s="3">
        <v>0.55555555555555558</v>
      </c>
      <c r="F150" s="3">
        <v>0.56597222222222221</v>
      </c>
      <c r="G150">
        <v>30</v>
      </c>
      <c r="H150">
        <v>28</v>
      </c>
      <c r="I150">
        <v>0</v>
      </c>
      <c r="J150">
        <v>2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5</v>
      </c>
      <c r="Q150">
        <v>0</v>
      </c>
      <c r="R150">
        <v>25</v>
      </c>
      <c r="S150">
        <v>0</v>
      </c>
      <c r="T150">
        <v>30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35</v>
      </c>
      <c r="AD150">
        <v>3</v>
      </c>
      <c r="AE150">
        <v>0</v>
      </c>
      <c r="AF150" t="s">
        <v>16</v>
      </c>
      <c r="AG150">
        <f>0.2*T150</f>
        <v>6</v>
      </c>
    </row>
    <row r="151" spans="1:33" x14ac:dyDescent="0.35">
      <c r="A151" t="s">
        <v>595</v>
      </c>
      <c r="B151" t="s">
        <v>705</v>
      </c>
      <c r="C151" s="2">
        <v>38545</v>
      </c>
      <c r="D151" t="s">
        <v>33</v>
      </c>
      <c r="E151" s="3">
        <v>0.57013888888888886</v>
      </c>
      <c r="F151" s="3">
        <v>0.5805555555555556</v>
      </c>
      <c r="G151">
        <v>30.2</v>
      </c>
      <c r="H151">
        <v>34</v>
      </c>
      <c r="I151">
        <v>1</v>
      </c>
      <c r="J151">
        <v>2</v>
      </c>
      <c r="K151">
        <v>40</v>
      </c>
      <c r="L151">
        <v>29</v>
      </c>
      <c r="M151">
        <v>3</v>
      </c>
      <c r="N151">
        <v>0</v>
      </c>
      <c r="O151">
        <v>7</v>
      </c>
      <c r="P151">
        <v>15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2</v>
      </c>
      <c r="AD151">
        <v>3</v>
      </c>
      <c r="AE151">
        <v>0</v>
      </c>
      <c r="AF151" t="s">
        <v>13</v>
      </c>
      <c r="AG151">
        <f>0.05*O151</f>
        <v>0.35000000000000003</v>
      </c>
    </row>
    <row r="152" spans="1:33" x14ac:dyDescent="0.35">
      <c r="A152" t="s">
        <v>595</v>
      </c>
      <c r="B152" t="s">
        <v>706</v>
      </c>
      <c r="C152" s="2">
        <v>38545</v>
      </c>
      <c r="D152" t="s">
        <v>31</v>
      </c>
      <c r="E152" s="3">
        <v>0.59513888888888888</v>
      </c>
      <c r="F152" s="3">
        <v>0.60555555555555551</v>
      </c>
      <c r="G152">
        <v>28</v>
      </c>
      <c r="H152">
        <v>35</v>
      </c>
      <c r="I152">
        <v>1</v>
      </c>
      <c r="J152">
        <v>2</v>
      </c>
      <c r="K152">
        <v>7</v>
      </c>
      <c r="L152">
        <v>1</v>
      </c>
      <c r="M152">
        <v>0</v>
      </c>
      <c r="N152">
        <v>0</v>
      </c>
      <c r="O152">
        <v>0</v>
      </c>
      <c r="P152">
        <v>35</v>
      </c>
      <c r="Q152">
        <v>0</v>
      </c>
      <c r="R152">
        <v>40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2</v>
      </c>
      <c r="AB152">
        <v>0</v>
      </c>
      <c r="AC152">
        <v>0</v>
      </c>
      <c r="AD152">
        <v>10</v>
      </c>
      <c r="AE152">
        <v>5</v>
      </c>
      <c r="AF152" t="s">
        <v>21</v>
      </c>
      <c r="AG152">
        <f>29/43*AA152</f>
        <v>1.3488372093023255</v>
      </c>
    </row>
    <row r="153" spans="1:33" x14ac:dyDescent="0.35">
      <c r="A153" t="s">
        <v>595</v>
      </c>
      <c r="B153" t="s">
        <v>707</v>
      </c>
      <c r="C153" s="2">
        <v>38545</v>
      </c>
      <c r="D153">
        <v>0</v>
      </c>
      <c r="E153" s="3">
        <v>0.61250000000000004</v>
      </c>
      <c r="F153" s="3">
        <v>0.62291666666666667</v>
      </c>
      <c r="G153">
        <v>29.3</v>
      </c>
      <c r="H153">
        <v>31</v>
      </c>
      <c r="I153">
        <v>1</v>
      </c>
      <c r="J153">
        <v>2</v>
      </c>
      <c r="K153">
        <v>15</v>
      </c>
      <c r="L153">
        <v>0</v>
      </c>
      <c r="M153">
        <v>0</v>
      </c>
      <c r="N153">
        <v>0</v>
      </c>
      <c r="O153">
        <v>0</v>
      </c>
      <c r="P153">
        <v>45</v>
      </c>
      <c r="Q153">
        <v>0</v>
      </c>
      <c r="R153">
        <v>30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0</v>
      </c>
      <c r="AC153">
        <v>7</v>
      </c>
      <c r="AD153">
        <v>0</v>
      </c>
      <c r="AE153">
        <v>0</v>
      </c>
      <c r="AF153" t="s">
        <v>21</v>
      </c>
      <c r="AG153">
        <f>(0.85+0.6)/2*AA153</f>
        <v>2.1749999999999998</v>
      </c>
    </row>
    <row r="154" spans="1:33" x14ac:dyDescent="0.35">
      <c r="A154" t="s">
        <v>595</v>
      </c>
      <c r="B154" t="s">
        <v>708</v>
      </c>
      <c r="C154" s="2">
        <v>38545</v>
      </c>
      <c r="D154">
        <v>0</v>
      </c>
      <c r="E154" s="3">
        <v>0.63958333333333328</v>
      </c>
      <c r="F154" s="3">
        <v>0.65</v>
      </c>
      <c r="G154">
        <v>29.5</v>
      </c>
      <c r="H154">
        <v>45</v>
      </c>
      <c r="I154">
        <v>2</v>
      </c>
      <c r="J154">
        <v>2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12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10</v>
      </c>
      <c r="Z154">
        <v>1</v>
      </c>
      <c r="AA154">
        <v>0</v>
      </c>
      <c r="AB154">
        <v>0</v>
      </c>
      <c r="AC154">
        <v>75</v>
      </c>
      <c r="AD154">
        <v>0</v>
      </c>
      <c r="AE154">
        <v>0</v>
      </c>
      <c r="AF154" t="s">
        <v>19</v>
      </c>
      <c r="AG154">
        <f>0.2*Y154</f>
        <v>2</v>
      </c>
    </row>
    <row r="155" spans="1:33" x14ac:dyDescent="0.35">
      <c r="A155" t="s">
        <v>595</v>
      </c>
      <c r="B155" t="s">
        <v>709</v>
      </c>
      <c r="C155" s="2">
        <v>38546</v>
      </c>
      <c r="D155" t="s">
        <v>33</v>
      </c>
      <c r="E155" s="3">
        <v>0.49513888888888885</v>
      </c>
      <c r="F155" s="3">
        <v>0.50555555555555554</v>
      </c>
      <c r="G155">
        <f>(24.9+22.1)/2</f>
        <v>23.5</v>
      </c>
      <c r="H155">
        <f>(59+47)/2</f>
        <v>53</v>
      </c>
      <c r="I155">
        <v>2</v>
      </c>
      <c r="J155">
        <v>2</v>
      </c>
      <c r="K155">
        <v>5</v>
      </c>
      <c r="L155">
        <v>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5</v>
      </c>
      <c r="S155">
        <v>85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 t="s">
        <v>15</v>
      </c>
      <c r="AG155">
        <f>0.4*S155</f>
        <v>34</v>
      </c>
    </row>
    <row r="156" spans="1:33" x14ac:dyDescent="0.35">
      <c r="A156" t="s">
        <v>595</v>
      </c>
      <c r="B156" t="s">
        <v>710</v>
      </c>
      <c r="C156" s="2">
        <v>38546</v>
      </c>
      <c r="D156" t="s">
        <v>33</v>
      </c>
      <c r="E156" s="3">
        <v>0.51527777777777783</v>
      </c>
      <c r="F156" s="3">
        <v>0.52569444444444446</v>
      </c>
      <c r="G156">
        <v>22.5</v>
      </c>
      <c r="H156">
        <v>52</v>
      </c>
      <c r="I156">
        <v>3</v>
      </c>
      <c r="J156">
        <v>2</v>
      </c>
      <c r="K156">
        <v>15</v>
      </c>
      <c r="L156">
        <v>0</v>
      </c>
      <c r="M156">
        <v>0</v>
      </c>
      <c r="N156">
        <v>0</v>
      </c>
      <c r="O156">
        <v>0</v>
      </c>
      <c r="P156">
        <v>35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13</v>
      </c>
      <c r="Z156">
        <v>2</v>
      </c>
      <c r="AA156">
        <v>0</v>
      </c>
      <c r="AB156">
        <v>0</v>
      </c>
      <c r="AC156">
        <v>35</v>
      </c>
      <c r="AD156">
        <v>0</v>
      </c>
      <c r="AE156">
        <v>0</v>
      </c>
      <c r="AF156" t="s">
        <v>19</v>
      </c>
      <c r="AG156">
        <f>0.25*Y156</f>
        <v>3.25</v>
      </c>
    </row>
    <row r="157" spans="1:33" x14ac:dyDescent="0.35">
      <c r="A157" t="s">
        <v>595</v>
      </c>
      <c r="B157" t="s">
        <v>711</v>
      </c>
      <c r="C157" s="2">
        <v>38546</v>
      </c>
      <c r="D157" t="s">
        <v>33</v>
      </c>
      <c r="E157" s="3">
        <v>0.53472222222222221</v>
      </c>
      <c r="F157" s="3">
        <v>0.54513888888888895</v>
      </c>
      <c r="G157">
        <v>23.1</v>
      </c>
      <c r="H157">
        <v>51</v>
      </c>
      <c r="I157">
        <v>3</v>
      </c>
      <c r="J157">
        <v>2</v>
      </c>
      <c r="K157">
        <v>36</v>
      </c>
      <c r="L157">
        <v>13</v>
      </c>
      <c r="M157">
        <v>0</v>
      </c>
      <c r="N157">
        <v>0</v>
      </c>
      <c r="O157">
        <v>0</v>
      </c>
      <c r="P157">
        <v>10</v>
      </c>
      <c r="Q157">
        <v>0</v>
      </c>
      <c r="R157">
        <v>40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 t="s">
        <v>14</v>
      </c>
      <c r="AG157">
        <f>0.15*R157</f>
        <v>6</v>
      </c>
    </row>
    <row r="158" spans="1:33" x14ac:dyDescent="0.35">
      <c r="A158" t="s">
        <v>595</v>
      </c>
      <c r="B158" t="s">
        <v>712</v>
      </c>
      <c r="C158" s="2">
        <v>38546</v>
      </c>
      <c r="D158" t="s">
        <v>33</v>
      </c>
      <c r="E158" s="3">
        <v>0.58125000000000004</v>
      </c>
      <c r="F158" s="3">
        <v>0.59166666666666667</v>
      </c>
      <c r="G158">
        <v>24.7</v>
      </c>
      <c r="H158">
        <v>53</v>
      </c>
      <c r="I158">
        <v>5</v>
      </c>
      <c r="J158">
        <v>3</v>
      </c>
      <c r="K158">
        <v>6</v>
      </c>
      <c r="L158">
        <v>2</v>
      </c>
      <c r="M158">
        <v>0</v>
      </c>
      <c r="N158">
        <v>0</v>
      </c>
      <c r="O158">
        <v>0</v>
      </c>
      <c r="P158">
        <v>7</v>
      </c>
      <c r="Q158">
        <v>0</v>
      </c>
      <c r="R158">
        <v>2</v>
      </c>
      <c r="S158">
        <v>0</v>
      </c>
      <c r="T158">
        <v>70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10</v>
      </c>
      <c r="AD158">
        <v>0</v>
      </c>
      <c r="AE158">
        <v>3</v>
      </c>
      <c r="AF158" t="s">
        <v>16</v>
      </c>
      <c r="AG158">
        <f>0.2*T158</f>
        <v>14</v>
      </c>
    </row>
    <row r="159" spans="1:33" x14ac:dyDescent="0.35">
      <c r="A159" t="s">
        <v>595</v>
      </c>
      <c r="B159" t="s">
        <v>713</v>
      </c>
      <c r="C159" s="2">
        <v>38551</v>
      </c>
      <c r="D159" t="s">
        <v>33</v>
      </c>
      <c r="E159" s="3">
        <v>0.42430555555555555</v>
      </c>
      <c r="F159" s="3">
        <v>0.43472222222222223</v>
      </c>
      <c r="G159">
        <v>21.7</v>
      </c>
      <c r="H159">
        <v>66</v>
      </c>
      <c r="I159">
        <v>5</v>
      </c>
      <c r="J159">
        <v>2</v>
      </c>
      <c r="K159">
        <v>10</v>
      </c>
      <c r="L159">
        <v>10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 t="s">
        <v>15</v>
      </c>
      <c r="AG159">
        <f>0.5*S159</f>
        <v>40</v>
      </c>
    </row>
    <row r="160" spans="1:33" x14ac:dyDescent="0.35">
      <c r="A160" t="s">
        <v>595</v>
      </c>
      <c r="B160" t="s">
        <v>714</v>
      </c>
      <c r="C160" s="2">
        <v>38551</v>
      </c>
      <c r="D160" t="s">
        <v>33</v>
      </c>
      <c r="E160" s="3">
        <v>0.44930555555555557</v>
      </c>
      <c r="F160" s="3">
        <v>0.4597222222222222</v>
      </c>
      <c r="G160">
        <v>21.5</v>
      </c>
      <c r="H160">
        <v>75</v>
      </c>
      <c r="I160">
        <v>5</v>
      </c>
      <c r="J160">
        <v>2</v>
      </c>
      <c r="K160">
        <v>36</v>
      </c>
      <c r="L160">
        <v>13</v>
      </c>
      <c r="M160">
        <v>0</v>
      </c>
      <c r="N160">
        <v>0</v>
      </c>
      <c r="O160">
        <v>0</v>
      </c>
      <c r="P160">
        <v>10</v>
      </c>
      <c r="Q160">
        <v>0</v>
      </c>
      <c r="R160">
        <v>40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 t="s">
        <v>14</v>
      </c>
      <c r="AG160">
        <f>0.45*R160</f>
        <v>18</v>
      </c>
    </row>
    <row r="161" spans="1:33" x14ac:dyDescent="0.35">
      <c r="A161" t="s">
        <v>595</v>
      </c>
      <c r="B161" t="s">
        <v>715</v>
      </c>
      <c r="C161" s="2">
        <v>38551</v>
      </c>
      <c r="D161" t="s">
        <v>45</v>
      </c>
      <c r="E161" s="3">
        <v>0.46666666666666662</v>
      </c>
      <c r="F161" s="3">
        <v>0.4770833333333333</v>
      </c>
      <c r="G161">
        <v>21.5</v>
      </c>
      <c r="H161">
        <v>73</v>
      </c>
      <c r="I161">
        <v>3</v>
      </c>
      <c r="J161">
        <v>2</v>
      </c>
      <c r="K161">
        <v>0</v>
      </c>
      <c r="L161">
        <v>0</v>
      </c>
      <c r="M161">
        <v>2</v>
      </c>
      <c r="N161">
        <v>0</v>
      </c>
      <c r="O161">
        <v>0</v>
      </c>
      <c r="P161">
        <v>45</v>
      </c>
      <c r="Q161">
        <v>0</v>
      </c>
      <c r="R161">
        <v>37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6</v>
      </c>
      <c r="AB161">
        <v>0</v>
      </c>
      <c r="AC161">
        <v>0</v>
      </c>
      <c r="AD161">
        <v>0</v>
      </c>
      <c r="AE161">
        <v>10</v>
      </c>
      <c r="AF161" t="s">
        <v>21</v>
      </c>
      <c r="AG161">
        <f>0.8*AA161</f>
        <v>4.8000000000000007</v>
      </c>
    </row>
    <row r="162" spans="1:33" x14ac:dyDescent="0.35">
      <c r="A162" t="s">
        <v>595</v>
      </c>
      <c r="B162" t="s">
        <v>716</v>
      </c>
      <c r="C162" s="2">
        <v>38551</v>
      </c>
      <c r="D162">
        <v>0</v>
      </c>
      <c r="E162" s="3">
        <v>0.48680555555555555</v>
      </c>
      <c r="F162" s="3">
        <v>0.49722222222222223</v>
      </c>
      <c r="G162">
        <v>22.4</v>
      </c>
      <c r="H162">
        <v>67</v>
      </c>
      <c r="I162">
        <v>3</v>
      </c>
      <c r="J162">
        <v>2</v>
      </c>
      <c r="K162">
        <v>15</v>
      </c>
      <c r="L162">
        <v>0</v>
      </c>
      <c r="M162">
        <v>0</v>
      </c>
      <c r="N162">
        <v>0</v>
      </c>
      <c r="O162">
        <v>0</v>
      </c>
      <c r="P162">
        <v>40</v>
      </c>
      <c r="Q162">
        <v>0</v>
      </c>
      <c r="R162">
        <v>40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0</v>
      </c>
      <c r="AC162">
        <v>2</v>
      </c>
      <c r="AD162">
        <v>0</v>
      </c>
      <c r="AE162">
        <v>0</v>
      </c>
      <c r="AF162" t="s">
        <v>21</v>
      </c>
      <c r="AG162">
        <f>0.7*AA162</f>
        <v>2.0999999999999996</v>
      </c>
    </row>
    <row r="163" spans="1:33" x14ac:dyDescent="0.35">
      <c r="A163" t="s">
        <v>595</v>
      </c>
      <c r="B163" t="s">
        <v>717</v>
      </c>
      <c r="C163" s="2">
        <v>38551</v>
      </c>
      <c r="D163" t="s">
        <v>49</v>
      </c>
      <c r="E163" s="3">
        <v>0.50277777777777777</v>
      </c>
      <c r="F163" s="3">
        <v>0.5131944444444444</v>
      </c>
      <c r="G163">
        <v>24</v>
      </c>
      <c r="H163">
        <v>61</v>
      </c>
      <c r="I163">
        <v>3</v>
      </c>
      <c r="J163">
        <v>2</v>
      </c>
      <c r="K163">
        <v>0</v>
      </c>
      <c r="L163">
        <v>4</v>
      </c>
      <c r="M163">
        <v>0</v>
      </c>
      <c r="N163">
        <v>0</v>
      </c>
      <c r="O163">
        <v>0</v>
      </c>
      <c r="P163">
        <v>5</v>
      </c>
      <c r="Q163">
        <v>0</v>
      </c>
      <c r="R163">
        <v>60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30</v>
      </c>
      <c r="AF163" t="s">
        <v>18</v>
      </c>
      <c r="AG163">
        <f>3/15*W163</f>
        <v>0.2</v>
      </c>
    </row>
    <row r="164" spans="1:33" s="6" customFormat="1" x14ac:dyDescent="0.35">
      <c r="A164" t="s">
        <v>595</v>
      </c>
      <c r="B164" t="s">
        <v>718</v>
      </c>
      <c r="C164" s="2">
        <v>38551</v>
      </c>
      <c r="D164">
        <v>0</v>
      </c>
      <c r="E164" s="3">
        <v>0.52638888888888891</v>
      </c>
      <c r="F164" s="3">
        <v>0.53680555555555554</v>
      </c>
      <c r="G164">
        <v>23.1</v>
      </c>
      <c r="H164">
        <v>63</v>
      </c>
      <c r="I164">
        <v>5</v>
      </c>
      <c r="J164">
        <v>2</v>
      </c>
      <c r="K164">
        <v>3</v>
      </c>
      <c r="L164">
        <v>1</v>
      </c>
      <c r="M164">
        <v>0</v>
      </c>
      <c r="N164">
        <v>0</v>
      </c>
      <c r="O164">
        <v>35</v>
      </c>
      <c r="P164">
        <v>2</v>
      </c>
      <c r="Q164">
        <v>0</v>
      </c>
      <c r="R164">
        <v>46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3</v>
      </c>
      <c r="Z164">
        <v>0</v>
      </c>
      <c r="AA164">
        <v>0</v>
      </c>
      <c r="AB164">
        <v>0</v>
      </c>
      <c r="AC164">
        <v>10</v>
      </c>
      <c r="AD164">
        <v>0</v>
      </c>
      <c r="AE164">
        <v>0</v>
      </c>
      <c r="AF164" t="s">
        <v>13</v>
      </c>
      <c r="AG164">
        <f>0.02*O164</f>
        <v>0.70000000000000007</v>
      </c>
    </row>
    <row r="165" spans="1:33" s="6" customFormat="1" x14ac:dyDescent="0.35">
      <c r="A165" t="s">
        <v>595</v>
      </c>
      <c r="B165" t="s">
        <v>719</v>
      </c>
      <c r="C165" s="2">
        <v>38551</v>
      </c>
      <c r="D165" t="s">
        <v>34</v>
      </c>
      <c r="E165" s="3">
        <v>0.55000000000000004</v>
      </c>
      <c r="F165" s="3">
        <v>0.56041666666666667</v>
      </c>
      <c r="G165">
        <v>21</v>
      </c>
      <c r="H165">
        <v>68</v>
      </c>
      <c r="I165">
        <v>5</v>
      </c>
      <c r="J165">
        <v>2</v>
      </c>
      <c r="K165">
        <v>20</v>
      </c>
      <c r="L165">
        <v>1</v>
      </c>
      <c r="M165">
        <v>0</v>
      </c>
      <c r="N165">
        <v>0</v>
      </c>
      <c r="O165">
        <v>0</v>
      </c>
      <c r="P165">
        <v>8</v>
      </c>
      <c r="Q165">
        <v>0</v>
      </c>
      <c r="R165">
        <v>30</v>
      </c>
      <c r="S165">
        <v>0</v>
      </c>
      <c r="T165">
        <v>35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5</v>
      </c>
      <c r="AD165">
        <v>0</v>
      </c>
      <c r="AE165">
        <v>0</v>
      </c>
      <c r="AF165" t="s">
        <v>16</v>
      </c>
      <c r="AG165">
        <f>0.1*T165</f>
        <v>3.5</v>
      </c>
    </row>
    <row r="166" spans="1:33" s="6" customFormat="1" x14ac:dyDescent="0.35">
      <c r="A166" t="s">
        <v>595</v>
      </c>
      <c r="B166" t="s">
        <v>720</v>
      </c>
      <c r="C166" s="2">
        <v>38556</v>
      </c>
      <c r="D166" t="s">
        <v>33</v>
      </c>
      <c r="E166" s="3">
        <v>0.48125000000000001</v>
      </c>
      <c r="F166" s="3">
        <v>0.4916666666666667</v>
      </c>
      <c r="G166">
        <v>17.7</v>
      </c>
      <c r="H166">
        <v>67</v>
      </c>
      <c r="I166">
        <v>2</v>
      </c>
      <c r="J166">
        <v>2</v>
      </c>
      <c r="K166">
        <v>5</v>
      </c>
      <c r="L166">
        <v>5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5</v>
      </c>
      <c r="S166">
        <v>85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 t="s">
        <v>15</v>
      </c>
      <c r="AG166">
        <f>0.4*S166</f>
        <v>34</v>
      </c>
    </row>
    <row r="167" spans="1:33" s="6" customFormat="1" x14ac:dyDescent="0.35">
      <c r="A167" t="s">
        <v>595</v>
      </c>
      <c r="B167" t="s">
        <v>721</v>
      </c>
      <c r="C167" s="2">
        <v>38556</v>
      </c>
      <c r="D167">
        <v>0</v>
      </c>
      <c r="E167" s="3">
        <v>0.55069444444444449</v>
      </c>
      <c r="F167" s="3">
        <v>0.56111111111111112</v>
      </c>
      <c r="G167">
        <v>18.600000000000001</v>
      </c>
      <c r="H167">
        <v>66</v>
      </c>
      <c r="I167">
        <v>5</v>
      </c>
      <c r="J167">
        <v>2</v>
      </c>
      <c r="K167">
        <v>3</v>
      </c>
      <c r="L167">
        <v>1</v>
      </c>
      <c r="M167">
        <v>0</v>
      </c>
      <c r="N167">
        <v>0</v>
      </c>
      <c r="O167">
        <v>35</v>
      </c>
      <c r="P167">
        <v>2</v>
      </c>
      <c r="Q167">
        <v>0</v>
      </c>
      <c r="R167">
        <v>46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3</v>
      </c>
      <c r="Z167">
        <v>0</v>
      </c>
      <c r="AA167">
        <v>0</v>
      </c>
      <c r="AB167">
        <v>0</v>
      </c>
      <c r="AC167">
        <v>10</v>
      </c>
      <c r="AD167">
        <v>0</v>
      </c>
      <c r="AE167">
        <v>0</v>
      </c>
      <c r="AF167" t="s">
        <v>13</v>
      </c>
      <c r="AG167">
        <f>0.02*O167</f>
        <v>0.70000000000000007</v>
      </c>
    </row>
    <row r="168" spans="1:33" x14ac:dyDescent="0.35">
      <c r="A168" t="s">
        <v>595</v>
      </c>
      <c r="B168" t="s">
        <v>722</v>
      </c>
      <c r="C168" s="2">
        <v>38556</v>
      </c>
      <c r="D168" t="s">
        <v>33</v>
      </c>
      <c r="E168" s="3">
        <v>0.4993055555555555</v>
      </c>
      <c r="F168" s="3">
        <v>0.50972222222222219</v>
      </c>
      <c r="G168">
        <v>16.899999999999999</v>
      </c>
      <c r="H168">
        <v>69</v>
      </c>
      <c r="I168">
        <v>5</v>
      </c>
      <c r="J168">
        <v>2</v>
      </c>
      <c r="K168">
        <v>60</v>
      </c>
      <c r="L168">
        <v>2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10</v>
      </c>
      <c r="S168">
        <v>0</v>
      </c>
      <c r="T168">
        <v>25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0</v>
      </c>
      <c r="AF168" t="s">
        <v>14</v>
      </c>
      <c r="AG168">
        <f>0.1*R168</f>
        <v>1</v>
      </c>
    </row>
    <row r="169" spans="1:33" x14ac:dyDescent="0.35">
      <c r="A169" t="s">
        <v>595</v>
      </c>
      <c r="B169" t="s">
        <v>722</v>
      </c>
      <c r="C169" s="2">
        <v>38556</v>
      </c>
      <c r="D169" t="s">
        <v>33</v>
      </c>
      <c r="E169" s="3">
        <v>0.4993055555555555</v>
      </c>
      <c r="F169" s="3">
        <v>0.50972222222222219</v>
      </c>
      <c r="G169">
        <v>16.899999999999999</v>
      </c>
      <c r="H169">
        <v>69</v>
      </c>
      <c r="I169">
        <v>5</v>
      </c>
      <c r="J169">
        <v>2</v>
      </c>
      <c r="K169">
        <v>60</v>
      </c>
      <c r="L169">
        <v>2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10</v>
      </c>
      <c r="S169">
        <v>0</v>
      </c>
      <c r="T169">
        <v>25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0</v>
      </c>
      <c r="AE169">
        <v>0</v>
      </c>
      <c r="AF169" t="s">
        <v>16</v>
      </c>
      <c r="AG169">
        <f>0.1*T169</f>
        <v>2.5</v>
      </c>
    </row>
    <row r="170" spans="1:33" x14ac:dyDescent="0.35">
      <c r="A170" t="s">
        <v>595</v>
      </c>
      <c r="B170" t="s">
        <v>723</v>
      </c>
      <c r="C170" s="2">
        <v>38561</v>
      </c>
      <c r="D170">
        <v>0</v>
      </c>
      <c r="E170" s="3">
        <v>0.65625</v>
      </c>
      <c r="F170" s="3">
        <v>0.66666666666666663</v>
      </c>
      <c r="G170">
        <v>17.5</v>
      </c>
      <c r="H170">
        <v>75</v>
      </c>
      <c r="I170">
        <v>5</v>
      </c>
      <c r="J170">
        <v>1</v>
      </c>
      <c r="K170">
        <v>0</v>
      </c>
      <c r="L170">
        <v>10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80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5</v>
      </c>
      <c r="AD170">
        <v>5</v>
      </c>
      <c r="AE170">
        <v>0</v>
      </c>
      <c r="AF170" t="s">
        <v>14</v>
      </c>
      <c r="AG170">
        <f>0.45*R170</f>
        <v>36</v>
      </c>
    </row>
    <row r="171" spans="1:33" x14ac:dyDescent="0.35">
      <c r="A171" t="s">
        <v>595</v>
      </c>
      <c r="B171" t="s">
        <v>724</v>
      </c>
      <c r="C171" s="2">
        <v>38561</v>
      </c>
      <c r="D171" t="s">
        <v>33</v>
      </c>
      <c r="E171" s="3">
        <v>0.67361111111111116</v>
      </c>
      <c r="F171" s="3">
        <v>0.68402777777777779</v>
      </c>
      <c r="G171">
        <v>16.5</v>
      </c>
      <c r="H171">
        <v>74</v>
      </c>
      <c r="I171">
        <v>5</v>
      </c>
      <c r="J171">
        <v>1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 t="s">
        <v>15</v>
      </c>
      <c r="AG171">
        <f>0.25*S171</f>
        <v>24.75</v>
      </c>
    </row>
    <row r="172" spans="1:33" x14ac:dyDescent="0.35">
      <c r="A172" t="s">
        <v>595</v>
      </c>
      <c r="B172" t="s">
        <v>725</v>
      </c>
      <c r="C172" s="2">
        <v>38566</v>
      </c>
      <c r="D172">
        <v>0</v>
      </c>
      <c r="E172" s="3">
        <v>0.45694444444444443</v>
      </c>
      <c r="F172" s="3">
        <v>0.46180555555555558</v>
      </c>
      <c r="G172">
        <v>15.4</v>
      </c>
      <c r="H172">
        <v>69</v>
      </c>
      <c r="I172">
        <v>5</v>
      </c>
      <c r="J172">
        <v>3</v>
      </c>
      <c r="K172">
        <v>55</v>
      </c>
      <c r="L172">
        <v>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40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 t="s">
        <v>14</v>
      </c>
      <c r="AG172">
        <f>0.6*R172</f>
        <v>24</v>
      </c>
    </row>
    <row r="173" spans="1:33" x14ac:dyDescent="0.35">
      <c r="A173" t="s">
        <v>595</v>
      </c>
      <c r="B173" t="s">
        <v>726</v>
      </c>
      <c r="C173" s="2">
        <v>38566</v>
      </c>
      <c r="D173">
        <v>0</v>
      </c>
      <c r="E173" s="3">
        <v>0.47013888888888888</v>
      </c>
      <c r="F173" s="3">
        <v>0.48055555555555557</v>
      </c>
      <c r="G173">
        <v>16.5</v>
      </c>
      <c r="H173">
        <v>73</v>
      </c>
      <c r="I173">
        <v>5</v>
      </c>
      <c r="J173">
        <v>2</v>
      </c>
      <c r="K173">
        <v>20</v>
      </c>
      <c r="L173">
        <v>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72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0</v>
      </c>
      <c r="AC173">
        <v>0</v>
      </c>
      <c r="AD173">
        <v>0</v>
      </c>
      <c r="AE173">
        <v>1</v>
      </c>
      <c r="AF173" t="s">
        <v>21</v>
      </c>
      <c r="AG173">
        <f>0.5*AA173</f>
        <v>0.5</v>
      </c>
    </row>
    <row r="174" spans="1:33" x14ac:dyDescent="0.35">
      <c r="A174" t="s">
        <v>595</v>
      </c>
      <c r="B174" t="s">
        <v>727</v>
      </c>
      <c r="C174" s="2">
        <v>38566</v>
      </c>
      <c r="D174" t="s">
        <v>40</v>
      </c>
      <c r="E174" s="3">
        <v>0.49861111111111112</v>
      </c>
      <c r="F174" s="3">
        <v>0.50902777777777775</v>
      </c>
      <c r="G174">
        <v>16.3</v>
      </c>
      <c r="H174">
        <v>77</v>
      </c>
      <c r="I174">
        <v>5</v>
      </c>
      <c r="J174">
        <v>3</v>
      </c>
      <c r="K174">
        <v>17</v>
      </c>
      <c r="L174">
        <v>8</v>
      </c>
      <c r="M174">
        <v>0</v>
      </c>
      <c r="N174">
        <v>0</v>
      </c>
      <c r="O174">
        <v>20</v>
      </c>
      <c r="P174">
        <v>0</v>
      </c>
      <c r="Q174">
        <v>0</v>
      </c>
      <c r="R174">
        <v>50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5</v>
      </c>
      <c r="AD174">
        <v>0</v>
      </c>
      <c r="AE174">
        <v>0</v>
      </c>
      <c r="AF174" t="s">
        <v>14</v>
      </c>
      <c r="AG174">
        <f>0.2*R174</f>
        <v>10</v>
      </c>
    </row>
    <row r="175" spans="1:33" x14ac:dyDescent="0.35">
      <c r="A175" t="s">
        <v>595</v>
      </c>
      <c r="B175" t="s">
        <v>727</v>
      </c>
      <c r="C175" s="2">
        <v>38566</v>
      </c>
      <c r="D175" t="s">
        <v>40</v>
      </c>
      <c r="E175" s="3">
        <v>0.49861111111111112</v>
      </c>
      <c r="F175" s="3">
        <v>0.50902777777777775</v>
      </c>
      <c r="G175">
        <v>16.3</v>
      </c>
      <c r="H175">
        <v>77</v>
      </c>
      <c r="I175">
        <v>5</v>
      </c>
      <c r="J175">
        <v>3</v>
      </c>
      <c r="K175">
        <v>17</v>
      </c>
      <c r="L175">
        <v>8</v>
      </c>
      <c r="M175">
        <v>0</v>
      </c>
      <c r="N175">
        <v>0</v>
      </c>
      <c r="O175">
        <v>20</v>
      </c>
      <c r="P175">
        <v>0</v>
      </c>
      <c r="Q175">
        <v>0</v>
      </c>
      <c r="R175">
        <v>50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5</v>
      </c>
      <c r="AD175">
        <v>0</v>
      </c>
      <c r="AE175">
        <v>0</v>
      </c>
      <c r="AF175" t="s">
        <v>13</v>
      </c>
      <c r="AG175">
        <f>0.02*O175</f>
        <v>0.4</v>
      </c>
    </row>
    <row r="176" spans="1:33" x14ac:dyDescent="0.35">
      <c r="A176" t="s">
        <v>595</v>
      </c>
      <c r="B176" t="s">
        <v>728</v>
      </c>
      <c r="C176" s="2">
        <v>38566</v>
      </c>
      <c r="D176" t="s">
        <v>33</v>
      </c>
      <c r="E176" s="3">
        <v>0.51875000000000004</v>
      </c>
      <c r="F176" s="3">
        <v>0.52986111111111112</v>
      </c>
      <c r="G176">
        <v>16.2</v>
      </c>
      <c r="H176">
        <v>71</v>
      </c>
      <c r="I176">
        <v>5</v>
      </c>
      <c r="J176">
        <v>3</v>
      </c>
      <c r="K176">
        <v>1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98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 t="s">
        <v>15</v>
      </c>
      <c r="AG176">
        <f>0.2*S176</f>
        <v>19.600000000000001</v>
      </c>
    </row>
    <row r="177" spans="1:33" x14ac:dyDescent="0.35">
      <c r="A177" t="s">
        <v>595</v>
      </c>
      <c r="B177" t="s">
        <v>729</v>
      </c>
      <c r="C177" s="2">
        <v>38573</v>
      </c>
      <c r="D177" t="s">
        <v>33</v>
      </c>
      <c r="E177" s="3">
        <v>0.51041666666666663</v>
      </c>
      <c r="F177" s="3">
        <v>0.52083333333333337</v>
      </c>
      <c r="G177">
        <v>17.899999999999999</v>
      </c>
      <c r="H177">
        <v>80</v>
      </c>
      <c r="I177">
        <v>5</v>
      </c>
      <c r="J177">
        <v>2</v>
      </c>
      <c r="K177">
        <v>30</v>
      </c>
      <c r="L177"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65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t="s">
        <v>14</v>
      </c>
      <c r="AG177">
        <f>0.5*R177</f>
        <v>32.5</v>
      </c>
    </row>
    <row r="178" spans="1:33" x14ac:dyDescent="0.35">
      <c r="A178" t="s">
        <v>595</v>
      </c>
      <c r="B178" t="s">
        <v>730</v>
      </c>
      <c r="C178" s="2">
        <v>38573</v>
      </c>
      <c r="D178" t="s">
        <v>34</v>
      </c>
      <c r="E178" s="3">
        <v>0.52777777777777779</v>
      </c>
      <c r="F178" s="3">
        <v>0.53819444444444442</v>
      </c>
      <c r="G178">
        <v>20.6</v>
      </c>
      <c r="H178">
        <v>71</v>
      </c>
      <c r="I178">
        <v>5</v>
      </c>
      <c r="J178">
        <v>2</v>
      </c>
      <c r="K178">
        <v>15</v>
      </c>
      <c r="L178">
        <v>5</v>
      </c>
      <c r="M178">
        <v>0</v>
      </c>
      <c r="N178">
        <v>0</v>
      </c>
      <c r="O178">
        <v>0</v>
      </c>
      <c r="P178">
        <v>5</v>
      </c>
      <c r="Q178">
        <v>0</v>
      </c>
      <c r="R178">
        <v>55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20</v>
      </c>
      <c r="AE178">
        <v>0</v>
      </c>
      <c r="AF178" t="s">
        <v>14</v>
      </c>
      <c r="AG178">
        <f>0.7*R178</f>
        <v>38.5</v>
      </c>
    </row>
    <row r="179" spans="1:33" x14ac:dyDescent="0.35">
      <c r="A179" t="s">
        <v>595</v>
      </c>
      <c r="B179" t="s">
        <v>731</v>
      </c>
      <c r="C179" s="2">
        <v>38573</v>
      </c>
      <c r="D179">
        <v>0</v>
      </c>
      <c r="E179" s="3">
        <v>0.55347222222222225</v>
      </c>
      <c r="F179" s="3">
        <v>0.56388888888888888</v>
      </c>
      <c r="G179">
        <v>20.6</v>
      </c>
      <c r="H179">
        <v>64</v>
      </c>
      <c r="I179">
        <v>5</v>
      </c>
      <c r="J179">
        <v>1</v>
      </c>
      <c r="K179">
        <v>45</v>
      </c>
      <c r="L179">
        <v>0</v>
      </c>
      <c r="M179">
        <v>0</v>
      </c>
      <c r="N179">
        <v>0</v>
      </c>
      <c r="O179">
        <v>0</v>
      </c>
      <c r="P179">
        <v>25</v>
      </c>
      <c r="Q179">
        <v>0</v>
      </c>
      <c r="R179">
        <v>0</v>
      </c>
      <c r="S179">
        <v>0</v>
      </c>
      <c r="T179">
        <v>10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20</v>
      </c>
      <c r="AD179">
        <v>0</v>
      </c>
      <c r="AE179">
        <v>0</v>
      </c>
      <c r="AF179" t="s">
        <v>16</v>
      </c>
      <c r="AG179">
        <f>0.05*T179</f>
        <v>0.5</v>
      </c>
    </row>
    <row r="180" spans="1:33" x14ac:dyDescent="0.35">
      <c r="A180" t="s">
        <v>595</v>
      </c>
      <c r="B180" t="s">
        <v>732</v>
      </c>
      <c r="C180" s="2">
        <v>38573</v>
      </c>
      <c r="D180" t="s">
        <v>34</v>
      </c>
      <c r="E180" s="3">
        <v>0.57847222222222217</v>
      </c>
      <c r="F180" s="3">
        <v>0.58888888888888891</v>
      </c>
      <c r="G180">
        <v>20</v>
      </c>
      <c r="H180">
        <v>53</v>
      </c>
      <c r="I180">
        <v>3</v>
      </c>
      <c r="J180">
        <v>2</v>
      </c>
      <c r="K180">
        <v>20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65</v>
      </c>
      <c r="S180">
        <v>0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6</v>
      </c>
      <c r="AD180">
        <v>0</v>
      </c>
      <c r="AE180">
        <v>0</v>
      </c>
      <c r="AF180" t="s">
        <v>14</v>
      </c>
      <c r="AG180">
        <f>0.1*R180</f>
        <v>6.5</v>
      </c>
    </row>
    <row r="181" spans="1:33" x14ac:dyDescent="0.35">
      <c r="A181" t="s">
        <v>595</v>
      </c>
      <c r="B181" t="s">
        <v>732</v>
      </c>
      <c r="C181" s="2">
        <v>38573</v>
      </c>
      <c r="D181" t="s">
        <v>34</v>
      </c>
      <c r="E181" s="3">
        <v>0.57847222222222217</v>
      </c>
      <c r="F181" s="3">
        <v>0.58888888888888891</v>
      </c>
      <c r="G181">
        <v>20</v>
      </c>
      <c r="H181">
        <v>53</v>
      </c>
      <c r="I181">
        <v>3</v>
      </c>
      <c r="J181">
        <v>2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65</v>
      </c>
      <c r="S181">
        <v>0</v>
      </c>
      <c r="T181">
        <v>8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6</v>
      </c>
      <c r="AD181">
        <v>0</v>
      </c>
      <c r="AE181">
        <v>0</v>
      </c>
      <c r="AF181" t="s">
        <v>16</v>
      </c>
      <c r="AG181">
        <f>0.1*T181</f>
        <v>0.8</v>
      </c>
    </row>
    <row r="182" spans="1:33" x14ac:dyDescent="0.35">
      <c r="A182" t="s">
        <v>595</v>
      </c>
      <c r="B182" t="s">
        <v>733</v>
      </c>
      <c r="C182" s="2">
        <v>38573</v>
      </c>
      <c r="D182" t="s">
        <v>37</v>
      </c>
      <c r="E182" s="3">
        <v>0.625</v>
      </c>
      <c r="F182" s="3">
        <v>0.63541666666666663</v>
      </c>
      <c r="G182">
        <v>19.2</v>
      </c>
      <c r="H182">
        <v>62</v>
      </c>
      <c r="I182">
        <v>5</v>
      </c>
      <c r="J182">
        <v>1</v>
      </c>
      <c r="K182">
        <v>45</v>
      </c>
      <c r="L182">
        <v>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50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 t="s">
        <v>14</v>
      </c>
      <c r="AG182">
        <f>0.6*R182</f>
        <v>30</v>
      </c>
    </row>
    <row r="183" spans="1:33" x14ac:dyDescent="0.35">
      <c r="A183" t="s">
        <v>595</v>
      </c>
      <c r="B183" t="s">
        <v>734</v>
      </c>
      <c r="C183" s="2">
        <v>38573</v>
      </c>
      <c r="D183" t="s">
        <v>31</v>
      </c>
      <c r="E183" s="3">
        <v>0.64444444444444449</v>
      </c>
      <c r="F183" s="3">
        <v>0.65486111111111112</v>
      </c>
      <c r="G183">
        <v>19.100000000000001</v>
      </c>
      <c r="H183">
        <v>62</v>
      </c>
      <c r="I183">
        <v>3</v>
      </c>
      <c r="J183">
        <v>0</v>
      </c>
      <c r="K183">
        <v>40</v>
      </c>
      <c r="L183">
        <v>0</v>
      </c>
      <c r="M183">
        <v>0</v>
      </c>
      <c r="N183">
        <v>0</v>
      </c>
      <c r="O183">
        <v>0</v>
      </c>
      <c r="P183">
        <v>48</v>
      </c>
      <c r="Q183">
        <v>0</v>
      </c>
      <c r="R183">
        <v>5</v>
      </c>
      <c r="S183">
        <v>0</v>
      </c>
      <c r="T183">
        <v>7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 t="s">
        <v>16</v>
      </c>
      <c r="AG183">
        <f>0.05*T183</f>
        <v>0.35000000000000003</v>
      </c>
    </row>
    <row r="184" spans="1:33" x14ac:dyDescent="0.35">
      <c r="A184" t="s">
        <v>595</v>
      </c>
      <c r="B184" t="s">
        <v>735</v>
      </c>
      <c r="C184" s="2">
        <v>38579</v>
      </c>
      <c r="D184" t="s">
        <v>36</v>
      </c>
      <c r="E184" s="3">
        <v>0.4513888888888889</v>
      </c>
      <c r="F184" s="3">
        <v>0.46180555555555558</v>
      </c>
      <c r="G184">
        <f>(20.7+17.7)/2</f>
        <v>19.2</v>
      </c>
      <c r="H184">
        <v>64</v>
      </c>
      <c r="I184">
        <v>2</v>
      </c>
      <c r="J184">
        <v>2</v>
      </c>
      <c r="K184">
        <v>12</v>
      </c>
      <c r="L184">
        <v>18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45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25</v>
      </c>
      <c r="AE184">
        <v>0</v>
      </c>
      <c r="AF184" t="s">
        <v>14</v>
      </c>
      <c r="AG184">
        <f>0.7*R184</f>
        <v>31.499999999999996</v>
      </c>
    </row>
    <row r="185" spans="1:33" x14ac:dyDescent="0.35">
      <c r="A185" t="s">
        <v>595</v>
      </c>
      <c r="B185" t="s">
        <v>736</v>
      </c>
      <c r="C185" s="2">
        <v>38579</v>
      </c>
      <c r="D185">
        <v>0</v>
      </c>
      <c r="E185" s="3">
        <v>0.4770833333333333</v>
      </c>
      <c r="F185" s="3">
        <v>0.48749999999999999</v>
      </c>
      <c r="G185">
        <v>19.100000000000001</v>
      </c>
      <c r="H185">
        <v>58</v>
      </c>
      <c r="I185">
        <v>2</v>
      </c>
      <c r="J185">
        <v>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85</v>
      </c>
      <c r="AD185">
        <v>2</v>
      </c>
      <c r="AE185">
        <v>0</v>
      </c>
      <c r="AF185" t="s">
        <v>16</v>
      </c>
      <c r="AG185">
        <f>0.1*T185</f>
        <v>1.3</v>
      </c>
    </row>
    <row r="186" spans="1:33" x14ac:dyDescent="0.35">
      <c r="A186" t="s">
        <v>595</v>
      </c>
      <c r="B186" t="s">
        <v>737</v>
      </c>
      <c r="C186" s="2">
        <v>38579</v>
      </c>
      <c r="D186" t="s">
        <v>34</v>
      </c>
      <c r="E186" s="3">
        <v>0.49236111111111108</v>
      </c>
      <c r="F186" s="3">
        <v>0.50277777777777777</v>
      </c>
      <c r="G186">
        <v>20.399999999999999</v>
      </c>
      <c r="H186">
        <v>59</v>
      </c>
      <c r="I186">
        <v>2</v>
      </c>
      <c r="J186">
        <v>2</v>
      </c>
      <c r="K186">
        <v>10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71</v>
      </c>
      <c r="S186">
        <v>0</v>
      </c>
      <c r="T186">
        <v>10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5</v>
      </c>
      <c r="AD186">
        <v>3</v>
      </c>
      <c r="AE186">
        <v>0</v>
      </c>
      <c r="AF186" t="s">
        <v>14</v>
      </c>
      <c r="AG186">
        <f>0.25*R186</f>
        <v>17.75</v>
      </c>
    </row>
    <row r="187" spans="1:33" x14ac:dyDescent="0.35">
      <c r="A187" t="s">
        <v>595</v>
      </c>
      <c r="B187" t="s">
        <v>737</v>
      </c>
      <c r="C187" s="2">
        <v>38579</v>
      </c>
      <c r="D187" t="s">
        <v>34</v>
      </c>
      <c r="E187" s="3">
        <v>0.49236111111111108</v>
      </c>
      <c r="F187" s="3">
        <v>0.50277777777777777</v>
      </c>
      <c r="G187">
        <v>20.399999999999999</v>
      </c>
      <c r="H187">
        <v>59</v>
      </c>
      <c r="I187">
        <v>2</v>
      </c>
      <c r="J187">
        <v>2</v>
      </c>
      <c r="K187">
        <v>10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71</v>
      </c>
      <c r="S187">
        <v>0</v>
      </c>
      <c r="T187">
        <v>10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5</v>
      </c>
      <c r="AD187">
        <v>3</v>
      </c>
      <c r="AE187">
        <v>0</v>
      </c>
      <c r="AF187" t="s">
        <v>16</v>
      </c>
      <c r="AG187">
        <f>0.08*T187</f>
        <v>0.8</v>
      </c>
    </row>
    <row r="188" spans="1:33" x14ac:dyDescent="0.35">
      <c r="A188" t="s">
        <v>595</v>
      </c>
      <c r="B188" t="s">
        <v>738</v>
      </c>
      <c r="C188" s="2">
        <v>38579</v>
      </c>
      <c r="D188" t="s">
        <v>33</v>
      </c>
      <c r="E188" s="3">
        <v>0.52013888888888882</v>
      </c>
      <c r="F188" s="3">
        <v>0.53055555555555556</v>
      </c>
      <c r="G188">
        <v>23.2</v>
      </c>
      <c r="H188">
        <v>54</v>
      </c>
      <c r="I188">
        <v>2</v>
      </c>
      <c r="J188">
        <v>2</v>
      </c>
      <c r="K188">
        <v>55</v>
      </c>
      <c r="L188">
        <v>0</v>
      </c>
      <c r="M188">
        <v>0</v>
      </c>
      <c r="N188">
        <v>0</v>
      </c>
      <c r="O188">
        <v>0</v>
      </c>
      <c r="P188">
        <v>35</v>
      </c>
      <c r="Q188">
        <v>0</v>
      </c>
      <c r="R188">
        <v>0</v>
      </c>
      <c r="S188">
        <v>0</v>
      </c>
      <c r="T188">
        <v>10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 t="s">
        <v>16</v>
      </c>
      <c r="AG188">
        <f>0.1*T188</f>
        <v>1</v>
      </c>
    </row>
    <row r="189" spans="1:33" x14ac:dyDescent="0.35">
      <c r="A189" t="s">
        <v>595</v>
      </c>
      <c r="B189" t="s">
        <v>739</v>
      </c>
      <c r="C189" s="2">
        <v>38579</v>
      </c>
      <c r="D189" t="s">
        <v>34</v>
      </c>
      <c r="E189" s="3">
        <v>0.53611111111111109</v>
      </c>
      <c r="F189" s="3">
        <v>0.54652777777777783</v>
      </c>
      <c r="G189">
        <v>21.1</v>
      </c>
      <c r="H189">
        <v>53</v>
      </c>
      <c r="I189">
        <v>2</v>
      </c>
      <c r="J189">
        <v>2</v>
      </c>
      <c r="K189">
        <v>20</v>
      </c>
      <c r="L189">
        <v>15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65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 t="s">
        <v>14</v>
      </c>
      <c r="AG189">
        <f>0.55*R189</f>
        <v>35.75</v>
      </c>
    </row>
    <row r="190" spans="1:33" x14ac:dyDescent="0.35">
      <c r="A190" t="s">
        <v>595</v>
      </c>
      <c r="B190" t="s">
        <v>740</v>
      </c>
      <c r="C190" s="2">
        <v>38579</v>
      </c>
      <c r="D190" t="s">
        <v>33</v>
      </c>
      <c r="E190" s="3">
        <v>0.55694444444444446</v>
      </c>
      <c r="F190" s="3">
        <v>0.56736111111111109</v>
      </c>
      <c r="G190">
        <v>24.2</v>
      </c>
      <c r="H190">
        <v>44</v>
      </c>
      <c r="I190">
        <v>2</v>
      </c>
      <c r="J190">
        <v>3</v>
      </c>
      <c r="K190">
        <v>0</v>
      </c>
      <c r="L190">
        <v>8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80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</v>
      </c>
      <c r="AB190">
        <v>0</v>
      </c>
      <c r="AC190">
        <v>0</v>
      </c>
      <c r="AD190">
        <v>5</v>
      </c>
      <c r="AE190">
        <v>5</v>
      </c>
      <c r="AF190" t="s">
        <v>14</v>
      </c>
      <c r="AG190">
        <f>0.75*R190</f>
        <v>60</v>
      </c>
    </row>
    <row r="191" spans="1:33" x14ac:dyDescent="0.35">
      <c r="A191" t="s">
        <v>595</v>
      </c>
      <c r="B191" t="s">
        <v>740</v>
      </c>
      <c r="C191" s="2">
        <v>38579</v>
      </c>
      <c r="D191" t="s">
        <v>33</v>
      </c>
      <c r="E191" s="3">
        <v>0.55694444444444446</v>
      </c>
      <c r="F191" s="3">
        <v>0.56736111111111109</v>
      </c>
      <c r="G191">
        <v>24.2</v>
      </c>
      <c r="H191">
        <v>44</v>
      </c>
      <c r="I191">
        <v>2</v>
      </c>
      <c r="J191">
        <v>3</v>
      </c>
      <c r="K191">
        <v>0</v>
      </c>
      <c r="L191">
        <v>8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80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0</v>
      </c>
      <c r="AC191">
        <v>0</v>
      </c>
      <c r="AD191">
        <v>5</v>
      </c>
      <c r="AE191">
        <v>5</v>
      </c>
      <c r="AF191" t="s">
        <v>21</v>
      </c>
      <c r="AG191">
        <f>0.1*AA191</f>
        <v>0.2</v>
      </c>
    </row>
    <row r="192" spans="1:33" x14ac:dyDescent="0.35">
      <c r="A192" t="s">
        <v>595</v>
      </c>
      <c r="B192" t="s">
        <v>741</v>
      </c>
      <c r="C192" s="2">
        <v>38579</v>
      </c>
      <c r="D192" t="s">
        <v>60</v>
      </c>
      <c r="E192" s="3">
        <v>0.59166666666666667</v>
      </c>
      <c r="F192" s="3">
        <v>0.6020833333333333</v>
      </c>
      <c r="G192">
        <v>22.7</v>
      </c>
      <c r="H192">
        <v>54</v>
      </c>
      <c r="I192">
        <v>2</v>
      </c>
      <c r="J192">
        <v>3</v>
      </c>
      <c r="K192">
        <v>10</v>
      </c>
      <c r="L192">
        <v>5</v>
      </c>
      <c r="M192">
        <v>0</v>
      </c>
      <c r="N192">
        <v>0</v>
      </c>
      <c r="O192">
        <v>20</v>
      </c>
      <c r="P192">
        <v>0</v>
      </c>
      <c r="Q192">
        <v>0</v>
      </c>
      <c r="R192">
        <v>55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5</v>
      </c>
      <c r="AD192">
        <v>5</v>
      </c>
      <c r="AE192">
        <v>0</v>
      </c>
      <c r="AF192" t="s">
        <v>14</v>
      </c>
      <c r="AG192">
        <f>0.6*R192</f>
        <v>33</v>
      </c>
    </row>
    <row r="193" spans="1:33" x14ac:dyDescent="0.35">
      <c r="A193" t="s">
        <v>595</v>
      </c>
      <c r="B193" t="s">
        <v>741</v>
      </c>
      <c r="C193" s="2">
        <v>38579</v>
      </c>
      <c r="D193" t="s">
        <v>60</v>
      </c>
      <c r="E193" s="3">
        <v>0.59166666666666667</v>
      </c>
      <c r="F193" s="3">
        <v>0.6020833333333333</v>
      </c>
      <c r="G193">
        <v>22.7</v>
      </c>
      <c r="H193">
        <v>54</v>
      </c>
      <c r="I193">
        <v>2</v>
      </c>
      <c r="J193">
        <v>3</v>
      </c>
      <c r="K193">
        <v>10</v>
      </c>
      <c r="L193">
        <v>5</v>
      </c>
      <c r="M193">
        <v>0</v>
      </c>
      <c r="N193">
        <v>0</v>
      </c>
      <c r="O193">
        <v>20</v>
      </c>
      <c r="P193">
        <v>0</v>
      </c>
      <c r="Q193">
        <v>0</v>
      </c>
      <c r="R193">
        <v>55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5</v>
      </c>
      <c r="AD193">
        <v>5</v>
      </c>
      <c r="AE193">
        <v>0</v>
      </c>
      <c r="AF193" t="s">
        <v>13</v>
      </c>
      <c r="AG193">
        <f>0.01*O193</f>
        <v>0.2</v>
      </c>
    </row>
    <row r="194" spans="1:33" x14ac:dyDescent="0.35">
      <c r="A194" t="s">
        <v>595</v>
      </c>
      <c r="B194" t="s">
        <v>742</v>
      </c>
      <c r="C194" s="2">
        <v>38579</v>
      </c>
      <c r="D194" t="s">
        <v>60</v>
      </c>
      <c r="E194" s="3">
        <v>0.61458333333333337</v>
      </c>
      <c r="F194" s="3">
        <v>0.625</v>
      </c>
      <c r="G194">
        <v>23.1</v>
      </c>
      <c r="H194">
        <v>51</v>
      </c>
      <c r="I194">
        <v>2</v>
      </c>
      <c r="J194">
        <v>3</v>
      </c>
      <c r="K194">
        <v>70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25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5</v>
      </c>
      <c r="AD194">
        <v>0</v>
      </c>
      <c r="AE194">
        <v>0</v>
      </c>
      <c r="AF194" t="s">
        <v>16</v>
      </c>
      <c r="AG194">
        <f>0.12*T194</f>
        <v>3</v>
      </c>
    </row>
    <row r="195" spans="1:33" x14ac:dyDescent="0.35">
      <c r="A195" t="s">
        <v>595</v>
      </c>
      <c r="B195" t="s">
        <v>743</v>
      </c>
      <c r="C195" s="2">
        <v>38581</v>
      </c>
      <c r="D195" t="s">
        <v>33</v>
      </c>
      <c r="E195" s="3">
        <v>0.625</v>
      </c>
      <c r="F195" s="3">
        <v>0.63541666666666663</v>
      </c>
      <c r="G195">
        <v>17.3</v>
      </c>
      <c r="H195">
        <v>74</v>
      </c>
      <c r="I195">
        <v>5</v>
      </c>
      <c r="J195">
        <v>2</v>
      </c>
      <c r="K195">
        <v>0</v>
      </c>
      <c r="L195">
        <v>8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80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2</v>
      </c>
      <c r="AB195">
        <v>0</v>
      </c>
      <c r="AC195">
        <v>0</v>
      </c>
      <c r="AD195">
        <v>5</v>
      </c>
      <c r="AE195">
        <v>5</v>
      </c>
      <c r="AF195" t="s">
        <v>14</v>
      </c>
      <c r="AG195">
        <f>0.8*R195</f>
        <v>64</v>
      </c>
    </row>
    <row r="196" spans="1:33" x14ac:dyDescent="0.35">
      <c r="A196" t="s">
        <v>595</v>
      </c>
      <c r="B196" t="s">
        <v>743</v>
      </c>
      <c r="C196" s="2">
        <v>38581</v>
      </c>
      <c r="D196" t="s">
        <v>33</v>
      </c>
      <c r="E196" s="3">
        <v>0.625</v>
      </c>
      <c r="F196" s="3">
        <v>0.63541666666666663</v>
      </c>
      <c r="G196">
        <v>17.3</v>
      </c>
      <c r="H196">
        <v>74</v>
      </c>
      <c r="I196">
        <v>5</v>
      </c>
      <c r="J196">
        <v>2</v>
      </c>
      <c r="K196">
        <v>0</v>
      </c>
      <c r="L196">
        <v>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80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2</v>
      </c>
      <c r="AB196">
        <v>0</v>
      </c>
      <c r="AC196">
        <v>0</v>
      </c>
      <c r="AD196">
        <v>5</v>
      </c>
      <c r="AE196">
        <v>5</v>
      </c>
      <c r="AF196" t="s">
        <v>21</v>
      </c>
      <c r="AG196">
        <f>0.35*AA196</f>
        <v>0.7</v>
      </c>
    </row>
    <row r="197" spans="1:33" x14ac:dyDescent="0.35">
      <c r="A197" t="s">
        <v>595</v>
      </c>
      <c r="B197" t="s">
        <v>744</v>
      </c>
      <c r="C197" s="2">
        <v>38583</v>
      </c>
      <c r="D197" t="s">
        <v>33</v>
      </c>
      <c r="E197" s="3">
        <v>0.44861111111111113</v>
      </c>
      <c r="F197" s="3">
        <v>0.45902777777777781</v>
      </c>
      <c r="G197">
        <v>24.4</v>
      </c>
      <c r="H197">
        <v>64</v>
      </c>
      <c r="I197">
        <v>1</v>
      </c>
      <c r="J197">
        <v>3</v>
      </c>
      <c r="K197">
        <v>37</v>
      </c>
      <c r="L197">
        <v>8</v>
      </c>
      <c r="M197">
        <v>0</v>
      </c>
      <c r="N197">
        <v>0</v>
      </c>
      <c r="O197">
        <v>0</v>
      </c>
      <c r="P197">
        <v>15</v>
      </c>
      <c r="Q197">
        <v>0</v>
      </c>
      <c r="R197">
        <v>40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14</v>
      </c>
      <c r="AG197">
        <f>0.5*R197</f>
        <v>20</v>
      </c>
    </row>
    <row r="198" spans="1:33" x14ac:dyDescent="0.35">
      <c r="A198" t="s">
        <v>595</v>
      </c>
      <c r="B198" t="s">
        <v>744</v>
      </c>
      <c r="C198" s="2">
        <v>38583</v>
      </c>
      <c r="D198" t="s">
        <v>33</v>
      </c>
      <c r="E198" s="3">
        <v>0.44861111111111113</v>
      </c>
      <c r="F198" s="3">
        <v>0.45902777777777781</v>
      </c>
      <c r="G198">
        <v>24.4</v>
      </c>
      <c r="H198">
        <v>64</v>
      </c>
      <c r="I198">
        <v>1</v>
      </c>
      <c r="J198">
        <v>3</v>
      </c>
      <c r="K198">
        <v>37</v>
      </c>
      <c r="L198">
        <v>8</v>
      </c>
      <c r="M198">
        <v>0</v>
      </c>
      <c r="N198">
        <v>0</v>
      </c>
      <c r="O198">
        <v>0</v>
      </c>
      <c r="P198">
        <v>15</v>
      </c>
      <c r="Q198">
        <v>0</v>
      </c>
      <c r="R198">
        <v>40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 t="s">
        <v>10</v>
      </c>
      <c r="AG198">
        <f>0.05*L198</f>
        <v>0.4</v>
      </c>
    </row>
    <row r="199" spans="1:33" x14ac:dyDescent="0.35">
      <c r="A199" t="s">
        <v>595</v>
      </c>
      <c r="B199" t="s">
        <v>745</v>
      </c>
      <c r="C199" s="2">
        <v>38583</v>
      </c>
      <c r="D199" t="s">
        <v>33</v>
      </c>
      <c r="E199" s="3">
        <v>0.44861111111111113</v>
      </c>
      <c r="F199" s="3">
        <v>0.45902777777777781</v>
      </c>
      <c r="G199">
        <v>24.4</v>
      </c>
      <c r="H199">
        <v>64</v>
      </c>
      <c r="I199">
        <v>1</v>
      </c>
      <c r="J199">
        <v>3</v>
      </c>
      <c r="K199">
        <v>43</v>
      </c>
      <c r="L199">
        <v>40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15</v>
      </c>
      <c r="AE199">
        <v>2</v>
      </c>
      <c r="AF199" t="s">
        <v>10</v>
      </c>
      <c r="AG199">
        <f>0.05*L199</f>
        <v>2</v>
      </c>
    </row>
    <row r="200" spans="1:33" x14ac:dyDescent="0.35">
      <c r="A200" t="s">
        <v>595</v>
      </c>
      <c r="B200" t="s">
        <v>746</v>
      </c>
      <c r="C200" s="2">
        <v>38583</v>
      </c>
      <c r="D200" t="s">
        <v>33</v>
      </c>
      <c r="E200" s="3">
        <v>0.47638888888888892</v>
      </c>
      <c r="F200" s="3">
        <v>0.48680555555555555</v>
      </c>
      <c r="G200">
        <v>24.6</v>
      </c>
      <c r="H200">
        <v>67</v>
      </c>
      <c r="I200">
        <v>1</v>
      </c>
      <c r="J200">
        <v>2</v>
      </c>
      <c r="K200">
        <v>15</v>
      </c>
      <c r="L200">
        <v>1</v>
      </c>
      <c r="M200">
        <v>1</v>
      </c>
      <c r="N200">
        <v>0</v>
      </c>
      <c r="O200">
        <v>0</v>
      </c>
      <c r="P200">
        <v>2</v>
      </c>
      <c r="Q200">
        <v>0</v>
      </c>
      <c r="R200">
        <v>68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3</v>
      </c>
      <c r="AD200">
        <v>10</v>
      </c>
      <c r="AE200">
        <v>0</v>
      </c>
      <c r="AF200" t="s">
        <v>14</v>
      </c>
      <c r="AG200">
        <f>0.7*R200</f>
        <v>47.599999999999994</v>
      </c>
    </row>
    <row r="201" spans="1:33" x14ac:dyDescent="0.35">
      <c r="A201" t="s">
        <v>595</v>
      </c>
      <c r="B201" t="s">
        <v>747</v>
      </c>
      <c r="C201" s="2">
        <v>38583</v>
      </c>
      <c r="D201">
        <v>0</v>
      </c>
      <c r="E201" s="3">
        <v>0.49583333333333335</v>
      </c>
      <c r="F201" s="3">
        <v>0.50624999999999998</v>
      </c>
      <c r="G201">
        <v>24.9</v>
      </c>
      <c r="H201">
        <v>53</v>
      </c>
      <c r="I201">
        <v>2</v>
      </c>
      <c r="J201">
        <v>3</v>
      </c>
      <c r="K201">
        <v>0</v>
      </c>
      <c r="L201">
        <v>0</v>
      </c>
      <c r="M201">
        <v>0</v>
      </c>
      <c r="N201">
        <v>30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25</v>
      </c>
      <c r="U201">
        <v>0</v>
      </c>
      <c r="V201">
        <v>0</v>
      </c>
      <c r="W201">
        <v>0</v>
      </c>
      <c r="X201">
        <v>0</v>
      </c>
      <c r="Y201">
        <v>5</v>
      </c>
      <c r="Z201">
        <v>0</v>
      </c>
      <c r="AA201">
        <v>0</v>
      </c>
      <c r="AB201">
        <v>0</v>
      </c>
      <c r="AC201">
        <v>40</v>
      </c>
      <c r="AD201">
        <v>0</v>
      </c>
      <c r="AE201">
        <v>0</v>
      </c>
      <c r="AF201" t="s">
        <v>16</v>
      </c>
      <c r="AG201">
        <f>0.1*T201</f>
        <v>2.5</v>
      </c>
    </row>
    <row r="202" spans="1:33" x14ac:dyDescent="0.35">
      <c r="A202" t="s">
        <v>595</v>
      </c>
      <c r="B202" t="s">
        <v>748</v>
      </c>
      <c r="C202" s="2">
        <v>38583</v>
      </c>
      <c r="D202" t="s">
        <v>34</v>
      </c>
      <c r="E202" s="3">
        <v>0.5131944444444444</v>
      </c>
      <c r="F202" s="3">
        <v>0.52361111111111114</v>
      </c>
      <c r="G202">
        <v>24.6</v>
      </c>
      <c r="H202">
        <v>60</v>
      </c>
      <c r="I202">
        <v>2</v>
      </c>
      <c r="J202">
        <v>3</v>
      </c>
      <c r="K202">
        <v>10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71</v>
      </c>
      <c r="S202">
        <v>0</v>
      </c>
      <c r="T202">
        <v>10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5</v>
      </c>
      <c r="AD202">
        <v>3</v>
      </c>
      <c r="AE202">
        <v>0</v>
      </c>
      <c r="AF202" t="s">
        <v>14</v>
      </c>
      <c r="AG202">
        <f>0.45*R202</f>
        <v>31.95</v>
      </c>
    </row>
    <row r="203" spans="1:33" x14ac:dyDescent="0.35">
      <c r="A203" t="s">
        <v>595</v>
      </c>
      <c r="B203" t="s">
        <v>748</v>
      </c>
      <c r="C203" s="2">
        <v>38583</v>
      </c>
      <c r="D203" t="s">
        <v>34</v>
      </c>
      <c r="E203" s="3">
        <v>0.5131944444444444</v>
      </c>
      <c r="F203" s="3">
        <v>0.52361111111111114</v>
      </c>
      <c r="G203">
        <v>24.6</v>
      </c>
      <c r="H203">
        <v>60</v>
      </c>
      <c r="I203">
        <v>2</v>
      </c>
      <c r="J203">
        <v>3</v>
      </c>
      <c r="K203">
        <v>10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71</v>
      </c>
      <c r="S203">
        <v>0</v>
      </c>
      <c r="T203">
        <v>10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5</v>
      </c>
      <c r="AD203">
        <v>3</v>
      </c>
      <c r="AE203">
        <v>0</v>
      </c>
      <c r="AF203" t="s">
        <v>16</v>
      </c>
      <c r="AG203">
        <f>0.05*T203</f>
        <v>0.5</v>
      </c>
    </row>
    <row r="204" spans="1:33" x14ac:dyDescent="0.35">
      <c r="A204" t="s">
        <v>595</v>
      </c>
      <c r="B204" t="s">
        <v>749</v>
      </c>
      <c r="C204" s="2">
        <v>38583</v>
      </c>
      <c r="D204" t="s">
        <v>33</v>
      </c>
      <c r="E204" s="3">
        <v>0.54097222222222219</v>
      </c>
      <c r="F204" s="3">
        <v>0.55138888888888882</v>
      </c>
      <c r="G204">
        <v>24.9</v>
      </c>
      <c r="H204">
        <v>51</v>
      </c>
      <c r="I204">
        <v>2</v>
      </c>
      <c r="J204">
        <v>3</v>
      </c>
      <c r="K204">
        <v>0</v>
      </c>
      <c r="L204">
        <v>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80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2</v>
      </c>
      <c r="AB204">
        <v>0</v>
      </c>
      <c r="AC204">
        <v>0</v>
      </c>
      <c r="AD204">
        <v>5</v>
      </c>
      <c r="AE204">
        <v>5</v>
      </c>
      <c r="AF204" t="s">
        <v>14</v>
      </c>
      <c r="AG204">
        <f>0.9*R204</f>
        <v>72</v>
      </c>
    </row>
    <row r="205" spans="1:33" x14ac:dyDescent="0.35">
      <c r="A205" t="s">
        <v>595</v>
      </c>
      <c r="B205" t="s">
        <v>749</v>
      </c>
      <c r="C205" s="2">
        <v>38583</v>
      </c>
      <c r="D205" t="s">
        <v>33</v>
      </c>
      <c r="E205" s="3">
        <v>0.54097222222222219</v>
      </c>
      <c r="F205" s="3">
        <v>0.55138888888888882</v>
      </c>
      <c r="G205">
        <v>24.9</v>
      </c>
      <c r="H205">
        <v>51</v>
      </c>
      <c r="I205">
        <v>2</v>
      </c>
      <c r="J205">
        <v>3</v>
      </c>
      <c r="K205">
        <v>0</v>
      </c>
      <c r="L205">
        <v>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80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</v>
      </c>
      <c r="AB205">
        <v>0</v>
      </c>
      <c r="AC205">
        <v>0</v>
      </c>
      <c r="AD205">
        <v>5</v>
      </c>
      <c r="AE205">
        <v>5</v>
      </c>
      <c r="AF205" t="s">
        <v>21</v>
      </c>
      <c r="AG205">
        <f>0.5*AA205</f>
        <v>1</v>
      </c>
    </row>
    <row r="206" spans="1:33" x14ac:dyDescent="0.35">
      <c r="A206" t="s">
        <v>595</v>
      </c>
      <c r="B206" t="s">
        <v>750</v>
      </c>
      <c r="C206" s="2">
        <v>38583</v>
      </c>
      <c r="D206" t="s">
        <v>33</v>
      </c>
      <c r="E206" s="3">
        <v>0.56458333333333333</v>
      </c>
      <c r="F206" s="3">
        <v>0.57499999999999996</v>
      </c>
      <c r="G206">
        <v>26.8</v>
      </c>
      <c r="H206">
        <v>50</v>
      </c>
      <c r="I206">
        <v>2</v>
      </c>
      <c r="J206">
        <v>3</v>
      </c>
      <c r="K206">
        <v>0</v>
      </c>
      <c r="L206">
        <v>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80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0</v>
      </c>
      <c r="AD206">
        <v>5</v>
      </c>
      <c r="AE206">
        <v>5</v>
      </c>
      <c r="AF206" t="s">
        <v>14</v>
      </c>
      <c r="AG206">
        <f>0.9*R206</f>
        <v>72</v>
      </c>
    </row>
    <row r="207" spans="1:33" x14ac:dyDescent="0.35">
      <c r="A207" t="s">
        <v>595</v>
      </c>
      <c r="B207" t="s">
        <v>750</v>
      </c>
      <c r="C207" s="2">
        <v>38583</v>
      </c>
      <c r="D207" t="s">
        <v>33</v>
      </c>
      <c r="E207" s="3">
        <v>0.56458333333333333</v>
      </c>
      <c r="F207" s="3">
        <v>0.57499999999999996</v>
      </c>
      <c r="G207">
        <v>26.8</v>
      </c>
      <c r="H207">
        <v>50</v>
      </c>
      <c r="I207">
        <v>2</v>
      </c>
      <c r="J207">
        <v>3</v>
      </c>
      <c r="K207">
        <v>0</v>
      </c>
      <c r="L207">
        <v>8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80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2</v>
      </c>
      <c r="AB207">
        <v>0</v>
      </c>
      <c r="AC207">
        <v>0</v>
      </c>
      <c r="AD207">
        <v>5</v>
      </c>
      <c r="AE207">
        <v>5</v>
      </c>
      <c r="AF207" t="s">
        <v>21</v>
      </c>
      <c r="AG207">
        <f>0.5*AA207</f>
        <v>1</v>
      </c>
    </row>
    <row r="208" spans="1:33" x14ac:dyDescent="0.35">
      <c r="A208" t="s">
        <v>595</v>
      </c>
      <c r="B208" t="s">
        <v>751</v>
      </c>
      <c r="C208" s="2">
        <v>38583</v>
      </c>
      <c r="D208" t="s">
        <v>33</v>
      </c>
      <c r="E208" s="3">
        <v>0.58263888888888882</v>
      </c>
      <c r="F208" s="3">
        <v>0.59305555555555556</v>
      </c>
      <c r="G208">
        <v>25.2</v>
      </c>
      <c r="H208">
        <v>54</v>
      </c>
      <c r="I208">
        <v>2</v>
      </c>
      <c r="J208">
        <v>3</v>
      </c>
      <c r="K208">
        <v>10</v>
      </c>
      <c r="L208">
        <v>17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10</v>
      </c>
      <c r="S208">
        <v>60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3</v>
      </c>
      <c r="AE208">
        <v>0</v>
      </c>
      <c r="AF208" t="s">
        <v>14</v>
      </c>
      <c r="AG208">
        <f>0.45*R208</f>
        <v>4.5</v>
      </c>
    </row>
    <row r="209" spans="1:33" x14ac:dyDescent="0.35">
      <c r="A209" t="s">
        <v>595</v>
      </c>
      <c r="B209" t="s">
        <v>751</v>
      </c>
      <c r="C209" s="2">
        <v>38583</v>
      </c>
      <c r="D209" t="s">
        <v>33</v>
      </c>
      <c r="E209" s="3">
        <v>0.58263888888888882</v>
      </c>
      <c r="F209" s="3">
        <v>0.59305555555555556</v>
      </c>
      <c r="G209">
        <v>25.2</v>
      </c>
      <c r="H209">
        <v>54</v>
      </c>
      <c r="I209">
        <v>2</v>
      </c>
      <c r="J209">
        <v>3</v>
      </c>
      <c r="K209">
        <v>10</v>
      </c>
      <c r="L209">
        <v>17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10</v>
      </c>
      <c r="S209">
        <v>60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3</v>
      </c>
      <c r="AE209">
        <v>0</v>
      </c>
      <c r="AF209" t="s">
        <v>15</v>
      </c>
      <c r="AG209">
        <f>0.02*S209</f>
        <v>1.2</v>
      </c>
    </row>
    <row r="210" spans="1:33" x14ac:dyDescent="0.35">
      <c r="A210" t="s">
        <v>595</v>
      </c>
      <c r="B210" t="s">
        <v>752</v>
      </c>
      <c r="C210" s="2">
        <v>38588</v>
      </c>
      <c r="D210" t="s">
        <v>33</v>
      </c>
      <c r="E210" s="3">
        <v>0.44930555555555557</v>
      </c>
      <c r="F210" s="3">
        <v>0.4597222222222222</v>
      </c>
      <c r="G210">
        <v>18.100000000000001</v>
      </c>
      <c r="H210">
        <v>60</v>
      </c>
      <c r="I210">
        <v>2</v>
      </c>
      <c r="J210">
        <v>2</v>
      </c>
      <c r="K210">
        <v>10</v>
      </c>
      <c r="L210">
        <v>17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10</v>
      </c>
      <c r="S210">
        <v>60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3</v>
      </c>
      <c r="AE210">
        <v>0</v>
      </c>
      <c r="AF210" t="s">
        <v>14</v>
      </c>
      <c r="AG210">
        <f>0.7*R210</f>
        <v>7</v>
      </c>
    </row>
    <row r="211" spans="1:33" x14ac:dyDescent="0.35">
      <c r="A211" t="s">
        <v>595</v>
      </c>
      <c r="B211" t="s">
        <v>752</v>
      </c>
      <c r="C211" s="2">
        <v>38588</v>
      </c>
      <c r="D211" t="s">
        <v>33</v>
      </c>
      <c r="E211" s="3">
        <v>0.44930555555555557</v>
      </c>
      <c r="F211" s="3">
        <v>0.4597222222222222</v>
      </c>
      <c r="G211">
        <v>18.100000000000001</v>
      </c>
      <c r="H211">
        <v>60</v>
      </c>
      <c r="I211">
        <v>2</v>
      </c>
      <c r="J211">
        <v>2</v>
      </c>
      <c r="K211">
        <v>10</v>
      </c>
      <c r="L211">
        <v>17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10</v>
      </c>
      <c r="S211">
        <v>60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3</v>
      </c>
      <c r="AE211">
        <v>0</v>
      </c>
      <c r="AF211" t="s">
        <v>15</v>
      </c>
      <c r="AG211">
        <f>0.01*S211</f>
        <v>0.6</v>
      </c>
    </row>
    <row r="212" spans="1:33" x14ac:dyDescent="0.35">
      <c r="A212" t="s">
        <v>595</v>
      </c>
      <c r="B212" t="s">
        <v>753</v>
      </c>
      <c r="C212" s="2">
        <v>38588</v>
      </c>
      <c r="D212" t="s">
        <v>33</v>
      </c>
      <c r="E212" s="3">
        <v>0.46388888888888885</v>
      </c>
      <c r="F212" s="3">
        <v>0.47430555555555554</v>
      </c>
      <c r="G212">
        <v>21.8</v>
      </c>
      <c r="H212">
        <v>52</v>
      </c>
      <c r="I212">
        <v>1</v>
      </c>
      <c r="J212">
        <v>2</v>
      </c>
      <c r="K212">
        <v>45</v>
      </c>
      <c r="L212">
        <v>40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15</v>
      </c>
      <c r="AE212">
        <v>0</v>
      </c>
      <c r="AF212" t="s">
        <v>10</v>
      </c>
      <c r="AG212">
        <f>0.15*L212</f>
        <v>6</v>
      </c>
    </row>
    <row r="213" spans="1:33" x14ac:dyDescent="0.35">
      <c r="A213" t="s">
        <v>595</v>
      </c>
      <c r="B213" t="s">
        <v>754</v>
      </c>
      <c r="C213" s="2">
        <v>38588</v>
      </c>
      <c r="D213" t="s">
        <v>33</v>
      </c>
      <c r="E213" s="3">
        <v>0.4826388888888889</v>
      </c>
      <c r="F213" s="3">
        <v>0.49305555555555558</v>
      </c>
      <c r="G213">
        <v>20.100000000000001</v>
      </c>
      <c r="H213">
        <v>49</v>
      </c>
      <c r="I213">
        <v>2</v>
      </c>
      <c r="J213">
        <v>2</v>
      </c>
      <c r="K213">
        <v>42</v>
      </c>
      <c r="L213">
        <v>6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50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F213" t="s">
        <v>14</v>
      </c>
      <c r="AG213">
        <f>0.85*R213</f>
        <v>42.5</v>
      </c>
    </row>
    <row r="214" spans="1:33" x14ac:dyDescent="0.35">
      <c r="A214" t="s">
        <v>595</v>
      </c>
      <c r="B214" t="s">
        <v>755</v>
      </c>
      <c r="C214" s="2">
        <v>38588</v>
      </c>
      <c r="D214">
        <v>0</v>
      </c>
      <c r="E214" s="3">
        <v>0.50069444444444444</v>
      </c>
      <c r="F214" s="3">
        <v>0.51111111111111118</v>
      </c>
      <c r="G214">
        <f>(24.3+19.5)/2</f>
        <v>21.9</v>
      </c>
      <c r="H214">
        <v>54</v>
      </c>
      <c r="I214">
        <v>2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15</v>
      </c>
      <c r="U214">
        <v>0</v>
      </c>
      <c r="V214">
        <v>0</v>
      </c>
      <c r="W214">
        <v>0</v>
      </c>
      <c r="X214">
        <v>0</v>
      </c>
      <c r="Y214">
        <v>5</v>
      </c>
      <c r="Z214">
        <v>0</v>
      </c>
      <c r="AA214">
        <v>0</v>
      </c>
      <c r="AB214">
        <v>0</v>
      </c>
      <c r="AC214">
        <v>80</v>
      </c>
      <c r="AD214">
        <v>0</v>
      </c>
      <c r="AE214">
        <v>0</v>
      </c>
      <c r="AF214" t="s">
        <v>16</v>
      </c>
      <c r="AG214">
        <f>0.08*T214</f>
        <v>1.2</v>
      </c>
    </row>
    <row r="215" spans="1:33" x14ac:dyDescent="0.35">
      <c r="A215" t="s">
        <v>595</v>
      </c>
      <c r="B215" t="s">
        <v>756</v>
      </c>
      <c r="C215" s="2">
        <v>38588</v>
      </c>
      <c r="D215" t="s">
        <v>34</v>
      </c>
      <c r="E215" s="3">
        <v>0.52777777777777779</v>
      </c>
      <c r="F215" s="3">
        <v>0.53819444444444442</v>
      </c>
      <c r="G215">
        <v>23.2</v>
      </c>
      <c r="H215">
        <v>50</v>
      </c>
      <c r="I215">
        <v>2</v>
      </c>
      <c r="J215">
        <v>2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30</v>
      </c>
      <c r="U215">
        <v>0</v>
      </c>
      <c r="V215">
        <v>0</v>
      </c>
      <c r="W215">
        <v>0</v>
      </c>
      <c r="X215">
        <v>0</v>
      </c>
      <c r="Y215">
        <v>5</v>
      </c>
      <c r="Z215">
        <v>0</v>
      </c>
      <c r="AA215">
        <v>0</v>
      </c>
      <c r="AB215">
        <v>0</v>
      </c>
      <c r="AC215">
        <v>60</v>
      </c>
      <c r="AD215">
        <v>0</v>
      </c>
      <c r="AE215">
        <v>0</v>
      </c>
      <c r="AF215" t="s">
        <v>16</v>
      </c>
      <c r="AG215">
        <f>0.1*T215</f>
        <v>3</v>
      </c>
    </row>
    <row r="216" spans="1:33" x14ac:dyDescent="0.35">
      <c r="A216" t="s">
        <v>595</v>
      </c>
      <c r="B216" t="s">
        <v>757</v>
      </c>
      <c r="C216" s="2">
        <v>38588</v>
      </c>
      <c r="D216" t="s">
        <v>33</v>
      </c>
      <c r="E216" s="3">
        <v>0.55555555555555558</v>
      </c>
      <c r="F216" s="3">
        <v>0.56597222222222221</v>
      </c>
      <c r="G216">
        <f>(21+25.1)/2</f>
        <v>23.05</v>
      </c>
      <c r="H216">
        <v>41</v>
      </c>
      <c r="I216">
        <v>2</v>
      </c>
      <c r="J216">
        <v>3</v>
      </c>
      <c r="K216">
        <v>0</v>
      </c>
      <c r="L216">
        <v>8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80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2</v>
      </c>
      <c r="AB216">
        <v>0</v>
      </c>
      <c r="AC216">
        <v>0</v>
      </c>
      <c r="AD216">
        <v>5</v>
      </c>
      <c r="AE216">
        <v>5</v>
      </c>
      <c r="AF216" t="s">
        <v>14</v>
      </c>
      <c r="AG216">
        <f>0.5*R216</f>
        <v>40</v>
      </c>
    </row>
    <row r="217" spans="1:33" x14ac:dyDescent="0.35">
      <c r="A217" t="s">
        <v>595</v>
      </c>
      <c r="B217" t="s">
        <v>757</v>
      </c>
      <c r="C217" s="2">
        <v>38588</v>
      </c>
      <c r="D217" t="s">
        <v>33</v>
      </c>
      <c r="E217" s="3">
        <v>0.55555555555555558</v>
      </c>
      <c r="F217" s="3">
        <v>0.56597222222222221</v>
      </c>
      <c r="G217">
        <f>(21+25.1)/2</f>
        <v>23.05</v>
      </c>
      <c r="H217">
        <v>41</v>
      </c>
      <c r="I217">
        <v>2</v>
      </c>
      <c r="J217">
        <v>3</v>
      </c>
      <c r="K217">
        <v>0</v>
      </c>
      <c r="L217">
        <v>8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80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0</v>
      </c>
      <c r="AD217">
        <v>5</v>
      </c>
      <c r="AE217">
        <v>5</v>
      </c>
      <c r="AF217" t="s">
        <v>21</v>
      </c>
      <c r="AG217">
        <f>0.65*AA217</f>
        <v>1.3</v>
      </c>
    </row>
    <row r="218" spans="1:33" x14ac:dyDescent="0.35">
      <c r="A218" t="s">
        <v>595</v>
      </c>
      <c r="B218" t="s">
        <v>758</v>
      </c>
      <c r="C218" s="2">
        <v>38588</v>
      </c>
      <c r="D218">
        <v>0</v>
      </c>
      <c r="E218" s="3">
        <v>0.58611111111111114</v>
      </c>
      <c r="F218" s="3">
        <v>0.59652777777777777</v>
      </c>
      <c r="G218">
        <v>19.7</v>
      </c>
      <c r="H218">
        <v>43</v>
      </c>
      <c r="I218">
        <v>3</v>
      </c>
      <c r="J218">
        <v>3</v>
      </c>
      <c r="K218">
        <v>25</v>
      </c>
      <c r="L218">
        <v>1</v>
      </c>
      <c r="M218">
        <v>0</v>
      </c>
      <c r="N218">
        <v>0</v>
      </c>
      <c r="O218">
        <v>0</v>
      </c>
      <c r="P218">
        <v>6</v>
      </c>
      <c r="Q218">
        <v>0</v>
      </c>
      <c r="R218">
        <v>34</v>
      </c>
      <c r="S218">
        <v>30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3</v>
      </c>
      <c r="AE218">
        <v>1</v>
      </c>
      <c r="AF218" t="s">
        <v>14</v>
      </c>
      <c r="AG218">
        <f>0.7*R218</f>
        <v>23.799999999999997</v>
      </c>
    </row>
    <row r="219" spans="1:33" x14ac:dyDescent="0.35">
      <c r="A219" t="s">
        <v>595</v>
      </c>
      <c r="B219" t="s">
        <v>758</v>
      </c>
      <c r="C219" s="2">
        <v>38588</v>
      </c>
      <c r="D219">
        <v>0</v>
      </c>
      <c r="E219" s="3">
        <v>0.58611111111111114</v>
      </c>
      <c r="F219" s="3">
        <v>0.59652777777777777</v>
      </c>
      <c r="G219">
        <v>19.7</v>
      </c>
      <c r="H219">
        <v>43</v>
      </c>
      <c r="I219">
        <v>3</v>
      </c>
      <c r="J219">
        <v>3</v>
      </c>
      <c r="K219">
        <v>25</v>
      </c>
      <c r="L219">
        <v>1</v>
      </c>
      <c r="M219">
        <v>0</v>
      </c>
      <c r="N219">
        <v>0</v>
      </c>
      <c r="O219">
        <v>0</v>
      </c>
      <c r="P219">
        <v>6</v>
      </c>
      <c r="Q219">
        <v>0</v>
      </c>
      <c r="R219">
        <v>34</v>
      </c>
      <c r="S219">
        <v>30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</v>
      </c>
      <c r="AE219">
        <v>1</v>
      </c>
      <c r="AF219" t="s">
        <v>15</v>
      </c>
      <c r="AG219">
        <f>0.03*S219</f>
        <v>0.89999999999999991</v>
      </c>
    </row>
    <row r="220" spans="1:33" x14ac:dyDescent="0.35">
      <c r="A220" t="s">
        <v>595</v>
      </c>
      <c r="B220" t="s">
        <v>759</v>
      </c>
      <c r="C220" s="2">
        <v>38588</v>
      </c>
      <c r="D220" t="s">
        <v>34</v>
      </c>
      <c r="E220" s="3">
        <v>0.60624999999999996</v>
      </c>
      <c r="F220" s="3">
        <v>0.6166666666666667</v>
      </c>
      <c r="G220">
        <v>20.5</v>
      </c>
      <c r="H220">
        <v>47</v>
      </c>
      <c r="I220">
        <v>3</v>
      </c>
      <c r="J220">
        <v>3</v>
      </c>
      <c r="K220">
        <v>10</v>
      </c>
      <c r="L220">
        <v>0</v>
      </c>
      <c r="M220">
        <v>0</v>
      </c>
      <c r="N220">
        <v>0</v>
      </c>
      <c r="O220">
        <v>40</v>
      </c>
      <c r="P220">
        <v>1</v>
      </c>
      <c r="Q220">
        <v>0</v>
      </c>
      <c r="R220">
        <v>44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2</v>
      </c>
      <c r="AE220">
        <v>0</v>
      </c>
      <c r="AF220" t="s">
        <v>14</v>
      </c>
      <c r="AG220">
        <f>0.6*R220</f>
        <v>26.4</v>
      </c>
    </row>
    <row r="221" spans="1:33" x14ac:dyDescent="0.35">
      <c r="A221" t="s">
        <v>595</v>
      </c>
      <c r="B221" t="s">
        <v>759</v>
      </c>
      <c r="C221" s="2">
        <v>38588</v>
      </c>
      <c r="D221" t="s">
        <v>34</v>
      </c>
      <c r="E221" s="3">
        <v>0.60624999999999996</v>
      </c>
      <c r="F221" s="3">
        <v>0.6166666666666667</v>
      </c>
      <c r="G221">
        <v>20.5</v>
      </c>
      <c r="H221">
        <v>47</v>
      </c>
      <c r="I221">
        <v>3</v>
      </c>
      <c r="J221">
        <v>3</v>
      </c>
      <c r="K221">
        <v>10</v>
      </c>
      <c r="L221">
        <v>0</v>
      </c>
      <c r="M221">
        <v>0</v>
      </c>
      <c r="N221">
        <v>0</v>
      </c>
      <c r="O221">
        <v>40</v>
      </c>
      <c r="P221">
        <v>1</v>
      </c>
      <c r="Q221">
        <v>0</v>
      </c>
      <c r="R221">
        <v>44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2</v>
      </c>
      <c r="AE221">
        <v>0</v>
      </c>
      <c r="AF221" t="s">
        <v>13</v>
      </c>
      <c r="AG221">
        <f>0.05*O221</f>
        <v>2</v>
      </c>
    </row>
    <row r="222" spans="1:33" x14ac:dyDescent="0.35">
      <c r="A222" t="s">
        <v>595</v>
      </c>
      <c r="B222" t="s">
        <v>760</v>
      </c>
      <c r="C222" s="2">
        <v>38588</v>
      </c>
      <c r="D222">
        <v>0</v>
      </c>
      <c r="E222" s="3">
        <v>0.62708333333333333</v>
      </c>
      <c r="F222" s="3">
        <v>0.63749999999999996</v>
      </c>
      <c r="G222">
        <f>(22+21.1)/2</f>
        <v>21.55</v>
      </c>
      <c r="H222">
        <f>(53+48)/2</f>
        <v>50.5</v>
      </c>
      <c r="I222">
        <v>3</v>
      </c>
      <c r="J222">
        <v>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40</v>
      </c>
      <c r="Q222">
        <v>0</v>
      </c>
      <c r="R222">
        <v>0</v>
      </c>
      <c r="S222">
        <v>0</v>
      </c>
      <c r="T222">
        <v>35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24</v>
      </c>
      <c r="AD222">
        <v>0</v>
      </c>
      <c r="AE222">
        <v>1</v>
      </c>
      <c r="AF222" t="s">
        <v>16</v>
      </c>
      <c r="AG222">
        <f>0.1*T222</f>
        <v>3.5</v>
      </c>
    </row>
    <row r="223" spans="1:33" x14ac:dyDescent="0.35">
      <c r="A223" t="s">
        <v>595</v>
      </c>
      <c r="B223" t="s">
        <v>761</v>
      </c>
      <c r="C223" s="2">
        <v>38588</v>
      </c>
      <c r="D223" t="s">
        <v>33</v>
      </c>
      <c r="E223" s="3">
        <v>0.64652777777777781</v>
      </c>
      <c r="F223" s="3">
        <v>0.65694444444444444</v>
      </c>
      <c r="G223">
        <v>20</v>
      </c>
      <c r="H223">
        <v>56</v>
      </c>
      <c r="I223">
        <v>3</v>
      </c>
      <c r="J223">
        <v>3</v>
      </c>
      <c r="K223">
        <v>45</v>
      </c>
      <c r="L223">
        <v>40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15</v>
      </c>
      <c r="AE223">
        <v>0</v>
      </c>
      <c r="AF223" t="s">
        <v>10</v>
      </c>
      <c r="AG223">
        <f>0.15*L223</f>
        <v>6</v>
      </c>
    </row>
    <row r="224" spans="1:33" x14ac:dyDescent="0.35">
      <c r="A224" t="s">
        <v>595</v>
      </c>
      <c r="B224" t="s">
        <v>762</v>
      </c>
      <c r="C224" s="2">
        <v>38594</v>
      </c>
      <c r="D224" t="s">
        <v>33</v>
      </c>
      <c r="E224" s="3">
        <v>0.49236111111111108</v>
      </c>
      <c r="F224" s="3">
        <v>0.50277777777777777</v>
      </c>
      <c r="G224">
        <v>20.7</v>
      </c>
      <c r="H224">
        <v>50</v>
      </c>
      <c r="I224">
        <v>1</v>
      </c>
      <c r="J224">
        <v>2</v>
      </c>
      <c r="K224">
        <v>35</v>
      </c>
      <c r="L224">
        <v>3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60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 t="s">
        <v>14</v>
      </c>
      <c r="AG224">
        <f>0.75*R224</f>
        <v>45</v>
      </c>
    </row>
    <row r="225" spans="1:33" x14ac:dyDescent="0.35">
      <c r="A225" t="s">
        <v>595</v>
      </c>
      <c r="B225" t="s">
        <v>763</v>
      </c>
      <c r="C225" s="2">
        <v>38594</v>
      </c>
      <c r="D225" t="s">
        <v>33</v>
      </c>
      <c r="E225" s="3">
        <v>0.50694444444444442</v>
      </c>
      <c r="F225" s="3">
        <v>0.51736111111111105</v>
      </c>
      <c r="G225">
        <v>20.6</v>
      </c>
      <c r="H225">
        <v>54</v>
      </c>
      <c r="I225">
        <v>1</v>
      </c>
      <c r="J225">
        <v>2</v>
      </c>
      <c r="K225">
        <v>84</v>
      </c>
      <c r="L225">
        <v>5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8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</v>
      </c>
      <c r="AE225">
        <v>1</v>
      </c>
      <c r="AF225" t="s">
        <v>14</v>
      </c>
      <c r="AG225">
        <f>0.65*R225</f>
        <v>5.2</v>
      </c>
    </row>
    <row r="226" spans="1:33" x14ac:dyDescent="0.35">
      <c r="A226" t="s">
        <v>595</v>
      </c>
      <c r="B226" t="s">
        <v>763</v>
      </c>
      <c r="C226" s="2">
        <v>38594</v>
      </c>
      <c r="D226" t="s">
        <v>33</v>
      </c>
      <c r="E226" s="3">
        <v>0.50694444444444442</v>
      </c>
      <c r="F226" s="3">
        <v>0.51736111111111105</v>
      </c>
      <c r="G226">
        <v>20.6</v>
      </c>
      <c r="H226">
        <v>54</v>
      </c>
      <c r="I226">
        <v>1</v>
      </c>
      <c r="J226">
        <v>2</v>
      </c>
      <c r="K226">
        <v>84</v>
      </c>
      <c r="L226">
        <v>5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8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1</v>
      </c>
      <c r="AF226" t="s">
        <v>10</v>
      </c>
      <c r="AG226">
        <f>0.1*L226</f>
        <v>0.5</v>
      </c>
    </row>
    <row r="227" spans="1:33" x14ac:dyDescent="0.35">
      <c r="A227" t="s">
        <v>595</v>
      </c>
      <c r="B227" t="s">
        <v>764</v>
      </c>
      <c r="C227" s="2">
        <v>38594</v>
      </c>
      <c r="D227" t="s">
        <v>33</v>
      </c>
      <c r="E227" s="3">
        <v>0.52083333333333337</v>
      </c>
      <c r="F227" s="3">
        <v>0.53125</v>
      </c>
      <c r="G227">
        <v>21.5</v>
      </c>
      <c r="H227">
        <v>50</v>
      </c>
      <c r="I227">
        <v>2</v>
      </c>
      <c r="J227">
        <v>2</v>
      </c>
      <c r="K227">
        <v>29</v>
      </c>
      <c r="L227">
        <v>45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25</v>
      </c>
      <c r="AE227">
        <v>0</v>
      </c>
      <c r="AF227" t="s">
        <v>10</v>
      </c>
      <c r="AG227">
        <f>0.1*L227</f>
        <v>4.5</v>
      </c>
    </row>
    <row r="228" spans="1:33" x14ac:dyDescent="0.35">
      <c r="A228" t="s">
        <v>595</v>
      </c>
      <c r="B228" t="s">
        <v>765</v>
      </c>
      <c r="C228" s="2">
        <v>38594</v>
      </c>
      <c r="D228">
        <v>0</v>
      </c>
      <c r="E228" s="3">
        <v>0.54097222222222219</v>
      </c>
      <c r="F228" s="3">
        <v>0.55138888888888882</v>
      </c>
      <c r="G228">
        <v>21.8</v>
      </c>
      <c r="H228">
        <v>49</v>
      </c>
      <c r="I228">
        <v>0</v>
      </c>
      <c r="J228">
        <v>2</v>
      </c>
      <c r="K228">
        <v>8</v>
      </c>
      <c r="L228">
        <v>1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55</v>
      </c>
      <c r="S228">
        <v>0</v>
      </c>
      <c r="T228">
        <v>6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28</v>
      </c>
      <c r="AD228">
        <v>0</v>
      </c>
      <c r="AE228">
        <v>0</v>
      </c>
      <c r="AF228" t="s">
        <v>14</v>
      </c>
      <c r="AG228">
        <f>0.5*R228</f>
        <v>27.5</v>
      </c>
    </row>
    <row r="229" spans="1:33" x14ac:dyDescent="0.35">
      <c r="A229" t="s">
        <v>595</v>
      </c>
      <c r="B229" t="s">
        <v>765</v>
      </c>
      <c r="C229" s="2">
        <v>39690</v>
      </c>
      <c r="D229">
        <v>0</v>
      </c>
      <c r="E229" s="3">
        <v>0.54097222222222219</v>
      </c>
      <c r="F229" s="3">
        <v>0.55138888888888882</v>
      </c>
      <c r="G229">
        <v>21.8</v>
      </c>
      <c r="H229">
        <v>49</v>
      </c>
      <c r="I229">
        <v>0</v>
      </c>
      <c r="J229">
        <v>2</v>
      </c>
      <c r="K229">
        <v>8</v>
      </c>
      <c r="L229">
        <v>1</v>
      </c>
      <c r="M229">
        <v>0</v>
      </c>
      <c r="N229">
        <v>0</v>
      </c>
      <c r="O229">
        <v>0</v>
      </c>
      <c r="P229">
        <v>2</v>
      </c>
      <c r="Q229">
        <v>0</v>
      </c>
      <c r="R229">
        <v>55</v>
      </c>
      <c r="S229">
        <v>0</v>
      </c>
      <c r="T229">
        <v>6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28</v>
      </c>
      <c r="AD229">
        <v>0</v>
      </c>
      <c r="AE229">
        <v>0</v>
      </c>
      <c r="AF229" t="s">
        <v>16</v>
      </c>
      <c r="AG229">
        <f>0.1*T229</f>
        <v>0.60000000000000009</v>
      </c>
    </row>
    <row r="230" spans="1:33" x14ac:dyDescent="0.35">
      <c r="A230" t="s">
        <v>595</v>
      </c>
      <c r="B230" t="s">
        <v>766</v>
      </c>
      <c r="C230" s="2">
        <v>38594</v>
      </c>
      <c r="D230">
        <v>0</v>
      </c>
      <c r="E230" s="3">
        <v>0.55763888888888891</v>
      </c>
      <c r="F230" s="3">
        <v>0.56805555555555554</v>
      </c>
      <c r="G230">
        <v>21.5</v>
      </c>
      <c r="H230">
        <v>50</v>
      </c>
      <c r="I230">
        <v>0</v>
      </c>
      <c r="J230">
        <v>1</v>
      </c>
      <c r="K230">
        <v>73</v>
      </c>
      <c r="L230">
        <v>0</v>
      </c>
      <c r="M230">
        <v>0</v>
      </c>
      <c r="N230">
        <v>0</v>
      </c>
      <c r="O230">
        <v>0</v>
      </c>
      <c r="P230">
        <v>4</v>
      </c>
      <c r="Q230">
        <v>0</v>
      </c>
      <c r="R230">
        <v>8</v>
      </c>
      <c r="S230">
        <v>0</v>
      </c>
      <c r="T230">
        <v>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10</v>
      </c>
      <c r="AD230">
        <v>0</v>
      </c>
      <c r="AE230">
        <v>0</v>
      </c>
      <c r="AF230" t="s">
        <v>14</v>
      </c>
      <c r="AG230">
        <f>0.25*R230</f>
        <v>2</v>
      </c>
    </row>
    <row r="231" spans="1:33" x14ac:dyDescent="0.35">
      <c r="A231" t="s">
        <v>595</v>
      </c>
      <c r="B231" t="s">
        <v>766</v>
      </c>
      <c r="C231" s="2">
        <v>39690</v>
      </c>
      <c r="D231">
        <v>0</v>
      </c>
      <c r="E231" s="3">
        <v>0.55763888888888891</v>
      </c>
      <c r="F231" s="3">
        <v>0.56805555555555554</v>
      </c>
      <c r="G231">
        <v>21.5</v>
      </c>
      <c r="H231">
        <v>50</v>
      </c>
      <c r="I231">
        <v>0</v>
      </c>
      <c r="J231">
        <v>1</v>
      </c>
      <c r="K231">
        <v>73</v>
      </c>
      <c r="L231">
        <v>0</v>
      </c>
      <c r="M231">
        <v>0</v>
      </c>
      <c r="N231">
        <v>0</v>
      </c>
      <c r="O231">
        <v>0</v>
      </c>
      <c r="P231">
        <v>4</v>
      </c>
      <c r="Q231">
        <v>0</v>
      </c>
      <c r="R231">
        <v>8</v>
      </c>
      <c r="S231">
        <v>0</v>
      </c>
      <c r="T231">
        <v>5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10</v>
      </c>
      <c r="AD231">
        <v>0</v>
      </c>
      <c r="AE231">
        <v>0</v>
      </c>
      <c r="AF231" t="s">
        <v>16</v>
      </c>
      <c r="AG231">
        <f>0.1*T231</f>
        <v>0.5</v>
      </c>
    </row>
    <row r="232" spans="1:33" x14ac:dyDescent="0.35">
      <c r="A232" t="s">
        <v>595</v>
      </c>
      <c r="B232" t="s">
        <v>767</v>
      </c>
      <c r="C232" s="2">
        <v>38594</v>
      </c>
      <c r="D232" t="s">
        <v>33</v>
      </c>
      <c r="E232" s="3">
        <v>0.58333333333333337</v>
      </c>
      <c r="F232" s="3">
        <v>0.59375</v>
      </c>
      <c r="G232">
        <f>(22.3+23.5)/2</f>
        <v>22.9</v>
      </c>
      <c r="H232">
        <v>45</v>
      </c>
      <c r="I232">
        <v>2</v>
      </c>
      <c r="J232">
        <v>3</v>
      </c>
      <c r="K232">
        <v>0</v>
      </c>
      <c r="L232">
        <v>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80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0</v>
      </c>
      <c r="AC232">
        <v>0</v>
      </c>
      <c r="AD232">
        <v>5</v>
      </c>
      <c r="AE232">
        <v>5</v>
      </c>
      <c r="AF232" t="s">
        <v>14</v>
      </c>
      <c r="AG232">
        <f>0.1*R232</f>
        <v>8</v>
      </c>
    </row>
    <row r="233" spans="1:33" x14ac:dyDescent="0.35">
      <c r="A233" t="s">
        <v>595</v>
      </c>
      <c r="B233" t="s">
        <v>767</v>
      </c>
      <c r="C233" s="2">
        <v>39690</v>
      </c>
      <c r="D233" t="s">
        <v>33</v>
      </c>
      <c r="E233" s="3">
        <v>0.58333333333333337</v>
      </c>
      <c r="F233" s="3">
        <v>0.59375</v>
      </c>
      <c r="G233">
        <f>(22.3+23.5)/2</f>
        <v>22.9</v>
      </c>
      <c r="H233">
        <v>45</v>
      </c>
      <c r="I233">
        <v>2</v>
      </c>
      <c r="J233">
        <v>3</v>
      </c>
      <c r="K233">
        <v>0</v>
      </c>
      <c r="L233">
        <v>8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80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2</v>
      </c>
      <c r="AB233">
        <v>0</v>
      </c>
      <c r="AC233">
        <v>0</v>
      </c>
      <c r="AD233">
        <v>5</v>
      </c>
      <c r="AE233">
        <v>5</v>
      </c>
      <c r="AF233" t="s">
        <v>21</v>
      </c>
      <c r="AG233">
        <f>0.7*AA233</f>
        <v>1.4</v>
      </c>
    </row>
    <row r="234" spans="1:33" x14ac:dyDescent="0.35">
      <c r="A234" t="s">
        <v>595</v>
      </c>
      <c r="B234" t="s">
        <v>768</v>
      </c>
      <c r="C234" s="2">
        <v>38594</v>
      </c>
      <c r="D234">
        <v>0</v>
      </c>
      <c r="E234" s="3">
        <v>0.6</v>
      </c>
      <c r="F234" s="3">
        <v>0.61041666666666672</v>
      </c>
      <c r="G234">
        <v>24.9</v>
      </c>
      <c r="H234">
        <v>45</v>
      </c>
      <c r="I234">
        <v>0</v>
      </c>
      <c r="J234">
        <v>2</v>
      </c>
      <c r="K234">
        <v>49</v>
      </c>
      <c r="L234">
        <v>1</v>
      </c>
      <c r="M234">
        <v>0</v>
      </c>
      <c r="N234">
        <v>0</v>
      </c>
      <c r="O234">
        <v>0</v>
      </c>
      <c r="P234">
        <v>7</v>
      </c>
      <c r="Q234">
        <v>0</v>
      </c>
      <c r="R234">
        <v>13</v>
      </c>
      <c r="S234">
        <v>30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 t="s">
        <v>14</v>
      </c>
      <c r="AG234">
        <f>0.4*R234</f>
        <v>5.2</v>
      </c>
    </row>
    <row r="235" spans="1:33" x14ac:dyDescent="0.35">
      <c r="A235" t="s">
        <v>595</v>
      </c>
      <c r="B235" t="s">
        <v>768</v>
      </c>
      <c r="C235" s="2">
        <v>39690</v>
      </c>
      <c r="D235">
        <v>0</v>
      </c>
      <c r="E235" s="3">
        <v>0.6</v>
      </c>
      <c r="F235" s="3">
        <v>0.61041666666666672</v>
      </c>
      <c r="G235">
        <v>24.9</v>
      </c>
      <c r="H235">
        <v>45</v>
      </c>
      <c r="I235">
        <v>0</v>
      </c>
      <c r="J235">
        <v>2</v>
      </c>
      <c r="K235">
        <v>49</v>
      </c>
      <c r="L235">
        <v>1</v>
      </c>
      <c r="M235">
        <v>0</v>
      </c>
      <c r="N235">
        <v>0</v>
      </c>
      <c r="O235">
        <v>0</v>
      </c>
      <c r="P235">
        <v>7</v>
      </c>
      <c r="Q235">
        <v>0</v>
      </c>
      <c r="R235">
        <v>13</v>
      </c>
      <c r="S235">
        <v>30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 t="s">
        <v>15</v>
      </c>
      <c r="AG235">
        <f>0.03*S235</f>
        <v>0.89999999999999991</v>
      </c>
    </row>
    <row r="236" spans="1:33" x14ac:dyDescent="0.35">
      <c r="A236" t="s">
        <v>595</v>
      </c>
      <c r="B236" t="s">
        <v>769</v>
      </c>
      <c r="C236" s="2">
        <v>38594</v>
      </c>
      <c r="D236" t="s">
        <v>33</v>
      </c>
      <c r="E236" s="3">
        <v>0.61875000000000002</v>
      </c>
      <c r="F236" s="3">
        <v>0.62916666666666665</v>
      </c>
      <c r="G236">
        <v>24.2</v>
      </c>
      <c r="H236">
        <v>38</v>
      </c>
      <c r="I236">
        <v>1</v>
      </c>
      <c r="J236">
        <v>2</v>
      </c>
      <c r="K236">
        <v>0</v>
      </c>
      <c r="L236"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80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</v>
      </c>
      <c r="AB236">
        <v>0</v>
      </c>
      <c r="AC236">
        <v>0</v>
      </c>
      <c r="AD236">
        <v>5</v>
      </c>
      <c r="AE236">
        <v>5</v>
      </c>
      <c r="AF236" t="s">
        <v>14</v>
      </c>
      <c r="AG236">
        <f>0.1*R236</f>
        <v>8</v>
      </c>
    </row>
    <row r="237" spans="1:33" x14ac:dyDescent="0.35">
      <c r="A237" t="s">
        <v>595</v>
      </c>
      <c r="B237" t="s">
        <v>769</v>
      </c>
      <c r="C237" s="2">
        <v>39690</v>
      </c>
      <c r="D237" t="s">
        <v>33</v>
      </c>
      <c r="E237" s="3">
        <v>0.61875000000000002</v>
      </c>
      <c r="F237" s="3">
        <v>0.62916666666666665</v>
      </c>
      <c r="G237">
        <v>24.2</v>
      </c>
      <c r="H237">
        <v>38</v>
      </c>
      <c r="I237">
        <v>1</v>
      </c>
      <c r="J237">
        <v>2</v>
      </c>
      <c r="K237">
        <v>0</v>
      </c>
      <c r="L237">
        <v>8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80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0</v>
      </c>
      <c r="AC237">
        <v>0</v>
      </c>
      <c r="AD237">
        <v>5</v>
      </c>
      <c r="AE237">
        <v>5</v>
      </c>
      <c r="AF237" t="s">
        <v>21</v>
      </c>
      <c r="AG237">
        <f>0.7*AA237</f>
        <v>1.4</v>
      </c>
    </row>
    <row r="238" spans="1:33" x14ac:dyDescent="0.35">
      <c r="A238" t="s">
        <v>595</v>
      </c>
      <c r="B238" t="s">
        <v>770</v>
      </c>
      <c r="C238" s="2">
        <v>38594</v>
      </c>
      <c r="D238" t="s">
        <v>33</v>
      </c>
      <c r="E238" s="3">
        <v>0.6333333333333333</v>
      </c>
      <c r="F238" s="3">
        <v>0.64375000000000004</v>
      </c>
      <c r="G238">
        <v>24.1</v>
      </c>
      <c r="H238">
        <v>44</v>
      </c>
      <c r="I238">
        <v>1</v>
      </c>
      <c r="J238">
        <v>3</v>
      </c>
      <c r="K238">
        <v>3</v>
      </c>
      <c r="L238">
        <v>30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60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2</v>
      </c>
      <c r="AD238">
        <v>5</v>
      </c>
      <c r="AE238">
        <v>0</v>
      </c>
      <c r="AF238" t="s">
        <v>14</v>
      </c>
      <c r="AG238">
        <f>0.8*R238</f>
        <v>48</v>
      </c>
    </row>
    <row r="239" spans="1:33" x14ac:dyDescent="0.35">
      <c r="A239" t="s">
        <v>595</v>
      </c>
      <c r="B239" t="s">
        <v>771</v>
      </c>
      <c r="C239" s="2">
        <v>39690</v>
      </c>
      <c r="D239">
        <v>0</v>
      </c>
      <c r="E239" s="3">
        <v>0.64930555555555558</v>
      </c>
      <c r="F239" s="3">
        <v>0.65972222222222221</v>
      </c>
      <c r="G239">
        <v>21.9</v>
      </c>
      <c r="H239">
        <v>44</v>
      </c>
      <c r="I239">
        <v>1</v>
      </c>
      <c r="J239">
        <v>2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25</v>
      </c>
      <c r="U239">
        <v>0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0</v>
      </c>
      <c r="AC239">
        <v>70</v>
      </c>
      <c r="AD239">
        <v>0</v>
      </c>
      <c r="AE239">
        <v>0</v>
      </c>
      <c r="AF239" t="s">
        <v>16</v>
      </c>
      <c r="AG239">
        <f>0.1*T239</f>
        <v>2.5</v>
      </c>
    </row>
    <row r="240" spans="1:33" x14ac:dyDescent="0.35">
      <c r="A240" t="s">
        <v>595</v>
      </c>
      <c r="B240" t="s">
        <v>772</v>
      </c>
      <c r="C240" s="2">
        <v>38596</v>
      </c>
      <c r="D240">
        <v>0</v>
      </c>
      <c r="E240" s="3">
        <v>0.49444444444444446</v>
      </c>
      <c r="F240" s="3">
        <v>0.50486111111111109</v>
      </c>
      <c r="G240">
        <v>24.7</v>
      </c>
      <c r="H240">
        <v>57</v>
      </c>
      <c r="I240">
        <v>0</v>
      </c>
      <c r="J240">
        <v>3</v>
      </c>
      <c r="K240">
        <v>0</v>
      </c>
      <c r="L240">
        <v>0</v>
      </c>
      <c r="M240">
        <v>0</v>
      </c>
      <c r="N240">
        <v>30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30</v>
      </c>
      <c r="U240">
        <v>0</v>
      </c>
      <c r="V240">
        <v>0</v>
      </c>
      <c r="W240">
        <v>0</v>
      </c>
      <c r="X240">
        <v>0</v>
      </c>
      <c r="Y240">
        <v>2</v>
      </c>
      <c r="Z240">
        <v>0</v>
      </c>
      <c r="AA240">
        <v>0</v>
      </c>
      <c r="AB240">
        <v>0</v>
      </c>
      <c r="AC240">
        <v>38</v>
      </c>
      <c r="AD240">
        <v>0</v>
      </c>
      <c r="AE240">
        <v>0</v>
      </c>
      <c r="AF240" t="s">
        <v>16</v>
      </c>
      <c r="AG240">
        <f>0.09*T240</f>
        <v>2.6999999999999997</v>
      </c>
    </row>
    <row r="241" spans="1:33" x14ac:dyDescent="0.35">
      <c r="A241" t="s">
        <v>595</v>
      </c>
      <c r="B241" t="s">
        <v>773</v>
      </c>
      <c r="C241" s="2">
        <v>38596</v>
      </c>
      <c r="D241" t="s">
        <v>33</v>
      </c>
      <c r="E241" s="3">
        <v>0.50902777777777775</v>
      </c>
      <c r="F241" s="3">
        <v>0.51944444444444449</v>
      </c>
      <c r="G241">
        <v>25.1</v>
      </c>
      <c r="H241">
        <v>52</v>
      </c>
      <c r="I241">
        <v>0</v>
      </c>
      <c r="J241">
        <v>3</v>
      </c>
      <c r="K241">
        <v>41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10</v>
      </c>
      <c r="AD241">
        <v>5</v>
      </c>
      <c r="AE241">
        <v>1</v>
      </c>
      <c r="AF241" t="s">
        <v>14</v>
      </c>
      <c r="AG241">
        <f>0.7*R241</f>
        <v>28</v>
      </c>
    </row>
    <row r="242" spans="1:33" x14ac:dyDescent="0.35">
      <c r="A242" t="s">
        <v>595</v>
      </c>
      <c r="B242" t="s">
        <v>773</v>
      </c>
      <c r="C242" s="2">
        <v>38596</v>
      </c>
      <c r="D242" t="s">
        <v>33</v>
      </c>
      <c r="E242" s="3">
        <v>0.50902777777777775</v>
      </c>
      <c r="F242" s="3">
        <v>0.51944444444444449</v>
      </c>
      <c r="G242">
        <v>25.1</v>
      </c>
      <c r="H242">
        <v>52</v>
      </c>
      <c r="I242">
        <v>0</v>
      </c>
      <c r="J242">
        <v>3</v>
      </c>
      <c r="K242">
        <v>41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2</v>
      </c>
      <c r="AB242">
        <v>0</v>
      </c>
      <c r="AC242">
        <v>10</v>
      </c>
      <c r="AD242">
        <v>5</v>
      </c>
      <c r="AE242">
        <v>1</v>
      </c>
      <c r="AF242" t="s">
        <v>21</v>
      </c>
      <c r="AG242">
        <f>0.6*AA242</f>
        <v>1.2</v>
      </c>
    </row>
    <row r="243" spans="1:33" x14ac:dyDescent="0.35">
      <c r="A243" t="s">
        <v>595</v>
      </c>
      <c r="B243" t="s">
        <v>774</v>
      </c>
      <c r="C243" s="2">
        <v>38596</v>
      </c>
      <c r="D243" t="s">
        <v>33</v>
      </c>
      <c r="E243" s="3">
        <v>0.52638888888888891</v>
      </c>
      <c r="F243" s="3">
        <v>0.53680555555555554</v>
      </c>
      <c r="G243">
        <v>25.4</v>
      </c>
      <c r="H243">
        <v>62</v>
      </c>
      <c r="I243">
        <v>0</v>
      </c>
      <c r="J243">
        <v>3</v>
      </c>
      <c r="K243">
        <v>0</v>
      </c>
      <c r="L243">
        <v>8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80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0</v>
      </c>
      <c r="AC243">
        <v>0</v>
      </c>
      <c r="AD243">
        <v>5</v>
      </c>
      <c r="AE243">
        <v>5</v>
      </c>
      <c r="AF243" t="s">
        <v>14</v>
      </c>
      <c r="AG243">
        <f>0.1*R243</f>
        <v>8</v>
      </c>
    </row>
    <row r="244" spans="1:33" x14ac:dyDescent="0.35">
      <c r="A244" t="s">
        <v>595</v>
      </c>
      <c r="B244" t="s">
        <v>774</v>
      </c>
      <c r="C244" s="2">
        <v>38596</v>
      </c>
      <c r="D244" t="s">
        <v>33</v>
      </c>
      <c r="E244" s="3">
        <v>0.52638888888888891</v>
      </c>
      <c r="F244" s="3">
        <v>0.53680555555555554</v>
      </c>
      <c r="G244">
        <v>25.4</v>
      </c>
      <c r="H244">
        <v>62</v>
      </c>
      <c r="I244">
        <v>0</v>
      </c>
      <c r="J244">
        <v>3</v>
      </c>
      <c r="K244">
        <v>0</v>
      </c>
      <c r="L244">
        <v>8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80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2</v>
      </c>
      <c r="AB244">
        <v>0</v>
      </c>
      <c r="AC244">
        <v>0</v>
      </c>
      <c r="AD244">
        <v>5</v>
      </c>
      <c r="AE244">
        <v>5</v>
      </c>
      <c r="AF244" t="s">
        <v>21</v>
      </c>
      <c r="AG244">
        <f>0.7*AA244</f>
        <v>1.4</v>
      </c>
    </row>
    <row r="245" spans="1:33" x14ac:dyDescent="0.35">
      <c r="A245" t="s">
        <v>595</v>
      </c>
      <c r="B245" t="s">
        <v>775</v>
      </c>
      <c r="C245" s="2">
        <v>38596</v>
      </c>
      <c r="D245">
        <v>0</v>
      </c>
      <c r="E245" s="3">
        <v>0.55486111111111114</v>
      </c>
      <c r="F245" s="3">
        <v>0.56527777777777777</v>
      </c>
      <c r="G245">
        <v>24.6</v>
      </c>
      <c r="H245">
        <v>55</v>
      </c>
      <c r="I245">
        <v>0</v>
      </c>
      <c r="J245">
        <v>3</v>
      </c>
      <c r="K245">
        <v>50</v>
      </c>
      <c r="L245">
        <v>1</v>
      </c>
      <c r="M245">
        <v>0</v>
      </c>
      <c r="N245">
        <v>0</v>
      </c>
      <c r="O245">
        <v>0</v>
      </c>
      <c r="P245">
        <v>9</v>
      </c>
      <c r="Q245">
        <v>0</v>
      </c>
      <c r="R245">
        <v>10</v>
      </c>
      <c r="S245">
        <v>30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 t="s">
        <v>14</v>
      </c>
      <c r="AG245">
        <f>0.4*R245</f>
        <v>4</v>
      </c>
    </row>
    <row r="246" spans="1:33" x14ac:dyDescent="0.35">
      <c r="A246" t="s">
        <v>595</v>
      </c>
      <c r="B246" t="s">
        <v>775</v>
      </c>
      <c r="C246" s="2">
        <v>38596</v>
      </c>
      <c r="D246">
        <v>0</v>
      </c>
      <c r="E246" s="3">
        <v>0.55486111111111114</v>
      </c>
      <c r="F246" s="3">
        <v>0.56527777777777777</v>
      </c>
      <c r="G246">
        <v>24.6</v>
      </c>
      <c r="H246">
        <v>55</v>
      </c>
      <c r="I246">
        <v>0</v>
      </c>
      <c r="J246">
        <v>3</v>
      </c>
      <c r="K246">
        <v>50</v>
      </c>
      <c r="L246">
        <v>1</v>
      </c>
      <c r="M246">
        <v>0</v>
      </c>
      <c r="N246">
        <v>0</v>
      </c>
      <c r="O246">
        <v>0</v>
      </c>
      <c r="P246">
        <v>9</v>
      </c>
      <c r="Q246">
        <v>0</v>
      </c>
      <c r="R246">
        <v>10</v>
      </c>
      <c r="S246">
        <v>30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 t="s">
        <v>15</v>
      </c>
      <c r="AG246">
        <f>0.03*S246</f>
        <v>0.89999999999999991</v>
      </c>
    </row>
    <row r="247" spans="1:33" x14ac:dyDescent="0.35">
      <c r="A247" t="s">
        <v>595</v>
      </c>
      <c r="B247" t="s">
        <v>776</v>
      </c>
      <c r="C247" s="2">
        <v>38596</v>
      </c>
      <c r="D247" t="s">
        <v>49</v>
      </c>
      <c r="E247" s="3">
        <v>0.5708333333333333</v>
      </c>
      <c r="F247" s="3">
        <v>0.58125000000000004</v>
      </c>
      <c r="G247">
        <v>25.4</v>
      </c>
      <c r="H247">
        <v>52</v>
      </c>
      <c r="I247">
        <v>0</v>
      </c>
      <c r="J247">
        <v>3</v>
      </c>
      <c r="K247">
        <v>65</v>
      </c>
      <c r="L247">
        <v>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20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3</v>
      </c>
      <c r="AE247">
        <v>5</v>
      </c>
      <c r="AF247" t="s">
        <v>14</v>
      </c>
      <c r="AG247">
        <f>0.4*R247</f>
        <v>8</v>
      </c>
    </row>
    <row r="248" spans="1:33" x14ac:dyDescent="0.35">
      <c r="A248" t="s">
        <v>595</v>
      </c>
      <c r="B248" t="s">
        <v>776</v>
      </c>
      <c r="C248" s="2">
        <v>38596</v>
      </c>
      <c r="D248" t="s">
        <v>49</v>
      </c>
      <c r="E248" s="3">
        <v>0.5708333333333333</v>
      </c>
      <c r="F248" s="3">
        <v>0.58125000000000004</v>
      </c>
      <c r="G248">
        <v>25.4</v>
      </c>
      <c r="H248">
        <v>52</v>
      </c>
      <c r="I248">
        <v>0</v>
      </c>
      <c r="J248">
        <v>3</v>
      </c>
      <c r="K248">
        <v>65</v>
      </c>
      <c r="L248">
        <v>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20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5</v>
      </c>
      <c r="AF248" t="s">
        <v>10</v>
      </c>
      <c r="AG248">
        <f>0.05*L248</f>
        <v>0.35000000000000003</v>
      </c>
    </row>
    <row r="249" spans="1:33" x14ac:dyDescent="0.35">
      <c r="A249" t="s">
        <v>595</v>
      </c>
      <c r="B249" t="s">
        <v>777</v>
      </c>
      <c r="C249" s="2">
        <v>38596</v>
      </c>
      <c r="D249" t="s">
        <v>45</v>
      </c>
      <c r="E249" s="3">
        <v>0.59583333333333333</v>
      </c>
      <c r="F249" s="3">
        <v>0.60624999999999996</v>
      </c>
      <c r="G249">
        <v>25.9</v>
      </c>
      <c r="H249">
        <v>53</v>
      </c>
      <c r="I249">
        <v>0</v>
      </c>
      <c r="J249">
        <v>3</v>
      </c>
      <c r="K249">
        <v>10</v>
      </c>
      <c r="L249">
        <v>0</v>
      </c>
      <c r="M249">
        <v>0</v>
      </c>
      <c r="N249">
        <v>0</v>
      </c>
      <c r="O249">
        <v>35</v>
      </c>
      <c r="P249">
        <v>2</v>
      </c>
      <c r="Q249">
        <v>0</v>
      </c>
      <c r="R249">
        <v>48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5</v>
      </c>
      <c r="AD249">
        <v>0</v>
      </c>
      <c r="AE249">
        <v>0</v>
      </c>
      <c r="AF249" t="s">
        <v>14</v>
      </c>
      <c r="AG249">
        <f>0.45*R249</f>
        <v>21.6</v>
      </c>
    </row>
    <row r="250" spans="1:33" x14ac:dyDescent="0.35">
      <c r="A250" t="s">
        <v>595</v>
      </c>
      <c r="B250" t="s">
        <v>777</v>
      </c>
      <c r="C250" s="2">
        <v>38596</v>
      </c>
      <c r="D250" t="s">
        <v>45</v>
      </c>
      <c r="E250" s="3">
        <v>0.59583333333333333</v>
      </c>
      <c r="F250" s="3">
        <v>0.60624999999999996</v>
      </c>
      <c r="G250">
        <v>25.9</v>
      </c>
      <c r="H250">
        <v>53</v>
      </c>
      <c r="I250">
        <v>0</v>
      </c>
      <c r="J250">
        <v>3</v>
      </c>
      <c r="K250">
        <v>10</v>
      </c>
      <c r="L250">
        <v>0</v>
      </c>
      <c r="M250">
        <v>0</v>
      </c>
      <c r="N250">
        <v>0</v>
      </c>
      <c r="O250">
        <v>35</v>
      </c>
      <c r="P250">
        <v>2</v>
      </c>
      <c r="Q250">
        <v>0</v>
      </c>
      <c r="R250">
        <v>48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5</v>
      </c>
      <c r="AD250">
        <v>0</v>
      </c>
      <c r="AE250">
        <v>0</v>
      </c>
      <c r="AF250" t="s">
        <v>13</v>
      </c>
      <c r="AG250">
        <f>0.02*O250</f>
        <v>0.70000000000000007</v>
      </c>
    </row>
    <row r="251" spans="1:33" x14ac:dyDescent="0.35">
      <c r="A251" t="s">
        <v>595</v>
      </c>
      <c r="B251" t="s">
        <v>778</v>
      </c>
      <c r="C251" s="2">
        <v>38596</v>
      </c>
      <c r="D251">
        <v>0</v>
      </c>
      <c r="E251" s="3">
        <v>0.61805555555555558</v>
      </c>
      <c r="F251" s="3">
        <v>0.62847222222222221</v>
      </c>
      <c r="G251">
        <v>24.5</v>
      </c>
      <c r="H251">
        <v>50</v>
      </c>
      <c r="I251">
        <v>0</v>
      </c>
      <c r="J251">
        <v>3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87</v>
      </c>
      <c r="AD251">
        <v>0</v>
      </c>
      <c r="AE251">
        <v>0</v>
      </c>
      <c r="AF251" t="s">
        <v>16</v>
      </c>
      <c r="AG251">
        <f>0.1*T251</f>
        <v>1.3</v>
      </c>
    </row>
    <row r="252" spans="1:33" x14ac:dyDescent="0.35">
      <c r="A252" t="s">
        <v>595</v>
      </c>
      <c r="B252" t="s">
        <v>779</v>
      </c>
      <c r="C252" s="2">
        <v>38596</v>
      </c>
      <c r="D252" t="s">
        <v>33</v>
      </c>
      <c r="E252" s="3">
        <v>0.63611111111111118</v>
      </c>
      <c r="F252" s="3">
        <v>0.64652777777777781</v>
      </c>
      <c r="G252">
        <v>24.3</v>
      </c>
      <c r="H252">
        <v>56</v>
      </c>
      <c r="I252">
        <v>0</v>
      </c>
      <c r="J252">
        <v>3</v>
      </c>
      <c r="K252">
        <v>8</v>
      </c>
      <c r="L252">
        <v>40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25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27</v>
      </c>
      <c r="AE252">
        <v>0</v>
      </c>
      <c r="AF252" t="s">
        <v>14</v>
      </c>
      <c r="AG252">
        <f>0.45*R252</f>
        <v>11.25</v>
      </c>
    </row>
    <row r="253" spans="1:33" x14ac:dyDescent="0.35">
      <c r="A253" t="s">
        <v>595</v>
      </c>
      <c r="B253" t="s">
        <v>779</v>
      </c>
      <c r="C253" s="2">
        <v>38596</v>
      </c>
      <c r="D253" t="s">
        <v>33</v>
      </c>
      <c r="E253" s="3">
        <v>0.63611111111111118</v>
      </c>
      <c r="F253" s="3">
        <v>0.64652777777777781</v>
      </c>
      <c r="G253">
        <v>24.3</v>
      </c>
      <c r="H253">
        <v>56</v>
      </c>
      <c r="I253">
        <v>0</v>
      </c>
      <c r="J253">
        <v>3</v>
      </c>
      <c r="K253">
        <v>8</v>
      </c>
      <c r="L253">
        <v>40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25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27</v>
      </c>
      <c r="AE253">
        <v>0</v>
      </c>
      <c r="AF253" t="s">
        <v>10</v>
      </c>
      <c r="AG253">
        <f>0.05*L253</f>
        <v>2</v>
      </c>
    </row>
    <row r="254" spans="1:33" x14ac:dyDescent="0.35">
      <c r="A254" t="s">
        <v>595</v>
      </c>
      <c r="B254" t="s">
        <v>780</v>
      </c>
      <c r="C254" s="2">
        <v>38601</v>
      </c>
      <c r="D254" t="s">
        <v>33</v>
      </c>
      <c r="E254" s="3">
        <v>0.47569444444444442</v>
      </c>
      <c r="F254" s="3">
        <v>0.4861111111111111</v>
      </c>
      <c r="G254">
        <v>25.4</v>
      </c>
      <c r="H254">
        <v>61</v>
      </c>
      <c r="I254">
        <v>0</v>
      </c>
      <c r="J254">
        <v>2</v>
      </c>
      <c r="K254">
        <v>91</v>
      </c>
      <c r="L254">
        <v>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</v>
      </c>
      <c r="AF254" t="s">
        <v>10</v>
      </c>
      <c r="AG254">
        <f>0.3*L254</f>
        <v>2.4</v>
      </c>
    </row>
    <row r="255" spans="1:33" x14ac:dyDescent="0.35">
      <c r="A255" t="s">
        <v>595</v>
      </c>
      <c r="B255" t="s">
        <v>781</v>
      </c>
      <c r="C255" s="2">
        <v>38601</v>
      </c>
      <c r="D255" t="s">
        <v>33</v>
      </c>
      <c r="E255" s="3">
        <v>0.49027777777777781</v>
      </c>
      <c r="F255" s="3">
        <v>0.50069444444444444</v>
      </c>
      <c r="G255">
        <v>25.9</v>
      </c>
      <c r="H255">
        <v>55</v>
      </c>
      <c r="I255">
        <v>0</v>
      </c>
      <c r="J255">
        <v>2</v>
      </c>
      <c r="K255">
        <v>60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9</v>
      </c>
      <c r="S255">
        <v>30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 t="s">
        <v>14</v>
      </c>
      <c r="AG255">
        <f>0.05*R255</f>
        <v>0.45</v>
      </c>
    </row>
    <row r="256" spans="1:33" x14ac:dyDescent="0.35">
      <c r="A256" t="s">
        <v>595</v>
      </c>
      <c r="B256" t="s">
        <v>781</v>
      </c>
      <c r="C256" s="2">
        <v>38601</v>
      </c>
      <c r="D256" t="s">
        <v>33</v>
      </c>
      <c r="E256" s="3">
        <v>0.49027777777777781</v>
      </c>
      <c r="F256" s="3">
        <v>0.50069444444444444</v>
      </c>
      <c r="G256">
        <v>25.9</v>
      </c>
      <c r="H256">
        <v>55</v>
      </c>
      <c r="I256">
        <v>0</v>
      </c>
      <c r="J256">
        <v>2</v>
      </c>
      <c r="K256">
        <v>60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9</v>
      </c>
      <c r="S256">
        <v>30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t="s">
        <v>15</v>
      </c>
      <c r="AG256">
        <f>0.03*S256</f>
        <v>0.89999999999999991</v>
      </c>
    </row>
    <row r="257" spans="1:33" x14ac:dyDescent="0.35">
      <c r="A257" t="s">
        <v>595</v>
      </c>
      <c r="B257" t="s">
        <v>782</v>
      </c>
      <c r="C257" s="2">
        <v>38601</v>
      </c>
      <c r="D257" t="s">
        <v>33</v>
      </c>
      <c r="E257" s="3">
        <v>0.50347222222222221</v>
      </c>
      <c r="F257" s="3">
        <v>0.51388888888888895</v>
      </c>
      <c r="G257">
        <v>25.5</v>
      </c>
      <c r="H257">
        <v>44</v>
      </c>
      <c r="I257">
        <v>0</v>
      </c>
      <c r="J257">
        <v>3</v>
      </c>
      <c r="K257">
        <v>45</v>
      </c>
      <c r="L257">
        <v>30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15</v>
      </c>
      <c r="AE257">
        <v>0</v>
      </c>
      <c r="AF257" t="s">
        <v>14</v>
      </c>
      <c r="AG257">
        <f>0.5*R257</f>
        <v>5</v>
      </c>
    </row>
    <row r="258" spans="1:33" x14ac:dyDescent="0.35">
      <c r="A258" t="s">
        <v>595</v>
      </c>
      <c r="B258" t="s">
        <v>782</v>
      </c>
      <c r="C258" s="2">
        <v>38601</v>
      </c>
      <c r="D258" t="s">
        <v>33</v>
      </c>
      <c r="E258" s="3">
        <v>0.50347222222222221</v>
      </c>
      <c r="F258" s="3">
        <v>0.51388888888888895</v>
      </c>
      <c r="G258">
        <v>25.5</v>
      </c>
      <c r="H258">
        <v>44</v>
      </c>
      <c r="I258">
        <v>0</v>
      </c>
      <c r="J258">
        <v>3</v>
      </c>
      <c r="K258">
        <v>45</v>
      </c>
      <c r="L258">
        <v>30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15</v>
      </c>
      <c r="AE258">
        <v>0</v>
      </c>
      <c r="AF258" t="s">
        <v>10</v>
      </c>
      <c r="AG258">
        <f>0.15*L258</f>
        <v>4.5</v>
      </c>
    </row>
    <row r="259" spans="1:33" x14ac:dyDescent="0.35">
      <c r="A259" t="s">
        <v>595</v>
      </c>
      <c r="B259" t="s">
        <v>783</v>
      </c>
      <c r="C259" s="2">
        <v>38601</v>
      </c>
      <c r="D259" t="s">
        <v>33</v>
      </c>
      <c r="E259" s="3">
        <v>0.5180555555555556</v>
      </c>
      <c r="F259" s="3">
        <v>0.52847222222222223</v>
      </c>
      <c r="G259">
        <v>26.6</v>
      </c>
      <c r="H259">
        <v>52</v>
      </c>
      <c r="I259">
        <v>0</v>
      </c>
      <c r="J259">
        <v>3</v>
      </c>
      <c r="K259">
        <v>5</v>
      </c>
      <c r="L259">
        <v>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90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</v>
      </c>
      <c r="AE259">
        <v>0</v>
      </c>
      <c r="AF259" t="s">
        <v>14</v>
      </c>
      <c r="AG259">
        <f>0.8*R259</f>
        <v>72</v>
      </c>
    </row>
    <row r="260" spans="1:33" x14ac:dyDescent="0.35">
      <c r="A260" t="s">
        <v>595</v>
      </c>
      <c r="B260" t="s">
        <v>784</v>
      </c>
      <c r="C260" s="2">
        <v>38601</v>
      </c>
      <c r="D260">
        <v>0</v>
      </c>
      <c r="E260" s="3">
        <v>0.53194444444444444</v>
      </c>
      <c r="F260" s="3">
        <v>0.54236111111111118</v>
      </c>
      <c r="G260">
        <v>25</v>
      </c>
      <c r="H260">
        <v>43</v>
      </c>
      <c r="I260">
        <v>0</v>
      </c>
      <c r="J260">
        <v>3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80</v>
      </c>
      <c r="S260">
        <v>0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15</v>
      </c>
      <c r="AD260">
        <v>0</v>
      </c>
      <c r="AE260">
        <v>0</v>
      </c>
      <c r="AF260" t="s">
        <v>14</v>
      </c>
      <c r="AG260">
        <f>0.35*R260</f>
        <v>28</v>
      </c>
    </row>
    <row r="261" spans="1:33" x14ac:dyDescent="0.35">
      <c r="A261" t="s">
        <v>595</v>
      </c>
      <c r="B261" t="s">
        <v>784</v>
      </c>
      <c r="C261" s="2">
        <v>38601</v>
      </c>
      <c r="D261">
        <v>0</v>
      </c>
      <c r="E261" s="3">
        <v>0.53194444444444444</v>
      </c>
      <c r="F261" s="3">
        <v>0.54236111111111118</v>
      </c>
      <c r="G261">
        <v>25</v>
      </c>
      <c r="H261">
        <v>43</v>
      </c>
      <c r="I261">
        <v>0</v>
      </c>
      <c r="J261">
        <v>3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80</v>
      </c>
      <c r="S261">
        <v>0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15</v>
      </c>
      <c r="AD261">
        <v>0</v>
      </c>
      <c r="AE261">
        <v>0</v>
      </c>
      <c r="AF261" t="s">
        <v>16</v>
      </c>
      <c r="AG261">
        <f>0.08*T261</f>
        <v>0.24</v>
      </c>
    </row>
    <row r="262" spans="1:33" x14ac:dyDescent="0.35">
      <c r="A262" t="s">
        <v>595</v>
      </c>
      <c r="B262" t="s">
        <v>785</v>
      </c>
      <c r="C262" s="2">
        <v>38601</v>
      </c>
      <c r="D262">
        <v>0</v>
      </c>
      <c r="E262" s="3">
        <v>0.54861111111111105</v>
      </c>
      <c r="F262" s="3">
        <v>0.55902777777777779</v>
      </c>
      <c r="G262">
        <v>27</v>
      </c>
      <c r="H262">
        <v>45</v>
      </c>
      <c r="I262">
        <v>0</v>
      </c>
      <c r="J262">
        <v>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25</v>
      </c>
      <c r="U262">
        <v>0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0</v>
      </c>
      <c r="AC262">
        <v>70</v>
      </c>
      <c r="AD262">
        <v>0</v>
      </c>
      <c r="AE262">
        <v>0</v>
      </c>
      <c r="AF262" t="s">
        <v>16</v>
      </c>
      <c r="AG262">
        <f>0.08*T262</f>
        <v>2</v>
      </c>
    </row>
    <row r="263" spans="1:33" x14ac:dyDescent="0.35">
      <c r="A263" t="s">
        <v>595</v>
      </c>
      <c r="B263" t="s">
        <v>786</v>
      </c>
      <c r="C263" s="2">
        <v>38601</v>
      </c>
      <c r="D263" t="s">
        <v>33</v>
      </c>
      <c r="E263" s="3">
        <v>0.56319444444444444</v>
      </c>
      <c r="F263" s="3">
        <v>0.57361111111111118</v>
      </c>
      <c r="G263">
        <v>25.6</v>
      </c>
      <c r="H263">
        <v>53</v>
      </c>
      <c r="I263">
        <v>0</v>
      </c>
      <c r="J263">
        <v>3</v>
      </c>
      <c r="K263">
        <v>25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45</v>
      </c>
      <c r="S263">
        <v>0</v>
      </c>
      <c r="T263">
        <v>4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26</v>
      </c>
      <c r="AD263">
        <v>0</v>
      </c>
      <c r="AE263">
        <v>0</v>
      </c>
      <c r="AF263" t="s">
        <v>14</v>
      </c>
      <c r="AG263">
        <f>0.25*R263</f>
        <v>11.25</v>
      </c>
    </row>
    <row r="264" spans="1:33" x14ac:dyDescent="0.35">
      <c r="A264" t="s">
        <v>595</v>
      </c>
      <c r="B264" t="s">
        <v>786</v>
      </c>
      <c r="C264" s="2">
        <v>38601</v>
      </c>
      <c r="D264" t="s">
        <v>33</v>
      </c>
      <c r="E264" s="3">
        <v>0.56319444444444444</v>
      </c>
      <c r="F264" s="3">
        <v>0.57361111111111118</v>
      </c>
      <c r="G264">
        <v>25.6</v>
      </c>
      <c r="H264">
        <v>53</v>
      </c>
      <c r="I264">
        <v>0</v>
      </c>
      <c r="J264">
        <v>3</v>
      </c>
      <c r="K264">
        <v>25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45</v>
      </c>
      <c r="S264">
        <v>0</v>
      </c>
      <c r="T264">
        <v>4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26</v>
      </c>
      <c r="AD264">
        <v>0</v>
      </c>
      <c r="AE264">
        <v>0</v>
      </c>
      <c r="AF264" t="s">
        <v>16</v>
      </c>
      <c r="AG264">
        <f>0.07*T264</f>
        <v>0.28000000000000003</v>
      </c>
    </row>
    <row r="265" spans="1:33" x14ac:dyDescent="0.35">
      <c r="A265" t="s">
        <v>595</v>
      </c>
      <c r="B265" t="s">
        <v>787</v>
      </c>
      <c r="C265" s="2">
        <v>38601</v>
      </c>
      <c r="D265" t="s">
        <v>33</v>
      </c>
      <c r="E265" s="3">
        <v>0.5805555555555556</v>
      </c>
      <c r="F265" s="3">
        <v>0.59097222222222223</v>
      </c>
      <c r="G265">
        <v>25.7</v>
      </c>
      <c r="H265">
        <v>52</v>
      </c>
      <c r="I265">
        <v>2</v>
      </c>
      <c r="J265">
        <v>3</v>
      </c>
      <c r="K265">
        <v>20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62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2</v>
      </c>
      <c r="AB265">
        <v>0</v>
      </c>
      <c r="AC265">
        <v>8</v>
      </c>
      <c r="AD265">
        <v>5</v>
      </c>
      <c r="AE265">
        <v>1</v>
      </c>
      <c r="AF265" t="s">
        <v>14</v>
      </c>
      <c r="AG265">
        <f>0.6*R265</f>
        <v>37.199999999999996</v>
      </c>
    </row>
    <row r="266" spans="1:33" x14ac:dyDescent="0.35">
      <c r="A266" t="s">
        <v>595</v>
      </c>
      <c r="B266" t="s">
        <v>787</v>
      </c>
      <c r="C266" s="2">
        <v>38601</v>
      </c>
      <c r="D266" t="s">
        <v>33</v>
      </c>
      <c r="E266" s="3">
        <v>0.5805555555555556</v>
      </c>
      <c r="F266" s="3">
        <v>0.59097222222222223</v>
      </c>
      <c r="G266">
        <v>25.7</v>
      </c>
      <c r="H266">
        <v>52</v>
      </c>
      <c r="I266">
        <v>2</v>
      </c>
      <c r="J266">
        <v>3</v>
      </c>
      <c r="K266">
        <v>20</v>
      </c>
      <c r="L266">
        <v>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62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2</v>
      </c>
      <c r="AB266">
        <v>0</v>
      </c>
      <c r="AC266">
        <v>8</v>
      </c>
      <c r="AD266">
        <v>5</v>
      </c>
      <c r="AE266">
        <v>1</v>
      </c>
      <c r="AF266" t="s">
        <v>21</v>
      </c>
      <c r="AG266">
        <f>0.6*AA266</f>
        <v>1.2</v>
      </c>
    </row>
    <row r="267" spans="1:33" x14ac:dyDescent="0.35">
      <c r="A267" t="s">
        <v>595</v>
      </c>
      <c r="B267" t="s">
        <v>788</v>
      </c>
      <c r="C267" s="2">
        <v>38601</v>
      </c>
      <c r="D267" t="s">
        <v>33</v>
      </c>
      <c r="E267" s="3">
        <v>0.59930555555555554</v>
      </c>
      <c r="F267" s="3">
        <v>0.60972222222222217</v>
      </c>
      <c r="G267">
        <v>25.9</v>
      </c>
      <c r="H267">
        <v>53</v>
      </c>
      <c r="I267">
        <v>0</v>
      </c>
      <c r="J267">
        <v>2</v>
      </c>
      <c r="K267">
        <v>0</v>
      </c>
      <c r="L267">
        <v>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80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0</v>
      </c>
      <c r="AC267">
        <v>0</v>
      </c>
      <c r="AD267">
        <v>5</v>
      </c>
      <c r="AE267">
        <v>5</v>
      </c>
      <c r="AF267" t="s">
        <v>14</v>
      </c>
      <c r="AG267">
        <f>0.02*R267</f>
        <v>1.6</v>
      </c>
    </row>
    <row r="268" spans="1:33" x14ac:dyDescent="0.35">
      <c r="A268" t="s">
        <v>595</v>
      </c>
      <c r="B268" t="s">
        <v>788</v>
      </c>
      <c r="C268" s="2">
        <v>38601</v>
      </c>
      <c r="D268" t="s">
        <v>33</v>
      </c>
      <c r="E268" s="3">
        <v>0.59930555555555554</v>
      </c>
      <c r="F268" s="3">
        <v>0.60972222222222217</v>
      </c>
      <c r="G268">
        <v>25.9</v>
      </c>
      <c r="H268">
        <v>53</v>
      </c>
      <c r="I268">
        <v>0</v>
      </c>
      <c r="J268">
        <v>2</v>
      </c>
      <c r="K268">
        <v>0</v>
      </c>
      <c r="L268">
        <v>8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80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2</v>
      </c>
      <c r="AB268">
        <v>0</v>
      </c>
      <c r="AC268">
        <v>0</v>
      </c>
      <c r="AD268">
        <v>5</v>
      </c>
      <c r="AE268">
        <v>5</v>
      </c>
      <c r="AF268" t="s">
        <v>21</v>
      </c>
      <c r="AG268">
        <f>0.45*AA268</f>
        <v>0.9</v>
      </c>
    </row>
    <row r="269" spans="1:33" x14ac:dyDescent="0.35">
      <c r="A269" t="s">
        <v>595</v>
      </c>
      <c r="B269" t="s">
        <v>789</v>
      </c>
      <c r="C269" s="2">
        <v>38607</v>
      </c>
      <c r="D269" t="s">
        <v>36</v>
      </c>
      <c r="E269" s="3">
        <v>0.5625</v>
      </c>
      <c r="F269" s="3">
        <v>0.57291666666666663</v>
      </c>
      <c r="G269">
        <v>18.3</v>
      </c>
      <c r="H269">
        <v>58</v>
      </c>
      <c r="I269">
        <v>2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>
        <v>0</v>
      </c>
      <c r="R269">
        <v>70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27</v>
      </c>
      <c r="AD269">
        <v>0</v>
      </c>
      <c r="AE269">
        <v>0</v>
      </c>
      <c r="AF269" t="s">
        <v>14</v>
      </c>
      <c r="AG269">
        <f>0.25*R269</f>
        <v>17.5</v>
      </c>
    </row>
    <row r="270" spans="1:33" x14ac:dyDescent="0.35">
      <c r="A270" t="s">
        <v>595</v>
      </c>
      <c r="B270" t="s">
        <v>790</v>
      </c>
      <c r="C270" s="2">
        <v>38607</v>
      </c>
      <c r="D270">
        <v>0</v>
      </c>
      <c r="E270" s="3">
        <v>0.58125000000000004</v>
      </c>
      <c r="F270" s="3">
        <v>0.59166666666666667</v>
      </c>
      <c r="G270">
        <f>(16.9+20)/2</f>
        <v>18.45</v>
      </c>
      <c r="H270">
        <v>61</v>
      </c>
      <c r="I270">
        <v>2</v>
      </c>
      <c r="J270">
        <v>3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25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0</v>
      </c>
      <c r="AA270">
        <v>0</v>
      </c>
      <c r="AB270">
        <v>0</v>
      </c>
      <c r="AC270">
        <v>70</v>
      </c>
      <c r="AD270">
        <v>0</v>
      </c>
      <c r="AE270">
        <v>0</v>
      </c>
      <c r="AF270" t="s">
        <v>16</v>
      </c>
      <c r="AG270">
        <f>0.06*T270</f>
        <v>1.5</v>
      </c>
    </row>
    <row r="271" spans="1:33" x14ac:dyDescent="0.35">
      <c r="A271" t="s">
        <v>595</v>
      </c>
      <c r="B271" t="s">
        <v>791</v>
      </c>
      <c r="C271" s="2">
        <v>38607</v>
      </c>
      <c r="D271" t="s">
        <v>33</v>
      </c>
      <c r="E271" s="3">
        <v>0.59722222222222221</v>
      </c>
      <c r="F271" s="3">
        <v>0.60763888888888895</v>
      </c>
      <c r="G271">
        <v>18</v>
      </c>
      <c r="H271">
        <v>56</v>
      </c>
      <c r="I271">
        <v>2</v>
      </c>
      <c r="J271">
        <v>3</v>
      </c>
      <c r="K271">
        <v>0</v>
      </c>
      <c r="L271">
        <v>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80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</v>
      </c>
      <c r="AB271">
        <v>0</v>
      </c>
      <c r="AC271">
        <v>0</v>
      </c>
      <c r="AD271">
        <v>5</v>
      </c>
      <c r="AE271">
        <v>5</v>
      </c>
      <c r="AF271" t="s">
        <v>14</v>
      </c>
      <c r="AG271">
        <f>0.02*R271</f>
        <v>1.6</v>
      </c>
    </row>
    <row r="272" spans="1:33" x14ac:dyDescent="0.35">
      <c r="A272" t="s">
        <v>595</v>
      </c>
      <c r="B272" t="s">
        <v>791</v>
      </c>
      <c r="C272" s="2">
        <v>38607</v>
      </c>
      <c r="D272" t="s">
        <v>33</v>
      </c>
      <c r="E272" s="3">
        <v>0.59722222222222221</v>
      </c>
      <c r="F272" s="3">
        <v>0.60763888888888895</v>
      </c>
      <c r="G272">
        <v>18</v>
      </c>
      <c r="H272">
        <v>56</v>
      </c>
      <c r="I272">
        <v>2</v>
      </c>
      <c r="J272">
        <v>3</v>
      </c>
      <c r="K272">
        <v>0</v>
      </c>
      <c r="L272">
        <v>8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80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5</v>
      </c>
      <c r="AE272">
        <v>5</v>
      </c>
      <c r="AF272" t="s">
        <v>21</v>
      </c>
      <c r="AG272">
        <f>0.25*AA272</f>
        <v>0.5</v>
      </c>
    </row>
    <row r="273" spans="1:33" x14ac:dyDescent="0.35">
      <c r="A273" t="s">
        <v>595</v>
      </c>
      <c r="B273" t="s">
        <v>792</v>
      </c>
      <c r="C273" s="2">
        <v>38607</v>
      </c>
      <c r="D273" t="s">
        <v>52</v>
      </c>
      <c r="E273" s="3">
        <v>0.61111111111111105</v>
      </c>
      <c r="F273" s="3">
        <v>0.62152777777777779</v>
      </c>
      <c r="G273">
        <f>(16.5+21.2)/2</f>
        <v>18.850000000000001</v>
      </c>
      <c r="H273">
        <f>(66+65)/2</f>
        <v>65.5</v>
      </c>
      <c r="I273">
        <v>3</v>
      </c>
      <c r="J273">
        <v>3</v>
      </c>
      <c r="K273">
        <v>24</v>
      </c>
      <c r="L273">
        <v>5</v>
      </c>
      <c r="M273">
        <v>0</v>
      </c>
      <c r="N273">
        <v>0</v>
      </c>
      <c r="O273">
        <v>0</v>
      </c>
      <c r="P273">
        <v>2</v>
      </c>
      <c r="Q273">
        <v>0</v>
      </c>
      <c r="R273">
        <v>40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24</v>
      </c>
      <c r="AD273">
        <v>5</v>
      </c>
      <c r="AE273">
        <v>0</v>
      </c>
      <c r="AF273" t="s">
        <v>14</v>
      </c>
      <c r="AG273">
        <f>0.07*R273</f>
        <v>2.8000000000000003</v>
      </c>
    </row>
    <row r="274" spans="1:33" x14ac:dyDescent="0.35">
      <c r="A274" t="s">
        <v>595</v>
      </c>
      <c r="B274" t="s">
        <v>792</v>
      </c>
      <c r="C274" s="2">
        <v>38607</v>
      </c>
      <c r="D274" t="s">
        <v>52</v>
      </c>
      <c r="E274" s="3">
        <v>0.61111111111111105</v>
      </c>
      <c r="F274" s="3">
        <v>0.62152777777777779</v>
      </c>
      <c r="G274">
        <f>(16.5+21.2)/2</f>
        <v>18.850000000000001</v>
      </c>
      <c r="H274">
        <f>(66+65)/2</f>
        <v>65.5</v>
      </c>
      <c r="I274">
        <v>3</v>
      </c>
      <c r="J274">
        <v>3</v>
      </c>
      <c r="K274">
        <v>24</v>
      </c>
      <c r="L274">
        <v>5</v>
      </c>
      <c r="M274">
        <v>0</v>
      </c>
      <c r="N274">
        <v>0</v>
      </c>
      <c r="O274">
        <v>0</v>
      </c>
      <c r="P274">
        <v>2</v>
      </c>
      <c r="Q274">
        <v>0</v>
      </c>
      <c r="R274">
        <v>40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24</v>
      </c>
      <c r="AD274">
        <v>5</v>
      </c>
      <c r="AE274">
        <v>0</v>
      </c>
      <c r="AF274" t="s">
        <v>10</v>
      </c>
      <c r="AG274">
        <f>0.05*L274</f>
        <v>0.25</v>
      </c>
    </row>
    <row r="275" spans="1:33" x14ac:dyDescent="0.35">
      <c r="A275" t="s">
        <v>595</v>
      </c>
      <c r="B275" t="s">
        <v>793</v>
      </c>
      <c r="C275" s="2">
        <v>38607</v>
      </c>
      <c r="D275" t="s">
        <v>33</v>
      </c>
      <c r="E275" s="3">
        <v>0.63194444444444442</v>
      </c>
      <c r="F275" s="3">
        <v>0.64236111111111105</v>
      </c>
      <c r="G275">
        <f>(17.3+20.3)/2</f>
        <v>18.8</v>
      </c>
      <c r="H275">
        <v>56</v>
      </c>
      <c r="I275">
        <v>3</v>
      </c>
      <c r="J275">
        <v>3</v>
      </c>
      <c r="K275">
        <v>10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87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</v>
      </c>
      <c r="AF275" t="s">
        <v>14</v>
      </c>
      <c r="AG275">
        <f>0.6*R275</f>
        <v>52.199999999999996</v>
      </c>
    </row>
    <row r="276" spans="1:33" x14ac:dyDescent="0.35">
      <c r="A276" t="s">
        <v>595</v>
      </c>
      <c r="B276" t="s">
        <v>794</v>
      </c>
      <c r="C276" s="2">
        <v>38607</v>
      </c>
      <c r="D276" t="s">
        <v>33</v>
      </c>
      <c r="E276" s="3">
        <v>0.64652777777777781</v>
      </c>
      <c r="F276" s="3">
        <v>0.65694444444444444</v>
      </c>
      <c r="G276">
        <v>16.2</v>
      </c>
      <c r="H276">
        <v>59</v>
      </c>
      <c r="I276">
        <v>3</v>
      </c>
      <c r="J276">
        <v>3</v>
      </c>
      <c r="K276">
        <v>40</v>
      </c>
      <c r="L276">
        <v>40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20</v>
      </c>
      <c r="AE276">
        <v>0</v>
      </c>
      <c r="AF276" t="s">
        <v>10</v>
      </c>
      <c r="AG276">
        <f>0.1*L276</f>
        <v>4</v>
      </c>
    </row>
    <row r="277" spans="1:33" x14ac:dyDescent="0.35">
      <c r="A277" t="s">
        <v>595</v>
      </c>
      <c r="B277" t="s">
        <v>795</v>
      </c>
      <c r="C277" s="2">
        <v>38615</v>
      </c>
      <c r="D277" t="s">
        <v>33</v>
      </c>
      <c r="E277" s="3">
        <v>0.5229166666666667</v>
      </c>
      <c r="F277" s="3">
        <v>0.53333333333333333</v>
      </c>
      <c r="G277">
        <v>18.899999999999999</v>
      </c>
      <c r="H277">
        <v>69</v>
      </c>
      <c r="I277">
        <v>3</v>
      </c>
      <c r="J277">
        <v>2</v>
      </c>
      <c r="K277">
        <v>0</v>
      </c>
      <c r="L277">
        <v>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80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15</v>
      </c>
      <c r="AE277">
        <v>0</v>
      </c>
      <c r="AF277" t="s">
        <v>14</v>
      </c>
      <c r="AG277">
        <f>0.15*R277</f>
        <v>12</v>
      </c>
    </row>
    <row r="278" spans="1:33" x14ac:dyDescent="0.35">
      <c r="A278" t="s">
        <v>595</v>
      </c>
      <c r="B278" t="s">
        <v>796</v>
      </c>
      <c r="C278" s="2">
        <v>38615</v>
      </c>
      <c r="D278" t="s">
        <v>33</v>
      </c>
      <c r="E278" s="3">
        <v>0.54027777777777775</v>
      </c>
      <c r="F278" s="3">
        <v>0.55069444444444449</v>
      </c>
      <c r="G278">
        <v>20.3</v>
      </c>
      <c r="H278">
        <v>62</v>
      </c>
      <c r="I278">
        <v>3</v>
      </c>
      <c r="J278">
        <v>2</v>
      </c>
      <c r="K278">
        <v>40</v>
      </c>
      <c r="L278">
        <v>40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20</v>
      </c>
      <c r="AE278">
        <v>0</v>
      </c>
      <c r="AF278" t="s">
        <v>10</v>
      </c>
      <c r="AG278">
        <f>0.07*L278</f>
        <v>2.8000000000000003</v>
      </c>
    </row>
    <row r="279" spans="1:33" x14ac:dyDescent="0.35">
      <c r="A279" t="s">
        <v>595</v>
      </c>
      <c r="B279" t="s">
        <v>797</v>
      </c>
      <c r="C279" s="2">
        <v>38615</v>
      </c>
      <c r="D279" t="s">
        <v>33</v>
      </c>
      <c r="E279" s="3">
        <v>0.5541666666666667</v>
      </c>
      <c r="F279" s="3">
        <v>0.56458333333333333</v>
      </c>
      <c r="G279">
        <f>(17.3+20.3)/2</f>
        <v>18.8</v>
      </c>
      <c r="H279">
        <v>65</v>
      </c>
      <c r="I279">
        <v>4</v>
      </c>
      <c r="J279">
        <v>2</v>
      </c>
      <c r="K279">
        <v>10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87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2</v>
      </c>
      <c r="AF279" t="s">
        <v>14</v>
      </c>
      <c r="AG279">
        <f>0.3*R279</f>
        <v>26.099999999999998</v>
      </c>
    </row>
    <row r="280" spans="1:33" x14ac:dyDescent="0.35">
      <c r="A280" t="s">
        <v>595</v>
      </c>
      <c r="B280" t="s">
        <v>798</v>
      </c>
      <c r="C280" s="2">
        <v>38615</v>
      </c>
      <c r="D280" t="s">
        <v>33</v>
      </c>
      <c r="E280" s="3">
        <v>0.56944444444444442</v>
      </c>
      <c r="F280" s="3">
        <v>0.57986111111111105</v>
      </c>
      <c r="G280">
        <v>18.100000000000001</v>
      </c>
      <c r="H280">
        <v>60</v>
      </c>
      <c r="I280">
        <v>4</v>
      </c>
      <c r="J280">
        <v>2</v>
      </c>
      <c r="K280">
        <v>72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25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2</v>
      </c>
      <c r="AD280">
        <v>0</v>
      </c>
      <c r="AE280">
        <v>0</v>
      </c>
      <c r="AF280" t="s">
        <v>16</v>
      </c>
      <c r="AG280">
        <f>0.07*T280</f>
        <v>1.7500000000000002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4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L1" sqref="L1:AH1048576"/>
    </sheetView>
  </sheetViews>
  <sheetFormatPr defaultRowHeight="14.5" x14ac:dyDescent="0.35"/>
  <cols>
    <col min="4" max="4" width="22.26953125" customWidth="1"/>
    <col min="12" max="34" width="5.54296875" customWidth="1"/>
    <col min="36" max="36" width="26.26953125" customWidth="1"/>
  </cols>
  <sheetData>
    <row r="1" spans="1:37" ht="78.5" x14ac:dyDescent="0.35">
      <c r="A1" s="1" t="s">
        <v>334</v>
      </c>
      <c r="B1" s="1" t="s">
        <v>0</v>
      </c>
      <c r="C1" s="7" t="s">
        <v>98</v>
      </c>
      <c r="D1" s="7" t="s">
        <v>1</v>
      </c>
      <c r="E1" s="1" t="s">
        <v>2</v>
      </c>
      <c r="F1" s="1" t="s">
        <v>3</v>
      </c>
      <c r="G1" s="1" t="s">
        <v>4</v>
      </c>
      <c r="H1" s="7" t="s">
        <v>587</v>
      </c>
      <c r="I1" s="7" t="s">
        <v>588</v>
      </c>
      <c r="J1" s="1" t="s">
        <v>7</v>
      </c>
      <c r="K1" s="1" t="s">
        <v>8</v>
      </c>
      <c r="L1" s="10" t="s">
        <v>63</v>
      </c>
      <c r="M1" s="10" t="s">
        <v>64</v>
      </c>
      <c r="N1" s="10" t="s">
        <v>65</v>
      </c>
      <c r="O1" s="10" t="s">
        <v>66</v>
      </c>
      <c r="P1" s="10" t="s">
        <v>13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23</v>
      </c>
      <c r="W1" s="10" t="s">
        <v>24</v>
      </c>
      <c r="X1" s="10" t="s">
        <v>72</v>
      </c>
      <c r="Y1" s="10" t="s">
        <v>73</v>
      </c>
      <c r="Z1" s="10" t="s">
        <v>74</v>
      </c>
      <c r="AA1" s="10" t="s">
        <v>75</v>
      </c>
      <c r="AB1" s="10" t="s">
        <v>76</v>
      </c>
      <c r="AC1" s="10" t="s">
        <v>77</v>
      </c>
      <c r="AD1" s="10" t="s">
        <v>78</v>
      </c>
      <c r="AE1" s="10" t="s">
        <v>22</v>
      </c>
      <c r="AF1" s="10" t="s">
        <v>25</v>
      </c>
      <c r="AG1" s="10" t="s">
        <v>79</v>
      </c>
      <c r="AH1" s="10" t="s">
        <v>80</v>
      </c>
      <c r="AI1" s="10" t="s">
        <v>81</v>
      </c>
      <c r="AJ1" s="14" t="s">
        <v>82</v>
      </c>
      <c r="AK1" s="14" t="s">
        <v>26</v>
      </c>
    </row>
    <row r="2" spans="1:37" x14ac:dyDescent="0.35">
      <c r="A2" t="s">
        <v>585</v>
      </c>
      <c r="B2">
        <v>1</v>
      </c>
      <c r="C2" t="s">
        <v>799</v>
      </c>
      <c r="D2" s="2">
        <v>38459</v>
      </c>
      <c r="E2">
        <v>0</v>
      </c>
      <c r="F2" s="3">
        <v>0.55069444444444449</v>
      </c>
      <c r="G2" s="3">
        <v>0.56111111111111112</v>
      </c>
      <c r="H2">
        <v>17.5</v>
      </c>
      <c r="I2">
        <v>36</v>
      </c>
      <c r="J2">
        <v>0</v>
      </c>
      <c r="K2">
        <v>2</v>
      </c>
      <c r="L2" s="9">
        <v>95</v>
      </c>
      <c r="M2" s="9">
        <v>2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3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f>SUM(L2:AH2)</f>
        <v>100</v>
      </c>
      <c r="AJ2" s="9" t="s">
        <v>584</v>
      </c>
      <c r="AK2" s="9">
        <f>0.8*L2</f>
        <v>76</v>
      </c>
    </row>
    <row r="3" spans="1:37" x14ac:dyDescent="0.35">
      <c r="A3" t="s">
        <v>585</v>
      </c>
      <c r="B3">
        <v>2</v>
      </c>
      <c r="C3" t="s">
        <v>800</v>
      </c>
      <c r="D3" s="2">
        <v>38459</v>
      </c>
      <c r="E3" t="s">
        <v>33</v>
      </c>
      <c r="F3" s="3">
        <v>0.56527777777777777</v>
      </c>
      <c r="G3" s="3">
        <v>0.5756944444444444</v>
      </c>
      <c r="H3">
        <v>15.8</v>
      </c>
      <c r="I3">
        <v>30</v>
      </c>
      <c r="J3">
        <v>0</v>
      </c>
      <c r="K3">
        <v>3</v>
      </c>
      <c r="L3">
        <v>82</v>
      </c>
      <c r="M3">
        <v>3</v>
      </c>
      <c r="N3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f>SUM(L3:AH3)</f>
        <v>100</v>
      </c>
      <c r="AJ3" t="s">
        <v>584</v>
      </c>
      <c r="AK3">
        <f>0.4*L3</f>
        <v>32.800000000000004</v>
      </c>
    </row>
    <row r="4" spans="1:37" x14ac:dyDescent="0.35">
      <c r="A4" t="s">
        <v>585</v>
      </c>
      <c r="B4">
        <v>3</v>
      </c>
      <c r="C4" t="s">
        <v>801</v>
      </c>
      <c r="D4" s="2">
        <v>38459</v>
      </c>
      <c r="E4" t="s">
        <v>31</v>
      </c>
      <c r="F4" s="3">
        <v>0.57777777777777783</v>
      </c>
      <c r="G4" s="3">
        <v>0.58819444444444446</v>
      </c>
      <c r="H4">
        <v>15.8</v>
      </c>
      <c r="I4">
        <v>32</v>
      </c>
      <c r="J4">
        <v>0</v>
      </c>
      <c r="K4">
        <v>2</v>
      </c>
      <c r="L4">
        <v>74</v>
      </c>
      <c r="M4">
        <v>20</v>
      </c>
      <c r="N4">
        <v>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f>SUM(L4:AH4)</f>
        <v>100</v>
      </c>
      <c r="AJ4" t="s">
        <v>584</v>
      </c>
      <c r="AK4">
        <f>0.8*L4</f>
        <v>59.2</v>
      </c>
    </row>
    <row r="5" spans="1:37" x14ac:dyDescent="0.35">
      <c r="A5" t="s">
        <v>585</v>
      </c>
      <c r="B5">
        <v>4</v>
      </c>
      <c r="C5" t="s">
        <v>802</v>
      </c>
      <c r="D5" s="2">
        <v>38459</v>
      </c>
      <c r="E5" t="s">
        <v>33</v>
      </c>
      <c r="F5" s="3">
        <v>0.59375</v>
      </c>
      <c r="G5" s="3">
        <v>0.60416666666666663</v>
      </c>
      <c r="H5">
        <v>15.6</v>
      </c>
      <c r="I5">
        <v>40</v>
      </c>
      <c r="J5">
        <v>0</v>
      </c>
      <c r="K5">
        <v>3</v>
      </c>
      <c r="L5">
        <v>52</v>
      </c>
      <c r="M5">
        <v>20</v>
      </c>
      <c r="N5">
        <v>3</v>
      </c>
      <c r="O5">
        <v>0</v>
      </c>
      <c r="P5">
        <v>0</v>
      </c>
      <c r="Q5">
        <v>0</v>
      </c>
      <c r="R5">
        <v>0</v>
      </c>
      <c r="S5">
        <v>20</v>
      </c>
      <c r="T5">
        <v>0</v>
      </c>
      <c r="U5">
        <v>0</v>
      </c>
      <c r="V5">
        <v>0</v>
      </c>
      <c r="W5">
        <v>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f>SUM(L5:AH5)</f>
        <v>100</v>
      </c>
      <c r="AJ5" t="s">
        <v>584</v>
      </c>
      <c r="AK5">
        <f>0.6*L5</f>
        <v>31.2</v>
      </c>
    </row>
    <row r="6" spans="1:37" x14ac:dyDescent="0.35">
      <c r="A6" t="s">
        <v>585</v>
      </c>
      <c r="B6">
        <v>5</v>
      </c>
      <c r="C6" t="s">
        <v>803</v>
      </c>
      <c r="D6" s="2">
        <v>38459</v>
      </c>
      <c r="E6" t="s">
        <v>33</v>
      </c>
      <c r="F6" s="3">
        <v>0.61319444444444449</v>
      </c>
      <c r="G6" s="3">
        <v>0.62361111111111112</v>
      </c>
      <c r="H6">
        <v>15</v>
      </c>
      <c r="I6">
        <v>33</v>
      </c>
      <c r="J6">
        <v>0</v>
      </c>
      <c r="K6">
        <v>3</v>
      </c>
      <c r="L6">
        <v>85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f>SUM(L6:AH6)</f>
        <v>100</v>
      </c>
      <c r="AJ6" t="s">
        <v>584</v>
      </c>
      <c r="AK6">
        <f>0.75*L6</f>
        <v>63.75</v>
      </c>
    </row>
    <row r="7" spans="1:37" x14ac:dyDescent="0.35">
      <c r="A7" t="s">
        <v>585</v>
      </c>
      <c r="B7">
        <v>6</v>
      </c>
      <c r="C7" t="s">
        <v>804</v>
      </c>
      <c r="D7" s="2">
        <v>38475</v>
      </c>
      <c r="E7">
        <v>0</v>
      </c>
      <c r="F7" s="3">
        <v>0.4381944444444445</v>
      </c>
      <c r="G7" s="3">
        <v>0.44861111111111113</v>
      </c>
      <c r="H7">
        <v>16.100000000000001</v>
      </c>
      <c r="I7">
        <v>50</v>
      </c>
      <c r="J7">
        <v>0</v>
      </c>
      <c r="K7">
        <v>0</v>
      </c>
      <c r="L7">
        <v>0</v>
      </c>
      <c r="M7">
        <v>0</v>
      </c>
      <c r="N7">
        <v>75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10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10</v>
      </c>
      <c r="AF7">
        <v>0</v>
      </c>
      <c r="AG7">
        <v>0</v>
      </c>
      <c r="AH7">
        <v>0</v>
      </c>
      <c r="AI7">
        <f>SUM(L7:AH7)</f>
        <v>100</v>
      </c>
      <c r="AJ7" t="s">
        <v>11</v>
      </c>
      <c r="AK7">
        <f>0.005*N7</f>
        <v>0.375</v>
      </c>
    </row>
    <row r="8" spans="1:37" x14ac:dyDescent="0.35">
      <c r="A8" t="s">
        <v>585</v>
      </c>
      <c r="B8">
        <v>7</v>
      </c>
      <c r="C8" t="s">
        <v>805</v>
      </c>
      <c r="D8" s="2">
        <v>38478</v>
      </c>
      <c r="E8">
        <v>0</v>
      </c>
      <c r="F8" s="3">
        <v>0.60416666666666663</v>
      </c>
      <c r="G8" s="3">
        <v>0.61458333333333337</v>
      </c>
      <c r="H8">
        <v>12.3</v>
      </c>
      <c r="I8">
        <v>54</v>
      </c>
      <c r="J8">
        <v>3</v>
      </c>
      <c r="K8">
        <v>2</v>
      </c>
      <c r="L8">
        <v>0</v>
      </c>
      <c r="M8">
        <v>0</v>
      </c>
      <c r="N8">
        <v>90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</v>
      </c>
      <c r="W8">
        <v>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f>SUM(L8:AH8)</f>
        <v>100</v>
      </c>
      <c r="AJ8" t="s">
        <v>11</v>
      </c>
      <c r="AK8">
        <f>0.005*N8</f>
        <v>0.45</v>
      </c>
    </row>
    <row r="9" spans="1:37" x14ac:dyDescent="0.35">
      <c r="A9" t="s">
        <v>585</v>
      </c>
      <c r="B9">
        <v>8</v>
      </c>
      <c r="C9" t="s">
        <v>806</v>
      </c>
      <c r="D9" s="2">
        <v>38483</v>
      </c>
      <c r="E9" t="s">
        <v>33</v>
      </c>
      <c r="F9" s="3">
        <v>0.54374999999999996</v>
      </c>
      <c r="G9" s="3">
        <v>0.5541666666666667</v>
      </c>
      <c r="H9">
        <f>(12.1+15.3)/2</f>
        <v>13.7</v>
      </c>
      <c r="I9">
        <f>(55+64)/2</f>
        <v>59.5</v>
      </c>
      <c r="J9">
        <v>3</v>
      </c>
      <c r="K9">
        <v>0</v>
      </c>
      <c r="L9">
        <v>0</v>
      </c>
      <c r="M9">
        <v>5</v>
      </c>
      <c r="N9">
        <v>30</v>
      </c>
      <c r="O9">
        <v>0</v>
      </c>
      <c r="P9">
        <v>0</v>
      </c>
      <c r="Q9">
        <v>0</v>
      </c>
      <c r="R9">
        <v>0</v>
      </c>
      <c r="S9">
        <v>30</v>
      </c>
      <c r="T9">
        <v>0</v>
      </c>
      <c r="U9">
        <v>0</v>
      </c>
      <c r="V9">
        <v>0</v>
      </c>
      <c r="W9">
        <v>35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f>SUM(L9:AH9)</f>
        <v>100</v>
      </c>
      <c r="AJ9" t="s">
        <v>11</v>
      </c>
      <c r="AK9">
        <f>0.05*N9</f>
        <v>1.5</v>
      </c>
    </row>
    <row r="10" spans="1:37" x14ac:dyDescent="0.35">
      <c r="A10" t="s">
        <v>585</v>
      </c>
      <c r="B10">
        <v>9</v>
      </c>
      <c r="C10" t="s">
        <v>807</v>
      </c>
      <c r="D10" s="2">
        <v>38483</v>
      </c>
      <c r="E10">
        <v>0</v>
      </c>
      <c r="F10" s="3">
        <v>0.56111111111111112</v>
      </c>
      <c r="G10" s="3">
        <v>0.57152777777777775</v>
      </c>
      <c r="H10">
        <v>15.6</v>
      </c>
      <c r="I10">
        <v>54</v>
      </c>
      <c r="J10">
        <v>3</v>
      </c>
      <c r="K10">
        <v>0</v>
      </c>
      <c r="L10">
        <v>0</v>
      </c>
      <c r="M10">
        <v>0</v>
      </c>
      <c r="N10">
        <v>100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>SUM(L10:AH10)</f>
        <v>100</v>
      </c>
      <c r="AJ10" t="s">
        <v>11</v>
      </c>
      <c r="AK10">
        <f>0.2*N10</f>
        <v>20</v>
      </c>
    </row>
    <row r="11" spans="1:37" x14ac:dyDescent="0.35">
      <c r="A11" t="s">
        <v>585</v>
      </c>
      <c r="B11">
        <v>10</v>
      </c>
      <c r="C11" t="s">
        <v>808</v>
      </c>
      <c r="D11" s="2">
        <v>38486</v>
      </c>
      <c r="E11" t="s">
        <v>31</v>
      </c>
      <c r="F11" s="3">
        <v>0.44513888888888892</v>
      </c>
      <c r="G11" s="3">
        <v>0.45555555555555555</v>
      </c>
      <c r="H11">
        <v>20</v>
      </c>
      <c r="I11">
        <v>42</v>
      </c>
      <c r="J11">
        <v>0</v>
      </c>
      <c r="K11">
        <v>1</v>
      </c>
      <c r="L11">
        <v>0</v>
      </c>
      <c r="M11">
        <v>0</v>
      </c>
      <c r="N11">
        <v>79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20</v>
      </c>
      <c r="AF11">
        <v>1</v>
      </c>
      <c r="AG11">
        <v>0</v>
      </c>
      <c r="AH11">
        <v>0</v>
      </c>
      <c r="AI11">
        <f>SUM(L11:AH11)</f>
        <v>100</v>
      </c>
      <c r="AJ11" t="s">
        <v>11</v>
      </c>
      <c r="AK11">
        <f>0.5*N11</f>
        <v>39.5</v>
      </c>
    </row>
    <row r="12" spans="1:37" x14ac:dyDescent="0.35">
      <c r="A12" t="s">
        <v>585</v>
      </c>
      <c r="B12">
        <v>11</v>
      </c>
      <c r="C12" t="s">
        <v>809</v>
      </c>
      <c r="D12" s="2">
        <v>38487</v>
      </c>
      <c r="E12" t="s">
        <v>36</v>
      </c>
      <c r="F12" s="3">
        <v>0.46875</v>
      </c>
      <c r="G12" s="3">
        <v>0.47916666666666669</v>
      </c>
      <c r="H12">
        <v>18.8</v>
      </c>
      <c r="I12">
        <v>32</v>
      </c>
      <c r="J12">
        <v>0</v>
      </c>
      <c r="K12">
        <v>1</v>
      </c>
      <c r="L12">
        <v>0</v>
      </c>
      <c r="M12">
        <v>0</v>
      </c>
      <c r="N12">
        <v>85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0</v>
      </c>
      <c r="AG12">
        <v>0</v>
      </c>
      <c r="AH12">
        <v>0</v>
      </c>
      <c r="AI12">
        <f>SUM(L12:AH12)</f>
        <v>100</v>
      </c>
      <c r="AJ12" t="s">
        <v>11</v>
      </c>
      <c r="AK12">
        <f>0.7*N12</f>
        <v>59.499999999999993</v>
      </c>
    </row>
    <row r="13" spans="1:37" x14ac:dyDescent="0.35">
      <c r="A13" t="s">
        <v>585</v>
      </c>
      <c r="B13">
        <v>12</v>
      </c>
      <c r="C13" t="s">
        <v>810</v>
      </c>
      <c r="D13" s="2">
        <v>38487</v>
      </c>
      <c r="E13" t="s">
        <v>36</v>
      </c>
      <c r="F13" s="3">
        <v>0.47916666666666669</v>
      </c>
      <c r="G13" s="3">
        <v>0.48958333333333331</v>
      </c>
      <c r="H13">
        <v>20.5</v>
      </c>
      <c r="I13">
        <v>33</v>
      </c>
      <c r="J13">
        <v>0</v>
      </c>
      <c r="K13">
        <v>1</v>
      </c>
      <c r="L13">
        <v>0</v>
      </c>
      <c r="M13">
        <v>0</v>
      </c>
      <c r="N13">
        <v>85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</v>
      </c>
      <c r="AF13">
        <v>0</v>
      </c>
      <c r="AG13">
        <v>0</v>
      </c>
      <c r="AH13">
        <v>0</v>
      </c>
      <c r="AI13">
        <f>SUM(L13:AH13)</f>
        <v>100</v>
      </c>
      <c r="AJ13" t="s">
        <v>11</v>
      </c>
      <c r="AK13">
        <f>0.7*N13</f>
        <v>59.499999999999993</v>
      </c>
    </row>
    <row r="14" spans="1:37" x14ac:dyDescent="0.35">
      <c r="A14" t="s">
        <v>585</v>
      </c>
      <c r="B14">
        <v>13</v>
      </c>
      <c r="C14" t="s">
        <v>811</v>
      </c>
      <c r="D14" s="2">
        <v>38487</v>
      </c>
      <c r="E14" t="s">
        <v>33</v>
      </c>
      <c r="F14" s="3">
        <v>0.50486111111111109</v>
      </c>
      <c r="G14" s="3">
        <v>0.51527777777777783</v>
      </c>
      <c r="H14">
        <v>21.1</v>
      </c>
      <c r="I14">
        <v>31</v>
      </c>
      <c r="J14">
        <v>1</v>
      </c>
      <c r="K14">
        <v>1</v>
      </c>
      <c r="L14">
        <v>0</v>
      </c>
      <c r="M14">
        <v>2</v>
      </c>
      <c r="N14">
        <v>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</v>
      </c>
      <c r="AG14">
        <v>0</v>
      </c>
      <c r="AH14">
        <v>0</v>
      </c>
      <c r="AI14">
        <f>SUM(L14:AH14)</f>
        <v>100</v>
      </c>
      <c r="AJ14" t="s">
        <v>11</v>
      </c>
      <c r="AK14">
        <f>0.6*N14</f>
        <v>51</v>
      </c>
    </row>
    <row r="15" spans="1:37" x14ac:dyDescent="0.35">
      <c r="A15" t="s">
        <v>585</v>
      </c>
      <c r="B15">
        <v>14</v>
      </c>
      <c r="C15" t="s">
        <v>812</v>
      </c>
      <c r="D15" s="2">
        <v>38487</v>
      </c>
      <c r="E15" t="s">
        <v>31</v>
      </c>
      <c r="F15" s="3">
        <v>0.52777777777777779</v>
      </c>
      <c r="G15" s="3">
        <v>0.53819444444444442</v>
      </c>
      <c r="H15">
        <v>19.899999999999999</v>
      </c>
      <c r="I15">
        <v>26</v>
      </c>
      <c r="J15">
        <v>1</v>
      </c>
      <c r="K15">
        <v>1</v>
      </c>
      <c r="L15">
        <v>0</v>
      </c>
      <c r="M15">
        <v>2</v>
      </c>
      <c r="N15">
        <v>90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0</v>
      </c>
      <c r="AH15">
        <v>0</v>
      </c>
      <c r="AI15">
        <f>SUM(L15:AH15)</f>
        <v>100</v>
      </c>
      <c r="AJ15" t="s">
        <v>11</v>
      </c>
      <c r="AK15">
        <f>0.6*N15</f>
        <v>54</v>
      </c>
    </row>
    <row r="16" spans="1:37" x14ac:dyDescent="0.35">
      <c r="A16" t="s">
        <v>585</v>
      </c>
      <c r="B16">
        <v>15</v>
      </c>
      <c r="C16" t="s">
        <v>813</v>
      </c>
      <c r="D16" s="2">
        <v>38487</v>
      </c>
      <c r="E16">
        <v>0</v>
      </c>
      <c r="F16" s="3">
        <v>0.54513888888888895</v>
      </c>
      <c r="G16" s="3">
        <v>0.55555555555555558</v>
      </c>
      <c r="H16">
        <v>20.9</v>
      </c>
      <c r="I16">
        <v>30</v>
      </c>
      <c r="J16">
        <v>3</v>
      </c>
      <c r="K16">
        <v>0</v>
      </c>
      <c r="L16">
        <v>0</v>
      </c>
      <c r="M16">
        <v>0</v>
      </c>
      <c r="N16">
        <v>100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>SUM(L16:AH16)</f>
        <v>100</v>
      </c>
      <c r="AJ16" t="s">
        <v>11</v>
      </c>
      <c r="AK16">
        <f>0.8*N16</f>
        <v>80</v>
      </c>
    </row>
    <row r="17" spans="1:37" x14ac:dyDescent="0.35">
      <c r="A17" t="s">
        <v>585</v>
      </c>
      <c r="B17">
        <v>16</v>
      </c>
      <c r="C17" t="s">
        <v>814</v>
      </c>
      <c r="D17" s="2">
        <v>38494</v>
      </c>
      <c r="E17">
        <v>0</v>
      </c>
      <c r="F17" s="3">
        <v>0.38194444444444442</v>
      </c>
      <c r="G17" s="3">
        <v>0.3923611111111111</v>
      </c>
      <c r="H17">
        <v>18.7</v>
      </c>
      <c r="I17">
        <v>75</v>
      </c>
      <c r="J17">
        <v>2</v>
      </c>
      <c r="K17">
        <v>1</v>
      </c>
      <c r="L17">
        <v>40</v>
      </c>
      <c r="M17">
        <v>0</v>
      </c>
      <c r="N17">
        <v>0</v>
      </c>
      <c r="O17">
        <v>60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f>SUM(L17:AH17)</f>
        <v>100</v>
      </c>
      <c r="AJ17" t="s">
        <v>12</v>
      </c>
      <c r="AK17">
        <f>0.1*O17</f>
        <v>6</v>
      </c>
    </row>
    <row r="18" spans="1:37" x14ac:dyDescent="0.35">
      <c r="A18" t="s">
        <v>585</v>
      </c>
      <c r="B18">
        <v>17</v>
      </c>
      <c r="C18" t="s">
        <v>815</v>
      </c>
      <c r="D18" s="2">
        <v>38494</v>
      </c>
      <c r="E18" t="s">
        <v>54</v>
      </c>
      <c r="F18" s="3">
        <v>0.41388888888888892</v>
      </c>
      <c r="G18" s="3">
        <v>0.42430555555555555</v>
      </c>
      <c r="H18">
        <v>17.3</v>
      </c>
      <c r="I18">
        <v>66</v>
      </c>
      <c r="J18">
        <v>2</v>
      </c>
      <c r="K18">
        <v>1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25</v>
      </c>
      <c r="S18">
        <v>65</v>
      </c>
      <c r="T18">
        <v>0</v>
      </c>
      <c r="U18">
        <v>0</v>
      </c>
      <c r="V18">
        <v>0</v>
      </c>
      <c r="W18">
        <v>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f>SUM(L18:AH18)</f>
        <v>100</v>
      </c>
      <c r="AJ18" t="s">
        <v>83</v>
      </c>
      <c r="AK18">
        <f>0.1*R18</f>
        <v>2.5</v>
      </c>
    </row>
    <row r="19" spans="1:37" x14ac:dyDescent="0.35">
      <c r="A19" t="s">
        <v>585</v>
      </c>
      <c r="B19">
        <v>18</v>
      </c>
      <c r="C19" t="s">
        <v>816</v>
      </c>
      <c r="D19" s="2">
        <v>38494</v>
      </c>
      <c r="E19" t="s">
        <v>36</v>
      </c>
      <c r="F19" s="3">
        <v>0.44236111111111115</v>
      </c>
      <c r="G19" s="3">
        <v>0.45277777777777778</v>
      </c>
      <c r="H19">
        <v>20.2</v>
      </c>
      <c r="I19">
        <v>58</v>
      </c>
      <c r="J19">
        <v>3</v>
      </c>
      <c r="K19">
        <v>2</v>
      </c>
      <c r="L19">
        <v>0</v>
      </c>
      <c r="M19">
        <v>10</v>
      </c>
      <c r="N19">
        <v>30</v>
      </c>
      <c r="O19">
        <v>0</v>
      </c>
      <c r="P19">
        <v>0</v>
      </c>
      <c r="Q19">
        <v>0</v>
      </c>
      <c r="R19">
        <v>0</v>
      </c>
      <c r="S19">
        <v>25</v>
      </c>
      <c r="T19">
        <v>0</v>
      </c>
      <c r="U19">
        <v>0</v>
      </c>
      <c r="V19">
        <v>33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</v>
      </c>
      <c r="AG19">
        <v>0</v>
      </c>
      <c r="AH19">
        <v>0</v>
      </c>
      <c r="AI19">
        <f>SUM(L19:AH19)</f>
        <v>100</v>
      </c>
      <c r="AJ19" t="s">
        <v>11</v>
      </c>
      <c r="AK19">
        <f>0.8*N19</f>
        <v>24</v>
      </c>
    </row>
    <row r="20" spans="1:37" x14ac:dyDescent="0.35">
      <c r="A20" t="s">
        <v>585</v>
      </c>
      <c r="B20">
        <v>19</v>
      </c>
      <c r="C20" t="s">
        <v>817</v>
      </c>
      <c r="D20" s="2">
        <v>38494</v>
      </c>
      <c r="E20" t="s">
        <v>31</v>
      </c>
      <c r="F20" s="3">
        <v>0.47291666666666665</v>
      </c>
      <c r="G20" s="3">
        <v>0.48333333333333334</v>
      </c>
      <c r="H20">
        <v>21.1</v>
      </c>
      <c r="I20">
        <v>58</v>
      </c>
      <c r="J20">
        <v>2</v>
      </c>
      <c r="K20">
        <v>1</v>
      </c>
      <c r="L20">
        <v>0</v>
      </c>
      <c r="M20">
        <v>0</v>
      </c>
      <c r="N20">
        <v>90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</v>
      </c>
      <c r="AF20">
        <v>0</v>
      </c>
      <c r="AG20">
        <v>0</v>
      </c>
      <c r="AH20">
        <v>0</v>
      </c>
      <c r="AI20">
        <f>SUM(L20:AH20)</f>
        <v>100</v>
      </c>
      <c r="AJ20" t="s">
        <v>11</v>
      </c>
      <c r="AK20">
        <f>0.9*N20</f>
        <v>81</v>
      </c>
    </row>
    <row r="21" spans="1:37" x14ac:dyDescent="0.35">
      <c r="A21" t="s">
        <v>585</v>
      </c>
      <c r="B21">
        <v>20</v>
      </c>
      <c r="C21" t="s">
        <v>818</v>
      </c>
      <c r="D21" s="2">
        <v>38498</v>
      </c>
      <c r="E21">
        <v>0</v>
      </c>
      <c r="F21" s="3">
        <v>0.48749999999999999</v>
      </c>
      <c r="G21" s="3">
        <v>0.49791666666666662</v>
      </c>
      <c r="H21">
        <v>24.6</v>
      </c>
      <c r="I21">
        <v>47</v>
      </c>
      <c r="J21">
        <v>1</v>
      </c>
      <c r="K21">
        <v>2</v>
      </c>
      <c r="L21">
        <v>29</v>
      </c>
      <c r="M21">
        <v>1</v>
      </c>
      <c r="N21">
        <v>0</v>
      </c>
      <c r="O21">
        <v>70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>SUM(L21:AH21)</f>
        <v>100</v>
      </c>
      <c r="AJ21" t="s">
        <v>12</v>
      </c>
      <c r="AK21">
        <f>0.75*O21</f>
        <v>52.5</v>
      </c>
    </row>
    <row r="22" spans="1:37" x14ac:dyDescent="0.35">
      <c r="A22" t="s">
        <v>585</v>
      </c>
      <c r="B22">
        <v>21</v>
      </c>
      <c r="C22" t="s">
        <v>819</v>
      </c>
      <c r="D22" s="2">
        <v>38498</v>
      </c>
      <c r="E22" t="s">
        <v>54</v>
      </c>
      <c r="F22" s="3">
        <v>0.51944444444444449</v>
      </c>
      <c r="G22" s="3">
        <v>0.52986111111111112</v>
      </c>
      <c r="H22">
        <v>24.1</v>
      </c>
      <c r="I22">
        <v>44</v>
      </c>
      <c r="J22">
        <v>2</v>
      </c>
      <c r="K22">
        <v>2</v>
      </c>
      <c r="L22">
        <v>20</v>
      </c>
      <c r="M22">
        <v>3</v>
      </c>
      <c r="N22">
        <v>17</v>
      </c>
      <c r="O22">
        <v>5</v>
      </c>
      <c r="P22">
        <v>0</v>
      </c>
      <c r="Q22">
        <v>0</v>
      </c>
      <c r="R22">
        <v>35</v>
      </c>
      <c r="S22">
        <v>15</v>
      </c>
      <c r="T22">
        <v>0</v>
      </c>
      <c r="U22">
        <v>0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f>SUM(L22:AH22)</f>
        <v>100</v>
      </c>
      <c r="AJ22" t="s">
        <v>83</v>
      </c>
      <c r="AK22">
        <f>0.1*R22</f>
        <v>3.5</v>
      </c>
    </row>
    <row r="23" spans="1:37" x14ac:dyDescent="0.35">
      <c r="A23" t="s">
        <v>585</v>
      </c>
      <c r="B23">
        <v>21</v>
      </c>
      <c r="C23" t="s">
        <v>819</v>
      </c>
      <c r="D23" s="2">
        <v>38498</v>
      </c>
      <c r="E23" t="s">
        <v>54</v>
      </c>
      <c r="F23" s="3">
        <v>0.51944444444444449</v>
      </c>
      <c r="G23" s="3">
        <v>0.52986111111111112</v>
      </c>
      <c r="H23">
        <v>24.1</v>
      </c>
      <c r="I23">
        <v>44</v>
      </c>
      <c r="J23">
        <v>2</v>
      </c>
      <c r="K23">
        <v>2</v>
      </c>
      <c r="L23">
        <v>20</v>
      </c>
      <c r="M23">
        <v>3</v>
      </c>
      <c r="N23">
        <v>17</v>
      </c>
      <c r="O23">
        <v>5</v>
      </c>
      <c r="P23">
        <v>0</v>
      </c>
      <c r="Q23">
        <v>0</v>
      </c>
      <c r="R23">
        <v>35</v>
      </c>
      <c r="S23">
        <v>15</v>
      </c>
      <c r="T23">
        <v>0</v>
      </c>
      <c r="U23">
        <v>0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f>SUM(L23:AH23)</f>
        <v>100</v>
      </c>
      <c r="AJ23" t="s">
        <v>11</v>
      </c>
      <c r="AK23">
        <f>0.6*N23</f>
        <v>10.199999999999999</v>
      </c>
    </row>
    <row r="24" spans="1:37" x14ac:dyDescent="0.35">
      <c r="A24" t="s">
        <v>585</v>
      </c>
      <c r="B24">
        <v>21</v>
      </c>
      <c r="C24" t="s">
        <v>819</v>
      </c>
      <c r="D24" s="2">
        <v>38498</v>
      </c>
      <c r="E24" t="s">
        <v>54</v>
      </c>
      <c r="F24" s="3">
        <v>0.51944444444444449</v>
      </c>
      <c r="G24" s="3">
        <v>0.52986111111111112</v>
      </c>
      <c r="H24">
        <v>24.1</v>
      </c>
      <c r="I24">
        <v>44</v>
      </c>
      <c r="J24">
        <v>2</v>
      </c>
      <c r="K24">
        <v>2</v>
      </c>
      <c r="L24">
        <v>20</v>
      </c>
      <c r="M24">
        <v>3</v>
      </c>
      <c r="N24">
        <v>17</v>
      </c>
      <c r="O24">
        <v>5</v>
      </c>
      <c r="P24">
        <v>0</v>
      </c>
      <c r="Q24">
        <v>0</v>
      </c>
      <c r="R24">
        <v>35</v>
      </c>
      <c r="S24">
        <v>15</v>
      </c>
      <c r="T24">
        <v>0</v>
      </c>
      <c r="U24">
        <v>0</v>
      </c>
      <c r="V24">
        <v>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>SUM(L24:AH24)</f>
        <v>100</v>
      </c>
      <c r="AJ24" t="s">
        <v>12</v>
      </c>
      <c r="AK24">
        <f>0.8*O24</f>
        <v>4</v>
      </c>
    </row>
    <row r="25" spans="1:37" x14ac:dyDescent="0.35">
      <c r="A25" t="s">
        <v>585</v>
      </c>
      <c r="B25">
        <v>22</v>
      </c>
      <c r="C25" t="s">
        <v>820</v>
      </c>
      <c r="D25" s="2">
        <v>38498</v>
      </c>
      <c r="E25" t="s">
        <v>54</v>
      </c>
      <c r="F25" s="3">
        <v>0.53819444444444442</v>
      </c>
      <c r="G25" s="3">
        <v>0.54861111111111105</v>
      </c>
      <c r="H25">
        <v>27.9</v>
      </c>
      <c r="I25">
        <v>44</v>
      </c>
      <c r="J25">
        <v>4</v>
      </c>
      <c r="K25">
        <v>2</v>
      </c>
      <c r="L25">
        <v>0</v>
      </c>
      <c r="M25">
        <v>10</v>
      </c>
      <c r="N25">
        <v>0</v>
      </c>
      <c r="O25">
        <v>0</v>
      </c>
      <c r="P25">
        <v>0</v>
      </c>
      <c r="Q25">
        <v>0</v>
      </c>
      <c r="R25">
        <v>25</v>
      </c>
      <c r="S25">
        <v>55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10</v>
      </c>
      <c r="AF25">
        <v>0</v>
      </c>
      <c r="AG25">
        <v>0</v>
      </c>
      <c r="AH25">
        <v>0</v>
      </c>
      <c r="AI25">
        <f>SUM(L25:AH25)</f>
        <v>100</v>
      </c>
      <c r="AJ25" t="s">
        <v>83</v>
      </c>
      <c r="AK25">
        <f>0.25*R25</f>
        <v>6.25</v>
      </c>
    </row>
    <row r="26" spans="1:37" x14ac:dyDescent="0.35">
      <c r="A26" t="s">
        <v>585</v>
      </c>
      <c r="B26">
        <v>23</v>
      </c>
      <c r="C26" t="s">
        <v>821</v>
      </c>
      <c r="D26" s="2">
        <v>38498</v>
      </c>
      <c r="E26" t="s">
        <v>49</v>
      </c>
      <c r="F26" s="3">
        <v>0.56041666666666667</v>
      </c>
      <c r="G26" s="3">
        <v>0.5708333333333333</v>
      </c>
      <c r="H26">
        <v>25.5</v>
      </c>
      <c r="I26">
        <v>47</v>
      </c>
      <c r="J26">
        <v>3</v>
      </c>
      <c r="K26">
        <v>2</v>
      </c>
      <c r="L26">
        <v>0</v>
      </c>
      <c r="M26">
        <v>3</v>
      </c>
      <c r="N26">
        <v>45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10</v>
      </c>
      <c r="W26">
        <v>20</v>
      </c>
      <c r="X26">
        <v>0</v>
      </c>
      <c r="Y26">
        <v>1</v>
      </c>
      <c r="Z26">
        <v>0</v>
      </c>
      <c r="AA26">
        <v>0</v>
      </c>
      <c r="AB26">
        <v>0</v>
      </c>
      <c r="AC26">
        <v>20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>SUM(L26:AH26)</f>
        <v>100</v>
      </c>
      <c r="AJ26" t="s">
        <v>20</v>
      </c>
      <c r="AK26">
        <f>0.02*AC26</f>
        <v>0.4</v>
      </c>
    </row>
    <row r="27" spans="1:37" x14ac:dyDescent="0.35">
      <c r="A27" t="s">
        <v>585</v>
      </c>
      <c r="B27">
        <v>23</v>
      </c>
      <c r="C27" t="s">
        <v>821</v>
      </c>
      <c r="D27" s="2">
        <v>38498</v>
      </c>
      <c r="E27" t="s">
        <v>49</v>
      </c>
      <c r="F27" s="3">
        <v>0.56041666666666667</v>
      </c>
      <c r="G27" s="3">
        <v>0.5708333333333333</v>
      </c>
      <c r="H27">
        <v>25.5</v>
      </c>
      <c r="I27">
        <v>47</v>
      </c>
      <c r="J27">
        <v>3</v>
      </c>
      <c r="K27">
        <v>2</v>
      </c>
      <c r="L27">
        <v>0</v>
      </c>
      <c r="M27">
        <v>3</v>
      </c>
      <c r="N27">
        <v>45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10</v>
      </c>
      <c r="W27">
        <v>20</v>
      </c>
      <c r="X27">
        <v>0</v>
      </c>
      <c r="Y27">
        <v>1</v>
      </c>
      <c r="Z27">
        <v>0</v>
      </c>
      <c r="AA27">
        <v>0</v>
      </c>
      <c r="AB27">
        <v>0</v>
      </c>
      <c r="AC27">
        <v>20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f>SUM(L27:AH27)</f>
        <v>100</v>
      </c>
      <c r="AJ27" t="s">
        <v>11</v>
      </c>
      <c r="AK27">
        <f>0.9*N27</f>
        <v>40.5</v>
      </c>
    </row>
    <row r="28" spans="1:37" x14ac:dyDescent="0.35">
      <c r="A28" t="s">
        <v>585</v>
      </c>
      <c r="B28">
        <v>24</v>
      </c>
      <c r="C28" t="s">
        <v>822</v>
      </c>
      <c r="D28" s="2">
        <v>38498</v>
      </c>
      <c r="E28" t="s">
        <v>33</v>
      </c>
      <c r="F28" s="3">
        <v>0.57847222222222217</v>
      </c>
      <c r="G28" s="3">
        <v>0.58888888888888891</v>
      </c>
      <c r="H28">
        <v>27</v>
      </c>
      <c r="I28">
        <v>58</v>
      </c>
      <c r="J28">
        <v>3</v>
      </c>
      <c r="K28">
        <v>2</v>
      </c>
      <c r="L28">
        <v>0</v>
      </c>
      <c r="M28">
        <v>4</v>
      </c>
      <c r="N28">
        <v>10</v>
      </c>
      <c r="O28">
        <v>53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6</v>
      </c>
      <c r="W28">
        <v>25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>SUM(L28:AH28)</f>
        <v>100</v>
      </c>
      <c r="AJ28" t="s">
        <v>11</v>
      </c>
      <c r="AK28">
        <f>0.05*N28</f>
        <v>0.5</v>
      </c>
    </row>
    <row r="29" spans="1:37" x14ac:dyDescent="0.35">
      <c r="A29" t="s">
        <v>585</v>
      </c>
      <c r="B29">
        <v>24</v>
      </c>
      <c r="C29" t="s">
        <v>822</v>
      </c>
      <c r="D29" s="2">
        <v>38498</v>
      </c>
      <c r="E29" t="s">
        <v>33</v>
      </c>
      <c r="F29" s="3">
        <v>0.57847222222222217</v>
      </c>
      <c r="G29" s="3">
        <v>0.58888888888888891</v>
      </c>
      <c r="H29">
        <v>27</v>
      </c>
      <c r="I29">
        <v>58</v>
      </c>
      <c r="J29">
        <v>3</v>
      </c>
      <c r="K29">
        <v>2</v>
      </c>
      <c r="L29">
        <v>0</v>
      </c>
      <c r="M29">
        <v>4</v>
      </c>
      <c r="N29">
        <v>10</v>
      </c>
      <c r="O29">
        <v>53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6</v>
      </c>
      <c r="W29">
        <v>25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>SUM(L29:AH29)</f>
        <v>100</v>
      </c>
      <c r="AJ29" t="s">
        <v>12</v>
      </c>
      <c r="AK29">
        <f>0.9*O29</f>
        <v>47.7</v>
      </c>
    </row>
    <row r="30" spans="1:37" x14ac:dyDescent="0.35">
      <c r="A30" t="s">
        <v>585</v>
      </c>
      <c r="B30">
        <v>25</v>
      </c>
      <c r="C30" t="s">
        <v>823</v>
      </c>
      <c r="D30" s="2">
        <v>38498</v>
      </c>
      <c r="E30" t="s">
        <v>33</v>
      </c>
      <c r="F30" s="3">
        <v>0.59722222222222221</v>
      </c>
      <c r="G30" s="3">
        <v>0.60763888888888895</v>
      </c>
      <c r="H30">
        <v>26.7</v>
      </c>
      <c r="I30">
        <v>41</v>
      </c>
      <c r="J30">
        <v>3</v>
      </c>
      <c r="K30">
        <v>2</v>
      </c>
      <c r="L30">
        <v>0</v>
      </c>
      <c r="M30">
        <v>15</v>
      </c>
      <c r="N30">
        <v>25</v>
      </c>
      <c r="O30">
        <v>40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f>SUM(L30:AH30)</f>
        <v>100</v>
      </c>
      <c r="AJ30" t="s">
        <v>11</v>
      </c>
      <c r="AK30">
        <f>0.4*N30</f>
        <v>10</v>
      </c>
    </row>
    <row r="31" spans="1:37" x14ac:dyDescent="0.35">
      <c r="A31" t="s">
        <v>585</v>
      </c>
      <c r="B31">
        <v>25</v>
      </c>
      <c r="C31" t="s">
        <v>823</v>
      </c>
      <c r="D31" s="2">
        <v>38498</v>
      </c>
      <c r="E31" t="s">
        <v>33</v>
      </c>
      <c r="F31" s="3">
        <v>0.59722222222222221</v>
      </c>
      <c r="G31" s="3">
        <v>0.60763888888888895</v>
      </c>
      <c r="H31">
        <v>26.7</v>
      </c>
      <c r="I31">
        <v>41</v>
      </c>
      <c r="J31">
        <v>3</v>
      </c>
      <c r="K31">
        <v>2</v>
      </c>
      <c r="L31">
        <v>0</v>
      </c>
      <c r="M31">
        <v>15</v>
      </c>
      <c r="N31">
        <v>25</v>
      </c>
      <c r="O31">
        <v>40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20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f>SUM(L31:AH31)</f>
        <v>100</v>
      </c>
      <c r="AJ31" t="s">
        <v>12</v>
      </c>
      <c r="AK31">
        <f>0.8*O31</f>
        <v>32</v>
      </c>
    </row>
    <row r="32" spans="1:37" x14ac:dyDescent="0.35">
      <c r="A32" t="s">
        <v>585</v>
      </c>
      <c r="B32">
        <v>25</v>
      </c>
      <c r="C32" t="s">
        <v>823</v>
      </c>
      <c r="D32" s="2">
        <v>38498</v>
      </c>
      <c r="E32" t="s">
        <v>33</v>
      </c>
      <c r="F32" s="3">
        <v>0.59722222222222221</v>
      </c>
      <c r="G32" s="3">
        <v>0.60763888888888895</v>
      </c>
      <c r="H32">
        <v>26.7</v>
      </c>
      <c r="I32">
        <v>41</v>
      </c>
      <c r="J32">
        <v>3</v>
      </c>
      <c r="K32">
        <v>2</v>
      </c>
      <c r="L32">
        <v>0</v>
      </c>
      <c r="M32">
        <v>15</v>
      </c>
      <c r="N32">
        <v>25</v>
      </c>
      <c r="O32">
        <v>40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f>SUM(L32:AH32)</f>
        <v>100</v>
      </c>
      <c r="AJ32" t="s">
        <v>10</v>
      </c>
      <c r="AK32">
        <f>0.05*M32</f>
        <v>0.75</v>
      </c>
    </row>
    <row r="33" spans="1:37" x14ac:dyDescent="0.35">
      <c r="A33" t="s">
        <v>585</v>
      </c>
      <c r="B33">
        <v>26</v>
      </c>
      <c r="C33" t="s">
        <v>824</v>
      </c>
      <c r="D33" s="2">
        <v>38498</v>
      </c>
      <c r="E33" t="s">
        <v>49</v>
      </c>
      <c r="F33" s="3">
        <v>0.61875000000000002</v>
      </c>
      <c r="G33" s="3">
        <v>0.62916666666666665</v>
      </c>
      <c r="H33">
        <v>25.1</v>
      </c>
      <c r="I33">
        <v>34</v>
      </c>
      <c r="J33">
        <v>3</v>
      </c>
      <c r="K33">
        <v>2</v>
      </c>
      <c r="L33">
        <v>0</v>
      </c>
      <c r="M33">
        <v>2</v>
      </c>
      <c r="N33">
        <v>90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8</v>
      </c>
      <c r="AF33">
        <v>0</v>
      </c>
      <c r="AG33">
        <v>0</v>
      </c>
      <c r="AH33">
        <v>0</v>
      </c>
      <c r="AI33">
        <f>SUM(L33:AH33)</f>
        <v>100</v>
      </c>
      <c r="AJ33" t="s">
        <v>11</v>
      </c>
      <c r="AK33">
        <f>0.8*N33</f>
        <v>72</v>
      </c>
    </row>
    <row r="34" spans="1:37" x14ac:dyDescent="0.35">
      <c r="A34" t="s">
        <v>585</v>
      </c>
      <c r="B34">
        <v>27</v>
      </c>
      <c r="C34" t="s">
        <v>825</v>
      </c>
      <c r="D34" s="2">
        <v>38500</v>
      </c>
      <c r="E34">
        <v>0</v>
      </c>
      <c r="F34" s="3">
        <v>0.48333333333333334</v>
      </c>
      <c r="G34" s="3">
        <v>0.49375000000000002</v>
      </c>
      <c r="H34">
        <v>30.6</v>
      </c>
      <c r="I34">
        <v>43</v>
      </c>
      <c r="J34">
        <v>1</v>
      </c>
      <c r="K34">
        <v>2</v>
      </c>
      <c r="L34">
        <v>0</v>
      </c>
      <c r="M34">
        <v>0</v>
      </c>
      <c r="N34">
        <v>0</v>
      </c>
      <c r="O34">
        <v>95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f>SUM(L34:AH34)</f>
        <v>100</v>
      </c>
      <c r="AJ34" t="s">
        <v>12</v>
      </c>
      <c r="AK34">
        <f>0.8*O34</f>
        <v>76</v>
      </c>
    </row>
    <row r="35" spans="1:37" x14ac:dyDescent="0.35">
      <c r="A35" t="s">
        <v>585</v>
      </c>
      <c r="B35">
        <v>28</v>
      </c>
      <c r="C35" t="s">
        <v>826</v>
      </c>
      <c r="D35" s="2">
        <v>38500</v>
      </c>
      <c r="E35" t="s">
        <v>54</v>
      </c>
      <c r="F35" s="3">
        <v>0.5</v>
      </c>
      <c r="G35" s="3">
        <v>0.51041666666666663</v>
      </c>
      <c r="H35">
        <v>27.7</v>
      </c>
      <c r="I35">
        <v>35</v>
      </c>
      <c r="J35">
        <v>1</v>
      </c>
      <c r="K35">
        <v>2</v>
      </c>
      <c r="L35">
        <v>20</v>
      </c>
      <c r="M35">
        <v>3</v>
      </c>
      <c r="N35">
        <v>17</v>
      </c>
      <c r="O35">
        <v>5</v>
      </c>
      <c r="P35">
        <v>0</v>
      </c>
      <c r="Q35">
        <v>0</v>
      </c>
      <c r="R35">
        <v>35</v>
      </c>
      <c r="S35">
        <v>15</v>
      </c>
      <c r="T35">
        <v>0</v>
      </c>
      <c r="U35">
        <v>0</v>
      </c>
      <c r="V35">
        <v>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f>SUM(L35:AH35)</f>
        <v>100</v>
      </c>
      <c r="AJ35" t="s">
        <v>83</v>
      </c>
      <c r="AK35">
        <f>0.1*R35</f>
        <v>3.5</v>
      </c>
    </row>
    <row r="36" spans="1:37" x14ac:dyDescent="0.35">
      <c r="A36" t="s">
        <v>585</v>
      </c>
      <c r="B36">
        <v>28</v>
      </c>
      <c r="C36" t="s">
        <v>826</v>
      </c>
      <c r="D36" s="2">
        <v>38500</v>
      </c>
      <c r="E36" t="s">
        <v>54</v>
      </c>
      <c r="F36" s="3">
        <v>0.5</v>
      </c>
      <c r="G36" s="3">
        <v>0.51041666666666663</v>
      </c>
      <c r="H36">
        <v>27.7</v>
      </c>
      <c r="I36">
        <v>35</v>
      </c>
      <c r="J36">
        <v>1</v>
      </c>
      <c r="K36">
        <v>2</v>
      </c>
      <c r="L36">
        <v>20</v>
      </c>
      <c r="M36">
        <v>3</v>
      </c>
      <c r="N36">
        <v>17</v>
      </c>
      <c r="O36">
        <v>5</v>
      </c>
      <c r="P36">
        <v>0</v>
      </c>
      <c r="Q36">
        <v>0</v>
      </c>
      <c r="R36">
        <v>35</v>
      </c>
      <c r="S36">
        <v>15</v>
      </c>
      <c r="T36">
        <v>0</v>
      </c>
      <c r="U36">
        <v>0</v>
      </c>
      <c r="V36">
        <v>5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f>SUM(L36:AH36)</f>
        <v>100</v>
      </c>
      <c r="AJ36" t="s">
        <v>11</v>
      </c>
      <c r="AK36">
        <f>0.3*N36</f>
        <v>5.0999999999999996</v>
      </c>
    </row>
    <row r="37" spans="1:37" x14ac:dyDescent="0.35">
      <c r="A37" t="s">
        <v>585</v>
      </c>
      <c r="B37">
        <v>28</v>
      </c>
      <c r="C37" t="s">
        <v>826</v>
      </c>
      <c r="D37" s="2">
        <v>38500</v>
      </c>
      <c r="E37" t="s">
        <v>54</v>
      </c>
      <c r="F37" s="3">
        <v>0.5</v>
      </c>
      <c r="G37" s="3">
        <v>0.51041666666666663</v>
      </c>
      <c r="H37">
        <v>27.7</v>
      </c>
      <c r="I37">
        <v>35</v>
      </c>
      <c r="J37">
        <v>1</v>
      </c>
      <c r="K37">
        <v>2</v>
      </c>
      <c r="L37">
        <v>20</v>
      </c>
      <c r="M37">
        <v>3</v>
      </c>
      <c r="N37">
        <v>17</v>
      </c>
      <c r="O37">
        <v>5</v>
      </c>
      <c r="P37">
        <v>0</v>
      </c>
      <c r="Q37">
        <v>0</v>
      </c>
      <c r="R37">
        <v>35</v>
      </c>
      <c r="S37">
        <v>15</v>
      </c>
      <c r="T37">
        <v>0</v>
      </c>
      <c r="U37">
        <v>0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f>SUM(L37:AH37)</f>
        <v>100</v>
      </c>
      <c r="AJ37" t="s">
        <v>12</v>
      </c>
      <c r="AK37">
        <f>0.9*O37</f>
        <v>4.5</v>
      </c>
    </row>
    <row r="38" spans="1:37" x14ac:dyDescent="0.35">
      <c r="A38" t="s">
        <v>585</v>
      </c>
      <c r="B38">
        <v>29</v>
      </c>
      <c r="C38" t="s">
        <v>827</v>
      </c>
      <c r="D38" s="2">
        <v>38500</v>
      </c>
      <c r="E38" t="s">
        <v>54</v>
      </c>
      <c r="F38" s="3">
        <v>0.51875000000000004</v>
      </c>
      <c r="G38" s="3">
        <v>0.52916666666666667</v>
      </c>
      <c r="H38">
        <v>28.9</v>
      </c>
      <c r="I38">
        <v>27</v>
      </c>
      <c r="J38">
        <v>0</v>
      </c>
      <c r="K38">
        <v>2</v>
      </c>
      <c r="L38">
        <v>0</v>
      </c>
      <c r="M38">
        <v>20</v>
      </c>
      <c r="N38">
        <v>0</v>
      </c>
      <c r="O38">
        <v>0</v>
      </c>
      <c r="P38">
        <v>0</v>
      </c>
      <c r="Q38">
        <v>0</v>
      </c>
      <c r="R38">
        <v>25</v>
      </c>
      <c r="S38">
        <v>34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20</v>
      </c>
      <c r="AG38">
        <v>0</v>
      </c>
      <c r="AH38">
        <v>0</v>
      </c>
      <c r="AI38">
        <f>SUM(L38:AH38)</f>
        <v>100</v>
      </c>
      <c r="AJ38" t="s">
        <v>83</v>
      </c>
      <c r="AK38">
        <f>0.08*R38</f>
        <v>2</v>
      </c>
    </row>
    <row r="39" spans="1:37" x14ac:dyDescent="0.35">
      <c r="A39" t="s">
        <v>585</v>
      </c>
      <c r="B39">
        <v>29</v>
      </c>
      <c r="C39" t="s">
        <v>827</v>
      </c>
      <c r="D39" s="2">
        <v>38500</v>
      </c>
      <c r="E39" t="s">
        <v>54</v>
      </c>
      <c r="F39" s="3">
        <v>0.51875000000000004</v>
      </c>
      <c r="G39" s="3">
        <v>0.52916666666666667</v>
      </c>
      <c r="H39">
        <v>28.9</v>
      </c>
      <c r="I39">
        <v>27</v>
      </c>
      <c r="J39">
        <v>0</v>
      </c>
      <c r="K39">
        <v>2</v>
      </c>
      <c r="L39">
        <v>0</v>
      </c>
      <c r="M39">
        <v>20</v>
      </c>
      <c r="N39">
        <v>0</v>
      </c>
      <c r="O39">
        <v>0</v>
      </c>
      <c r="P39">
        <v>0</v>
      </c>
      <c r="Q39">
        <v>0</v>
      </c>
      <c r="R39">
        <v>25</v>
      </c>
      <c r="S39">
        <v>34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20</v>
      </c>
      <c r="AG39">
        <v>0</v>
      </c>
      <c r="AH39">
        <v>0</v>
      </c>
      <c r="AI39">
        <f>SUM(L39:AH39)</f>
        <v>100</v>
      </c>
      <c r="AJ39" t="s">
        <v>20</v>
      </c>
      <c r="AK39">
        <f>0.01*AC39</f>
        <v>0.01</v>
      </c>
    </row>
    <row r="40" spans="1:37" x14ac:dyDescent="0.35">
      <c r="A40" t="s">
        <v>585</v>
      </c>
      <c r="B40">
        <v>29</v>
      </c>
      <c r="C40" t="s">
        <v>827</v>
      </c>
      <c r="D40" s="2">
        <v>38500</v>
      </c>
      <c r="E40" t="s">
        <v>54</v>
      </c>
      <c r="F40" s="3">
        <v>0.51875000000000004</v>
      </c>
      <c r="G40" s="3">
        <v>0.52916666666666667</v>
      </c>
      <c r="H40">
        <v>28.9</v>
      </c>
      <c r="I40">
        <v>27</v>
      </c>
      <c r="J40">
        <v>0</v>
      </c>
      <c r="K40">
        <v>2</v>
      </c>
      <c r="L40">
        <v>0</v>
      </c>
      <c r="M40">
        <v>20</v>
      </c>
      <c r="N40">
        <v>0</v>
      </c>
      <c r="O40">
        <v>0</v>
      </c>
      <c r="P40">
        <v>0</v>
      </c>
      <c r="Q40">
        <v>0</v>
      </c>
      <c r="R40">
        <v>25</v>
      </c>
      <c r="S40">
        <v>34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20</v>
      </c>
      <c r="AG40">
        <v>0</v>
      </c>
      <c r="AH40">
        <v>0</v>
      </c>
      <c r="AI40">
        <f>SUM(L40:AH40)</f>
        <v>100</v>
      </c>
      <c r="AJ40" t="s">
        <v>10</v>
      </c>
      <c r="AK40">
        <f>0.01*M40</f>
        <v>0.2</v>
      </c>
    </row>
    <row r="41" spans="1:37" x14ac:dyDescent="0.35">
      <c r="A41" t="s">
        <v>585</v>
      </c>
      <c r="B41">
        <v>30</v>
      </c>
      <c r="C41" t="s">
        <v>828</v>
      </c>
      <c r="D41" s="2">
        <v>38500</v>
      </c>
      <c r="E41" t="s">
        <v>54</v>
      </c>
      <c r="F41" s="3">
        <v>0.53402777777777777</v>
      </c>
      <c r="G41" s="3">
        <v>0.5444444444444444</v>
      </c>
      <c r="H41">
        <v>30.1</v>
      </c>
      <c r="I41">
        <v>37</v>
      </c>
      <c r="J41">
        <v>0</v>
      </c>
      <c r="K41">
        <v>2</v>
      </c>
      <c r="L41">
        <v>0</v>
      </c>
      <c r="M41">
        <v>20</v>
      </c>
      <c r="N41">
        <v>0</v>
      </c>
      <c r="O41">
        <v>8</v>
      </c>
      <c r="P41">
        <v>0</v>
      </c>
      <c r="Q41">
        <v>0</v>
      </c>
      <c r="R41">
        <v>0</v>
      </c>
      <c r="S41">
        <v>35</v>
      </c>
      <c r="T41">
        <v>0</v>
      </c>
      <c r="U41">
        <v>0</v>
      </c>
      <c r="V41">
        <v>5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20</v>
      </c>
      <c r="AD41">
        <v>0</v>
      </c>
      <c r="AE41">
        <v>0</v>
      </c>
      <c r="AF41">
        <v>2</v>
      </c>
      <c r="AG41">
        <v>0</v>
      </c>
      <c r="AH41">
        <v>0</v>
      </c>
      <c r="AI41">
        <f>SUM(L41:AH41)</f>
        <v>100</v>
      </c>
      <c r="AJ41" t="s">
        <v>20</v>
      </c>
      <c r="AK41">
        <f>0.07*AC41</f>
        <v>1.4000000000000001</v>
      </c>
    </row>
    <row r="42" spans="1:37" x14ac:dyDescent="0.35">
      <c r="A42" t="s">
        <v>585</v>
      </c>
      <c r="B42">
        <v>30</v>
      </c>
      <c r="C42" t="s">
        <v>828</v>
      </c>
      <c r="D42" s="2">
        <v>38500</v>
      </c>
      <c r="E42" t="s">
        <v>54</v>
      </c>
      <c r="F42" s="3">
        <v>0.53402777777777777</v>
      </c>
      <c r="G42" s="3">
        <v>0.5444444444444444</v>
      </c>
      <c r="H42">
        <v>30.1</v>
      </c>
      <c r="I42">
        <v>37</v>
      </c>
      <c r="J42">
        <v>0</v>
      </c>
      <c r="K42">
        <v>2</v>
      </c>
      <c r="L42">
        <v>0</v>
      </c>
      <c r="M42">
        <v>20</v>
      </c>
      <c r="N42">
        <v>0</v>
      </c>
      <c r="O42">
        <v>8</v>
      </c>
      <c r="P42">
        <v>0</v>
      </c>
      <c r="Q42">
        <v>0</v>
      </c>
      <c r="R42">
        <v>0</v>
      </c>
      <c r="S42">
        <v>35</v>
      </c>
      <c r="T42">
        <v>0</v>
      </c>
      <c r="U42">
        <v>0</v>
      </c>
      <c r="V42">
        <v>5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20</v>
      </c>
      <c r="AD42">
        <v>0</v>
      </c>
      <c r="AE42">
        <v>0</v>
      </c>
      <c r="AF42">
        <v>2</v>
      </c>
      <c r="AG42">
        <v>0</v>
      </c>
      <c r="AH42">
        <v>0</v>
      </c>
      <c r="AI42">
        <f>SUM(L42:AH42)</f>
        <v>100</v>
      </c>
      <c r="AJ42" t="s">
        <v>10</v>
      </c>
      <c r="AK42">
        <f>0.01*M42</f>
        <v>0.2</v>
      </c>
    </row>
    <row r="43" spans="1:37" x14ac:dyDescent="0.35">
      <c r="A43" t="s">
        <v>585</v>
      </c>
      <c r="B43">
        <v>31</v>
      </c>
      <c r="C43" t="s">
        <v>829</v>
      </c>
      <c r="D43" s="2">
        <v>38500</v>
      </c>
      <c r="E43" t="s">
        <v>49</v>
      </c>
      <c r="F43" s="3">
        <v>0.55138888888888882</v>
      </c>
      <c r="G43" s="3">
        <v>0.56180555555555556</v>
      </c>
      <c r="H43">
        <v>26.1</v>
      </c>
      <c r="I43">
        <v>44</v>
      </c>
      <c r="J43">
        <v>1</v>
      </c>
      <c r="K43">
        <v>2</v>
      </c>
      <c r="L43">
        <v>0</v>
      </c>
      <c r="M43">
        <v>0</v>
      </c>
      <c r="N43">
        <v>85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</v>
      </c>
      <c r="AF43">
        <v>0</v>
      </c>
      <c r="AG43">
        <v>0</v>
      </c>
      <c r="AH43">
        <v>0</v>
      </c>
      <c r="AI43">
        <f>SUM(L43:AH43)</f>
        <v>100</v>
      </c>
      <c r="AJ43" t="s">
        <v>11</v>
      </c>
      <c r="AK43">
        <f>0.6*N43</f>
        <v>51</v>
      </c>
    </row>
    <row r="44" spans="1:37" x14ac:dyDescent="0.35">
      <c r="A44" t="s">
        <v>585</v>
      </c>
      <c r="B44">
        <v>31</v>
      </c>
      <c r="C44" t="s">
        <v>829</v>
      </c>
      <c r="D44" s="2">
        <v>38500</v>
      </c>
      <c r="E44" t="s">
        <v>49</v>
      </c>
      <c r="F44" s="3">
        <v>0.55138888888888882</v>
      </c>
      <c r="G44" s="3">
        <v>0.56180555555555556</v>
      </c>
      <c r="H44">
        <v>26.1</v>
      </c>
      <c r="I44">
        <v>44</v>
      </c>
      <c r="J44">
        <v>1</v>
      </c>
      <c r="K44">
        <v>2</v>
      </c>
      <c r="L44">
        <v>0</v>
      </c>
      <c r="M44">
        <v>0</v>
      </c>
      <c r="N44">
        <v>85</v>
      </c>
      <c r="O44">
        <v>1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13</v>
      </c>
      <c r="AF44">
        <v>0</v>
      </c>
      <c r="AG44">
        <v>0</v>
      </c>
      <c r="AH44">
        <v>0</v>
      </c>
      <c r="AI44">
        <f>SUM(L44:AH44)</f>
        <v>100</v>
      </c>
      <c r="AJ44" t="s">
        <v>12</v>
      </c>
      <c r="AK44">
        <f>0.8*O44</f>
        <v>0.8</v>
      </c>
    </row>
    <row r="45" spans="1:37" x14ac:dyDescent="0.35">
      <c r="A45" t="s">
        <v>585</v>
      </c>
      <c r="B45">
        <v>32</v>
      </c>
      <c r="C45" t="s">
        <v>830</v>
      </c>
      <c r="D45" s="2">
        <v>38500</v>
      </c>
      <c r="E45" t="s">
        <v>36</v>
      </c>
      <c r="F45" s="3">
        <v>0.56527777777777777</v>
      </c>
      <c r="G45" s="3">
        <v>0.5756944444444444</v>
      </c>
      <c r="H45">
        <v>28.6</v>
      </c>
      <c r="I45">
        <v>46</v>
      </c>
      <c r="J45">
        <v>2</v>
      </c>
      <c r="K45">
        <v>2</v>
      </c>
      <c r="L45">
        <v>0</v>
      </c>
      <c r="M45">
        <v>0</v>
      </c>
      <c r="N45">
        <v>75</v>
      </c>
      <c r="O45">
        <v>15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</v>
      </c>
      <c r="AF45">
        <v>0</v>
      </c>
      <c r="AG45">
        <v>0</v>
      </c>
      <c r="AH45">
        <v>0</v>
      </c>
      <c r="AI45">
        <f>SUM(L45:AH45)</f>
        <v>100</v>
      </c>
      <c r="AJ45" t="s">
        <v>11</v>
      </c>
      <c r="AK45">
        <f>0.4*N45</f>
        <v>30</v>
      </c>
    </row>
    <row r="46" spans="1:37" x14ac:dyDescent="0.35">
      <c r="A46" t="s">
        <v>585</v>
      </c>
      <c r="B46">
        <v>32</v>
      </c>
      <c r="C46" t="s">
        <v>830</v>
      </c>
      <c r="D46" s="2">
        <v>38500</v>
      </c>
      <c r="E46" t="s">
        <v>36</v>
      </c>
      <c r="F46" s="3">
        <v>0.56527777777777777</v>
      </c>
      <c r="G46" s="3">
        <v>0.5756944444444444</v>
      </c>
      <c r="H46">
        <v>28.6</v>
      </c>
      <c r="I46">
        <v>46</v>
      </c>
      <c r="J46">
        <v>2</v>
      </c>
      <c r="K46">
        <v>2</v>
      </c>
      <c r="L46">
        <v>0</v>
      </c>
      <c r="M46">
        <v>0</v>
      </c>
      <c r="N46">
        <v>75</v>
      </c>
      <c r="O46">
        <v>15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</v>
      </c>
      <c r="AF46">
        <v>0</v>
      </c>
      <c r="AG46">
        <v>0</v>
      </c>
      <c r="AH46">
        <v>0</v>
      </c>
      <c r="AI46">
        <f>SUM(L46:AH46)</f>
        <v>100</v>
      </c>
      <c r="AJ46" t="s">
        <v>12</v>
      </c>
      <c r="AK46">
        <f>0.8*O46</f>
        <v>12</v>
      </c>
    </row>
    <row r="47" spans="1:37" x14ac:dyDescent="0.35">
      <c r="A47" t="s">
        <v>585</v>
      </c>
      <c r="B47">
        <v>33</v>
      </c>
      <c r="C47" t="s">
        <v>831</v>
      </c>
      <c r="D47" s="2">
        <v>38500</v>
      </c>
      <c r="E47" t="s">
        <v>33</v>
      </c>
      <c r="F47" s="3">
        <v>0.58750000000000002</v>
      </c>
      <c r="G47" s="3">
        <v>0.59791666666666665</v>
      </c>
      <c r="H47">
        <v>30.9</v>
      </c>
      <c r="I47">
        <v>35</v>
      </c>
      <c r="J47">
        <v>2</v>
      </c>
      <c r="K47">
        <v>2</v>
      </c>
      <c r="L47">
        <v>10</v>
      </c>
      <c r="M47">
        <v>45</v>
      </c>
      <c r="N47">
        <v>25</v>
      </c>
      <c r="O47">
        <v>0</v>
      </c>
      <c r="P47">
        <v>0</v>
      </c>
      <c r="Q47">
        <v>0</v>
      </c>
      <c r="R47">
        <v>0</v>
      </c>
      <c r="S47">
        <v>5</v>
      </c>
      <c r="T47">
        <v>0</v>
      </c>
      <c r="U47">
        <v>0</v>
      </c>
      <c r="V47">
        <v>5</v>
      </c>
      <c r="W47">
        <v>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</v>
      </c>
      <c r="AG47">
        <v>0</v>
      </c>
      <c r="AH47">
        <v>0</v>
      </c>
      <c r="AI47">
        <f>SUM(L47:AH47)</f>
        <v>100</v>
      </c>
      <c r="AJ47" t="s">
        <v>11</v>
      </c>
      <c r="AK47">
        <f>0.6*N47</f>
        <v>15</v>
      </c>
    </row>
    <row r="48" spans="1:37" x14ac:dyDescent="0.35">
      <c r="A48" t="s">
        <v>585</v>
      </c>
      <c r="B48">
        <v>33</v>
      </c>
      <c r="C48" t="s">
        <v>831</v>
      </c>
      <c r="D48" s="2">
        <v>38500</v>
      </c>
      <c r="E48" t="s">
        <v>33</v>
      </c>
      <c r="F48" s="3">
        <v>0.58750000000000002</v>
      </c>
      <c r="G48" s="3">
        <v>0.59791666666666665</v>
      </c>
      <c r="H48">
        <v>30.9</v>
      </c>
      <c r="I48">
        <v>35</v>
      </c>
      <c r="J48">
        <v>2</v>
      </c>
      <c r="K48">
        <v>2</v>
      </c>
      <c r="L48">
        <v>10</v>
      </c>
      <c r="M48">
        <v>45</v>
      </c>
      <c r="N48">
        <v>25</v>
      </c>
      <c r="O48">
        <v>0</v>
      </c>
      <c r="P48">
        <v>0</v>
      </c>
      <c r="Q48">
        <v>0</v>
      </c>
      <c r="R48">
        <v>0</v>
      </c>
      <c r="S48">
        <v>5</v>
      </c>
      <c r="T48">
        <v>0</v>
      </c>
      <c r="U48">
        <v>0</v>
      </c>
      <c r="V48">
        <v>5</v>
      </c>
      <c r="W48">
        <v>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0</v>
      </c>
      <c r="AH48">
        <v>0</v>
      </c>
      <c r="AI48">
        <f>SUM(L48:AH48)</f>
        <v>100</v>
      </c>
      <c r="AJ48" t="s">
        <v>10</v>
      </c>
      <c r="AK48">
        <f>0.2*M48</f>
        <v>9</v>
      </c>
    </row>
    <row r="49" spans="1:37" x14ac:dyDescent="0.35">
      <c r="A49" t="s">
        <v>585</v>
      </c>
      <c r="B49">
        <v>34</v>
      </c>
      <c r="C49" t="s">
        <v>832</v>
      </c>
      <c r="D49" s="2">
        <v>38502</v>
      </c>
      <c r="E49" t="s">
        <v>31</v>
      </c>
      <c r="F49" s="3">
        <v>0.44305555555555554</v>
      </c>
      <c r="G49" s="3">
        <v>0.45347222222222222</v>
      </c>
      <c r="H49">
        <v>19.8</v>
      </c>
      <c r="I49">
        <v>44</v>
      </c>
      <c r="J49">
        <v>4</v>
      </c>
      <c r="K49">
        <v>1</v>
      </c>
      <c r="L49">
        <v>0</v>
      </c>
      <c r="M49">
        <v>0</v>
      </c>
      <c r="N49">
        <v>90</v>
      </c>
      <c r="O49">
        <v>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</v>
      </c>
      <c r="AF49">
        <v>0</v>
      </c>
      <c r="AG49">
        <v>0</v>
      </c>
      <c r="AH49">
        <v>0</v>
      </c>
      <c r="AI49">
        <f>SUM(L49:AH49)</f>
        <v>100</v>
      </c>
      <c r="AJ49" t="s">
        <v>11</v>
      </c>
      <c r="AK49">
        <f>0.25*N49</f>
        <v>22.5</v>
      </c>
    </row>
    <row r="50" spans="1:37" x14ac:dyDescent="0.35">
      <c r="A50" t="s">
        <v>585</v>
      </c>
      <c r="B50">
        <v>34</v>
      </c>
      <c r="C50" t="s">
        <v>832</v>
      </c>
      <c r="D50" s="2">
        <v>38502</v>
      </c>
      <c r="E50" t="s">
        <v>31</v>
      </c>
      <c r="F50" s="3">
        <v>0.44305555555555554</v>
      </c>
      <c r="G50" s="3">
        <v>0.45347222222222222</v>
      </c>
      <c r="H50">
        <v>19.8</v>
      </c>
      <c r="I50">
        <v>44</v>
      </c>
      <c r="J50">
        <v>4</v>
      </c>
      <c r="K50">
        <v>1</v>
      </c>
      <c r="L50">
        <v>0</v>
      </c>
      <c r="M50">
        <v>0</v>
      </c>
      <c r="N50">
        <v>90</v>
      </c>
      <c r="O50">
        <v>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</v>
      </c>
      <c r="AF50">
        <v>0</v>
      </c>
      <c r="AG50">
        <v>0</v>
      </c>
      <c r="AH50">
        <v>0</v>
      </c>
      <c r="AI50">
        <f>SUM(L50:AH50)</f>
        <v>100</v>
      </c>
      <c r="AJ50" t="s">
        <v>12</v>
      </c>
      <c r="AK50">
        <f>0.6*O50</f>
        <v>1.7999999999999998</v>
      </c>
    </row>
    <row r="51" spans="1:37" x14ac:dyDescent="0.35">
      <c r="A51" t="s">
        <v>585</v>
      </c>
      <c r="B51">
        <v>35</v>
      </c>
      <c r="C51" t="s">
        <v>833</v>
      </c>
      <c r="D51" s="2">
        <v>38502</v>
      </c>
      <c r="E51" t="s">
        <v>33</v>
      </c>
      <c r="F51" s="3">
        <v>0.48819444444444443</v>
      </c>
      <c r="G51" s="3">
        <v>0.49861111111111112</v>
      </c>
      <c r="H51">
        <v>19.399999999999999</v>
      </c>
      <c r="I51">
        <v>41</v>
      </c>
      <c r="J51">
        <v>3</v>
      </c>
      <c r="K51">
        <v>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10</v>
      </c>
      <c r="S51">
        <v>80</v>
      </c>
      <c r="T51">
        <v>10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f>SUM(L51:AH51)</f>
        <v>100</v>
      </c>
      <c r="AJ51" t="s">
        <v>83</v>
      </c>
      <c r="AK51">
        <f>0.2*R51</f>
        <v>2</v>
      </c>
    </row>
    <row r="52" spans="1:37" x14ac:dyDescent="0.35">
      <c r="A52" t="s">
        <v>585</v>
      </c>
      <c r="B52">
        <v>36</v>
      </c>
      <c r="C52" t="s">
        <v>834</v>
      </c>
      <c r="D52" s="2">
        <v>38502</v>
      </c>
      <c r="E52" t="s">
        <v>31</v>
      </c>
      <c r="F52" s="3">
        <v>0.50694444444444442</v>
      </c>
      <c r="G52" s="3">
        <v>0.51736111111111105</v>
      </c>
      <c r="H52">
        <v>24.8</v>
      </c>
      <c r="I52">
        <v>34</v>
      </c>
      <c r="J52">
        <v>2</v>
      </c>
      <c r="K52">
        <v>2</v>
      </c>
      <c r="L52">
        <v>0</v>
      </c>
      <c r="M52">
        <v>45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2</v>
      </c>
      <c r="AG52">
        <v>0</v>
      </c>
      <c r="AH52">
        <v>0</v>
      </c>
      <c r="AI52">
        <f>SUM(L52:AH52)</f>
        <v>100</v>
      </c>
      <c r="AJ52" t="s">
        <v>11</v>
      </c>
      <c r="AK52">
        <f>0.1*N52</f>
        <v>0.5</v>
      </c>
    </row>
    <row r="53" spans="1:37" x14ac:dyDescent="0.35">
      <c r="A53" t="s">
        <v>585</v>
      </c>
      <c r="B53">
        <v>36</v>
      </c>
      <c r="C53" t="s">
        <v>834</v>
      </c>
      <c r="D53" s="2">
        <v>38502</v>
      </c>
      <c r="E53" t="s">
        <v>31</v>
      </c>
      <c r="F53" s="3">
        <v>0.50694444444444442</v>
      </c>
      <c r="G53" s="3">
        <v>0.51736111111111105</v>
      </c>
      <c r="H53">
        <v>24.8</v>
      </c>
      <c r="I53">
        <v>34</v>
      </c>
      <c r="J53">
        <v>2</v>
      </c>
      <c r="K53">
        <v>2</v>
      </c>
      <c r="L53">
        <v>0</v>
      </c>
      <c r="M53">
        <v>45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48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f>SUM(L53:AH53)</f>
        <v>100</v>
      </c>
      <c r="AJ53" t="s">
        <v>10</v>
      </c>
      <c r="AK53">
        <f>0.4*M53</f>
        <v>18</v>
      </c>
    </row>
    <row r="54" spans="1:37" x14ac:dyDescent="0.35">
      <c r="A54" t="s">
        <v>585</v>
      </c>
      <c r="B54">
        <v>37</v>
      </c>
      <c r="C54" t="s">
        <v>835</v>
      </c>
      <c r="D54" s="2">
        <v>38510</v>
      </c>
      <c r="E54" t="s">
        <v>54</v>
      </c>
      <c r="F54" s="3">
        <v>0.58819444444444446</v>
      </c>
      <c r="G54" s="3">
        <v>0.59861111111111109</v>
      </c>
      <c r="H54">
        <v>21.5</v>
      </c>
      <c r="I54">
        <v>35</v>
      </c>
      <c r="J54">
        <v>1</v>
      </c>
      <c r="K54">
        <v>3</v>
      </c>
      <c r="L54">
        <v>0</v>
      </c>
      <c r="M54">
        <v>3</v>
      </c>
      <c r="N54">
        <v>0</v>
      </c>
      <c r="O54">
        <v>40</v>
      </c>
      <c r="P54">
        <v>0</v>
      </c>
      <c r="Q54">
        <v>0</v>
      </c>
      <c r="R54">
        <v>30</v>
      </c>
      <c r="S54">
        <v>10</v>
      </c>
      <c r="T54">
        <v>0</v>
      </c>
      <c r="U54">
        <v>0</v>
      </c>
      <c r="V54">
        <v>4</v>
      </c>
      <c r="W54">
        <v>5</v>
      </c>
      <c r="X54">
        <v>0</v>
      </c>
      <c r="Y54">
        <v>0</v>
      </c>
      <c r="Z54">
        <v>0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6</v>
      </c>
      <c r="AG54">
        <v>0</v>
      </c>
      <c r="AH54">
        <v>0</v>
      </c>
      <c r="AI54">
        <f>SUM(L54:AH54)</f>
        <v>100</v>
      </c>
      <c r="AJ54" t="s">
        <v>84</v>
      </c>
      <c r="AK54">
        <f>0.3*R54</f>
        <v>9</v>
      </c>
    </row>
    <row r="55" spans="1:37" x14ac:dyDescent="0.35">
      <c r="A55" t="s">
        <v>585</v>
      </c>
      <c r="B55">
        <v>37</v>
      </c>
      <c r="C55" t="s">
        <v>835</v>
      </c>
      <c r="D55" s="2">
        <v>38510</v>
      </c>
      <c r="E55" t="s">
        <v>54</v>
      </c>
      <c r="F55" s="3">
        <v>0.58819444444444446</v>
      </c>
      <c r="G55" s="3">
        <v>0.59861111111111109</v>
      </c>
      <c r="H55">
        <v>21.5</v>
      </c>
      <c r="I55">
        <v>35</v>
      </c>
      <c r="J55">
        <v>1</v>
      </c>
      <c r="K55">
        <v>3</v>
      </c>
      <c r="L55">
        <v>0</v>
      </c>
      <c r="M55">
        <v>3</v>
      </c>
      <c r="N55">
        <v>0</v>
      </c>
      <c r="O55">
        <v>40</v>
      </c>
      <c r="P55">
        <v>0</v>
      </c>
      <c r="Q55">
        <v>0</v>
      </c>
      <c r="R55">
        <v>30</v>
      </c>
      <c r="S55">
        <v>10</v>
      </c>
      <c r="T55">
        <v>0</v>
      </c>
      <c r="U55">
        <v>0</v>
      </c>
      <c r="V55">
        <v>4</v>
      </c>
      <c r="W55">
        <v>5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6</v>
      </c>
      <c r="AG55">
        <v>0</v>
      </c>
      <c r="AH55">
        <v>0</v>
      </c>
      <c r="AI55">
        <f>SUM(L55:AH55)</f>
        <v>100</v>
      </c>
      <c r="AJ55" t="s">
        <v>20</v>
      </c>
      <c r="AK55">
        <f>0.3*AC55</f>
        <v>0.6</v>
      </c>
    </row>
    <row r="56" spans="1:37" x14ac:dyDescent="0.35">
      <c r="A56" t="s">
        <v>585</v>
      </c>
      <c r="B56">
        <v>37</v>
      </c>
      <c r="C56" t="s">
        <v>835</v>
      </c>
      <c r="D56" s="2">
        <v>38510</v>
      </c>
      <c r="E56" t="s">
        <v>54</v>
      </c>
      <c r="F56" s="3">
        <v>0.58819444444444446</v>
      </c>
      <c r="G56" s="3">
        <v>0.59861111111111109</v>
      </c>
      <c r="H56">
        <v>21.5</v>
      </c>
      <c r="I56">
        <v>35</v>
      </c>
      <c r="J56">
        <v>1</v>
      </c>
      <c r="K56">
        <v>3</v>
      </c>
      <c r="L56">
        <v>0</v>
      </c>
      <c r="M56">
        <v>3</v>
      </c>
      <c r="N56">
        <v>0</v>
      </c>
      <c r="O56">
        <v>40</v>
      </c>
      <c r="P56">
        <v>0</v>
      </c>
      <c r="Q56">
        <v>0</v>
      </c>
      <c r="R56">
        <v>30</v>
      </c>
      <c r="S56">
        <v>10</v>
      </c>
      <c r="T56">
        <v>0</v>
      </c>
      <c r="U56">
        <v>0</v>
      </c>
      <c r="V56">
        <v>4</v>
      </c>
      <c r="W56">
        <v>5</v>
      </c>
      <c r="X56">
        <v>0</v>
      </c>
      <c r="Y56">
        <v>0</v>
      </c>
      <c r="Z56">
        <v>0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6</v>
      </c>
      <c r="AG56">
        <v>0</v>
      </c>
      <c r="AH56">
        <v>0</v>
      </c>
      <c r="AI56">
        <f>SUM(L56:AH56)</f>
        <v>100</v>
      </c>
      <c r="AJ56" t="s">
        <v>10</v>
      </c>
      <c r="AK56">
        <f>0.5*M56</f>
        <v>1.5</v>
      </c>
    </row>
    <row r="57" spans="1:37" x14ac:dyDescent="0.35">
      <c r="A57" t="s">
        <v>585</v>
      </c>
      <c r="B57">
        <v>38</v>
      </c>
      <c r="C57" t="s">
        <v>836</v>
      </c>
      <c r="D57" s="2">
        <v>38510</v>
      </c>
      <c r="E57" t="s">
        <v>54</v>
      </c>
      <c r="F57" s="3">
        <v>0.60624999999999996</v>
      </c>
      <c r="G57" s="3">
        <v>0.6166666666666667</v>
      </c>
      <c r="H57">
        <v>23.3</v>
      </c>
      <c r="I57">
        <v>30</v>
      </c>
      <c r="J57">
        <v>1</v>
      </c>
      <c r="K57">
        <v>3</v>
      </c>
      <c r="L57">
        <v>48</v>
      </c>
      <c r="M57">
        <v>40</v>
      </c>
      <c r="N57">
        <v>2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2</v>
      </c>
      <c r="AG57">
        <v>0</v>
      </c>
      <c r="AH57">
        <v>0</v>
      </c>
      <c r="AI57">
        <f>SUM(L57:AH57)</f>
        <v>100</v>
      </c>
      <c r="AJ57" t="s">
        <v>20</v>
      </c>
      <c r="AK57">
        <f>0.01*AC57</f>
        <v>0.01</v>
      </c>
    </row>
    <row r="58" spans="1:37" x14ac:dyDescent="0.35">
      <c r="A58" t="s">
        <v>585</v>
      </c>
      <c r="B58">
        <v>38</v>
      </c>
      <c r="C58" t="s">
        <v>836</v>
      </c>
      <c r="D58" s="2">
        <v>38510</v>
      </c>
      <c r="E58" t="s">
        <v>54</v>
      </c>
      <c r="F58" s="3">
        <v>0.60624999999999996</v>
      </c>
      <c r="G58" s="3">
        <v>0.6166666666666667</v>
      </c>
      <c r="H58">
        <v>23.3</v>
      </c>
      <c r="I58">
        <v>30</v>
      </c>
      <c r="J58">
        <v>1</v>
      </c>
      <c r="K58">
        <v>3</v>
      </c>
      <c r="L58">
        <v>48</v>
      </c>
      <c r="M58">
        <v>40</v>
      </c>
      <c r="N58">
        <v>2</v>
      </c>
      <c r="O58">
        <v>0</v>
      </c>
      <c r="P58">
        <v>0</v>
      </c>
      <c r="Q58">
        <v>0</v>
      </c>
      <c r="R58">
        <v>0</v>
      </c>
      <c r="S58">
        <v>7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2</v>
      </c>
      <c r="AG58">
        <v>0</v>
      </c>
      <c r="AH58">
        <v>0</v>
      </c>
      <c r="AI58">
        <f>SUM(L58:AH58)</f>
        <v>100</v>
      </c>
      <c r="AJ58" t="s">
        <v>11</v>
      </c>
      <c r="AK58">
        <f>0.05*N58</f>
        <v>0.1</v>
      </c>
    </row>
    <row r="59" spans="1:37" x14ac:dyDescent="0.35">
      <c r="A59" t="s">
        <v>585</v>
      </c>
      <c r="B59">
        <v>38</v>
      </c>
      <c r="C59" t="s">
        <v>836</v>
      </c>
      <c r="D59" s="2">
        <v>38510</v>
      </c>
      <c r="E59" t="s">
        <v>54</v>
      </c>
      <c r="F59" s="3">
        <v>0.60624999999999996</v>
      </c>
      <c r="G59" s="3">
        <v>0.6166666666666667</v>
      </c>
      <c r="H59">
        <v>23.3</v>
      </c>
      <c r="I59">
        <v>30</v>
      </c>
      <c r="J59">
        <v>1</v>
      </c>
      <c r="K59">
        <v>3</v>
      </c>
      <c r="L59">
        <v>48</v>
      </c>
      <c r="M59">
        <v>40</v>
      </c>
      <c r="N59">
        <v>2</v>
      </c>
      <c r="O59">
        <v>0</v>
      </c>
      <c r="P59">
        <v>0</v>
      </c>
      <c r="Q59">
        <v>0</v>
      </c>
      <c r="R59">
        <v>0</v>
      </c>
      <c r="S59">
        <v>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2</v>
      </c>
      <c r="AG59">
        <v>0</v>
      </c>
      <c r="AH59">
        <v>0</v>
      </c>
      <c r="AI59">
        <f>SUM(L59:AH59)</f>
        <v>100</v>
      </c>
      <c r="AJ59" t="s">
        <v>10</v>
      </c>
      <c r="AK59">
        <f>0.7*M59</f>
        <v>28</v>
      </c>
    </row>
    <row r="60" spans="1:37" x14ac:dyDescent="0.35">
      <c r="A60" t="s">
        <v>585</v>
      </c>
      <c r="B60">
        <v>39</v>
      </c>
      <c r="C60" t="s">
        <v>837</v>
      </c>
      <c r="D60" s="2">
        <v>38510</v>
      </c>
      <c r="E60" t="s">
        <v>33</v>
      </c>
      <c r="F60" s="3">
        <v>0.61944444444444446</v>
      </c>
      <c r="G60" s="3">
        <v>0.62986111111111109</v>
      </c>
      <c r="H60">
        <v>22.1</v>
      </c>
      <c r="I60">
        <v>31</v>
      </c>
      <c r="J60">
        <v>1</v>
      </c>
      <c r="K60">
        <v>3</v>
      </c>
      <c r="L60">
        <v>0</v>
      </c>
      <c r="M60">
        <v>8</v>
      </c>
      <c r="N60">
        <v>0</v>
      </c>
      <c r="O60">
        <v>59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30</v>
      </c>
      <c r="X60">
        <v>0</v>
      </c>
      <c r="Y60">
        <v>0</v>
      </c>
      <c r="Z60">
        <v>0</v>
      </c>
      <c r="AA60">
        <v>0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0</v>
      </c>
      <c r="AI60">
        <f>SUM(L60:AH60)</f>
        <v>100</v>
      </c>
      <c r="AJ60" t="s">
        <v>20</v>
      </c>
      <c r="AK60">
        <f>0.35*AC60</f>
        <v>0.7</v>
      </c>
    </row>
    <row r="61" spans="1:37" x14ac:dyDescent="0.35">
      <c r="A61" t="s">
        <v>585</v>
      </c>
      <c r="B61">
        <v>39</v>
      </c>
      <c r="C61" t="s">
        <v>837</v>
      </c>
      <c r="D61" s="2">
        <v>38510</v>
      </c>
      <c r="E61" t="s">
        <v>33</v>
      </c>
      <c r="F61" s="3">
        <v>0.61944444444444446</v>
      </c>
      <c r="G61" s="3">
        <v>0.62986111111111109</v>
      </c>
      <c r="H61">
        <v>22.1</v>
      </c>
      <c r="I61">
        <v>31</v>
      </c>
      <c r="J61">
        <v>1</v>
      </c>
      <c r="K61">
        <v>3</v>
      </c>
      <c r="L61">
        <v>0</v>
      </c>
      <c r="M61">
        <v>8</v>
      </c>
      <c r="N61">
        <v>0</v>
      </c>
      <c r="O61">
        <v>59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30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f>SUM(L61:AH61)</f>
        <v>100</v>
      </c>
      <c r="AJ61" t="s">
        <v>12</v>
      </c>
      <c r="AK61">
        <f>0.25*O61</f>
        <v>14.75</v>
      </c>
    </row>
    <row r="62" spans="1:37" x14ac:dyDescent="0.35">
      <c r="A62" t="s">
        <v>585</v>
      </c>
      <c r="B62">
        <v>39</v>
      </c>
      <c r="C62" t="s">
        <v>837</v>
      </c>
      <c r="D62" s="2">
        <v>38510</v>
      </c>
      <c r="E62" t="s">
        <v>33</v>
      </c>
      <c r="F62" s="3">
        <v>0.61944444444444446</v>
      </c>
      <c r="G62" s="3">
        <v>0.62986111111111109</v>
      </c>
      <c r="H62">
        <v>22.1</v>
      </c>
      <c r="I62">
        <v>31</v>
      </c>
      <c r="J62">
        <v>1</v>
      </c>
      <c r="K62">
        <v>3</v>
      </c>
      <c r="L62">
        <v>0</v>
      </c>
      <c r="M62">
        <v>8</v>
      </c>
      <c r="N62">
        <v>0</v>
      </c>
      <c r="O62">
        <v>59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30</v>
      </c>
      <c r="X62">
        <v>0</v>
      </c>
      <c r="Y62">
        <v>0</v>
      </c>
      <c r="Z62">
        <v>0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0</v>
      </c>
      <c r="AI62">
        <f>SUM(L62:AH62)</f>
        <v>100</v>
      </c>
      <c r="AJ62" t="s">
        <v>10</v>
      </c>
      <c r="AK62">
        <f>0.7*M62</f>
        <v>5.6</v>
      </c>
    </row>
    <row r="63" spans="1:37" x14ac:dyDescent="0.35">
      <c r="A63" t="s">
        <v>585</v>
      </c>
      <c r="B63">
        <v>40</v>
      </c>
      <c r="C63" t="s">
        <v>838</v>
      </c>
      <c r="D63" s="2">
        <v>38512</v>
      </c>
      <c r="E63">
        <v>0</v>
      </c>
      <c r="F63" s="3">
        <v>0.44444444444444442</v>
      </c>
      <c r="G63" s="3">
        <v>0.4548611111111111</v>
      </c>
      <c r="H63">
        <v>21.9</v>
      </c>
      <c r="I63">
        <v>57</v>
      </c>
      <c r="J63">
        <v>1</v>
      </c>
      <c r="K63">
        <v>2</v>
      </c>
      <c r="L63">
        <v>0</v>
      </c>
      <c r="M63">
        <v>35</v>
      </c>
      <c r="N63">
        <v>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10</v>
      </c>
      <c r="W63">
        <v>5</v>
      </c>
      <c r="X63">
        <v>0</v>
      </c>
      <c r="Y63">
        <v>0</v>
      </c>
      <c r="Z63">
        <v>0</v>
      </c>
      <c r="AA63">
        <v>0</v>
      </c>
      <c r="AB63">
        <v>0</v>
      </c>
      <c r="AC63">
        <v>5</v>
      </c>
      <c r="AD63">
        <v>0</v>
      </c>
      <c r="AE63">
        <v>42</v>
      </c>
      <c r="AF63">
        <v>0</v>
      </c>
      <c r="AG63">
        <v>0</v>
      </c>
      <c r="AH63">
        <v>0</v>
      </c>
      <c r="AI63">
        <f>SUM(L63:AH63)</f>
        <v>100</v>
      </c>
      <c r="AJ63" t="s">
        <v>20</v>
      </c>
      <c r="AK63">
        <f>0.1*AC63</f>
        <v>0.5</v>
      </c>
    </row>
    <row r="64" spans="1:37" x14ac:dyDescent="0.35">
      <c r="A64" t="s">
        <v>585</v>
      </c>
      <c r="B64">
        <v>40</v>
      </c>
      <c r="C64" t="s">
        <v>838</v>
      </c>
      <c r="D64" s="2">
        <v>38512</v>
      </c>
      <c r="E64">
        <v>0</v>
      </c>
      <c r="F64" s="3">
        <v>0.44444444444444442</v>
      </c>
      <c r="G64" s="3">
        <v>0.4548611111111111</v>
      </c>
      <c r="H64">
        <v>21.9</v>
      </c>
      <c r="I64">
        <v>57</v>
      </c>
      <c r="J64">
        <v>1</v>
      </c>
      <c r="K64">
        <v>2</v>
      </c>
      <c r="L64">
        <v>0</v>
      </c>
      <c r="M64">
        <v>35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5</v>
      </c>
      <c r="X64">
        <v>0</v>
      </c>
      <c r="Y64">
        <v>0</v>
      </c>
      <c r="Z64">
        <v>0</v>
      </c>
      <c r="AA64">
        <v>0</v>
      </c>
      <c r="AB64">
        <v>0</v>
      </c>
      <c r="AC64">
        <v>5</v>
      </c>
      <c r="AD64">
        <v>0</v>
      </c>
      <c r="AE64">
        <v>42</v>
      </c>
      <c r="AF64">
        <v>0</v>
      </c>
      <c r="AG64">
        <v>0</v>
      </c>
      <c r="AH64">
        <v>0</v>
      </c>
      <c r="AI64">
        <f>SUM(L64:AH64)</f>
        <v>100</v>
      </c>
      <c r="AJ64" t="s">
        <v>10</v>
      </c>
      <c r="AK64">
        <f>0.5*M64</f>
        <v>17.5</v>
      </c>
    </row>
    <row r="65" spans="1:37" x14ac:dyDescent="0.35">
      <c r="A65" t="s">
        <v>585</v>
      </c>
      <c r="B65">
        <v>41</v>
      </c>
      <c r="C65" t="s">
        <v>839</v>
      </c>
      <c r="D65" s="2">
        <v>38512</v>
      </c>
      <c r="E65" t="s">
        <v>33</v>
      </c>
      <c r="F65" s="3">
        <v>0.46666666666666662</v>
      </c>
      <c r="G65" s="3">
        <v>0.4770833333333333</v>
      </c>
      <c r="H65">
        <v>24.7</v>
      </c>
      <c r="I65">
        <v>46</v>
      </c>
      <c r="J65">
        <v>1</v>
      </c>
      <c r="K65">
        <v>1</v>
      </c>
      <c r="L65">
        <v>0</v>
      </c>
      <c r="M65">
        <v>8</v>
      </c>
      <c r="N65">
        <v>2</v>
      </c>
      <c r="O65">
        <v>50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25</v>
      </c>
      <c r="W65">
        <v>0</v>
      </c>
      <c r="X65">
        <v>0</v>
      </c>
      <c r="Y65">
        <v>7</v>
      </c>
      <c r="Z65">
        <v>0</v>
      </c>
      <c r="AA65">
        <v>0</v>
      </c>
      <c r="AB65">
        <v>0</v>
      </c>
      <c r="AC65">
        <v>8</v>
      </c>
      <c r="AD65">
        <v>0</v>
      </c>
      <c r="AE65">
        <v>0</v>
      </c>
      <c r="AF65">
        <v>0</v>
      </c>
      <c r="AG65">
        <v>0</v>
      </c>
      <c r="AH65">
        <v>0</v>
      </c>
      <c r="AI65">
        <f>SUM(L65:AH65)</f>
        <v>100</v>
      </c>
      <c r="AJ65" t="s">
        <v>20</v>
      </c>
      <c r="AK65">
        <f>0.1*AC65</f>
        <v>0.8</v>
      </c>
    </row>
    <row r="66" spans="1:37" x14ac:dyDescent="0.35">
      <c r="A66" t="s">
        <v>585</v>
      </c>
      <c r="B66">
        <v>41</v>
      </c>
      <c r="C66" t="s">
        <v>839</v>
      </c>
      <c r="D66" s="2">
        <v>38512</v>
      </c>
      <c r="E66" t="s">
        <v>33</v>
      </c>
      <c r="F66" s="3">
        <v>0.46666666666666662</v>
      </c>
      <c r="G66" s="3">
        <v>0.4770833333333333</v>
      </c>
      <c r="H66">
        <v>24.7</v>
      </c>
      <c r="I66">
        <v>46</v>
      </c>
      <c r="J66">
        <v>1</v>
      </c>
      <c r="K66">
        <v>1</v>
      </c>
      <c r="L66">
        <v>0</v>
      </c>
      <c r="M66">
        <v>8</v>
      </c>
      <c r="N66">
        <v>2</v>
      </c>
      <c r="O66">
        <v>50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25</v>
      </c>
      <c r="W66">
        <v>0</v>
      </c>
      <c r="X66">
        <v>0</v>
      </c>
      <c r="Y66">
        <v>7</v>
      </c>
      <c r="Z66">
        <v>0</v>
      </c>
      <c r="AA66">
        <v>0</v>
      </c>
      <c r="AB66">
        <v>0</v>
      </c>
      <c r="AC66">
        <v>8</v>
      </c>
      <c r="AD66">
        <v>0</v>
      </c>
      <c r="AE66">
        <v>0</v>
      </c>
      <c r="AF66">
        <v>0</v>
      </c>
      <c r="AG66">
        <v>0</v>
      </c>
      <c r="AH66">
        <v>0</v>
      </c>
      <c r="AI66">
        <f>SUM(L66:AH66)</f>
        <v>100</v>
      </c>
      <c r="AJ66" t="s">
        <v>12</v>
      </c>
      <c r="AK66">
        <f>0.15*O66</f>
        <v>7.5</v>
      </c>
    </row>
    <row r="67" spans="1:37" x14ac:dyDescent="0.35">
      <c r="A67" t="s">
        <v>585</v>
      </c>
      <c r="B67">
        <v>41</v>
      </c>
      <c r="C67" t="s">
        <v>839</v>
      </c>
      <c r="D67" s="2">
        <v>38512</v>
      </c>
      <c r="E67" t="s">
        <v>33</v>
      </c>
      <c r="F67" s="3">
        <v>0.46666666666666662</v>
      </c>
      <c r="G67" s="3">
        <v>0.4770833333333333</v>
      </c>
      <c r="H67">
        <v>24.7</v>
      </c>
      <c r="I67">
        <v>46</v>
      </c>
      <c r="J67">
        <v>1</v>
      </c>
      <c r="K67">
        <v>1</v>
      </c>
      <c r="L67">
        <v>0</v>
      </c>
      <c r="M67">
        <v>8</v>
      </c>
      <c r="N67">
        <v>2</v>
      </c>
      <c r="O67">
        <v>50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25</v>
      </c>
      <c r="W67">
        <v>0</v>
      </c>
      <c r="X67">
        <v>0</v>
      </c>
      <c r="Y67">
        <v>7</v>
      </c>
      <c r="Z67">
        <v>0</v>
      </c>
      <c r="AA67">
        <v>0</v>
      </c>
      <c r="AB67">
        <v>0</v>
      </c>
      <c r="AC67">
        <v>8</v>
      </c>
      <c r="AD67">
        <v>0</v>
      </c>
      <c r="AE67">
        <v>0</v>
      </c>
      <c r="AF67">
        <v>0</v>
      </c>
      <c r="AG67">
        <v>0</v>
      </c>
      <c r="AH67">
        <v>0</v>
      </c>
      <c r="AI67">
        <f>SUM(L67:AH67)</f>
        <v>100</v>
      </c>
      <c r="AJ67" t="s">
        <v>10</v>
      </c>
      <c r="AK67">
        <f>0.2*M67</f>
        <v>1.6</v>
      </c>
    </row>
    <row r="68" spans="1:37" x14ac:dyDescent="0.35">
      <c r="A68" t="s">
        <v>585</v>
      </c>
      <c r="B68">
        <v>42</v>
      </c>
      <c r="C68" t="s">
        <v>840</v>
      </c>
      <c r="D68" s="2">
        <v>38512</v>
      </c>
      <c r="E68" t="s">
        <v>31</v>
      </c>
      <c r="F68" s="3">
        <v>0.48680555555555555</v>
      </c>
      <c r="G68" s="3">
        <v>0.49722222222222223</v>
      </c>
      <c r="H68">
        <v>25.8</v>
      </c>
      <c r="I68">
        <v>23</v>
      </c>
      <c r="J68">
        <v>2</v>
      </c>
      <c r="K68">
        <v>2</v>
      </c>
      <c r="L68">
        <v>0</v>
      </c>
      <c r="M68">
        <v>15</v>
      </c>
      <c r="N68">
        <v>0</v>
      </c>
      <c r="O68">
        <v>10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40</v>
      </c>
      <c r="W68">
        <v>10</v>
      </c>
      <c r="X68">
        <v>0</v>
      </c>
      <c r="Y68">
        <v>0</v>
      </c>
      <c r="Z68">
        <v>0</v>
      </c>
      <c r="AA68">
        <v>10</v>
      </c>
      <c r="AB68">
        <v>0</v>
      </c>
      <c r="AC68">
        <v>5</v>
      </c>
      <c r="AD68">
        <v>0</v>
      </c>
      <c r="AE68">
        <v>0</v>
      </c>
      <c r="AF68">
        <v>10</v>
      </c>
      <c r="AG68">
        <v>0</v>
      </c>
      <c r="AH68">
        <v>0</v>
      </c>
      <c r="AI68">
        <f>SUM(L68:AH68)</f>
        <v>100</v>
      </c>
      <c r="AJ68" t="s">
        <v>19</v>
      </c>
      <c r="AK68">
        <f>0.1*AA68</f>
        <v>1</v>
      </c>
    </row>
    <row r="69" spans="1:37" x14ac:dyDescent="0.35">
      <c r="A69" t="s">
        <v>585</v>
      </c>
      <c r="B69">
        <v>42</v>
      </c>
      <c r="C69" t="s">
        <v>840</v>
      </c>
      <c r="D69" s="2">
        <v>38512</v>
      </c>
      <c r="E69" t="s">
        <v>31</v>
      </c>
      <c r="F69" s="3">
        <v>0.48680555555555555</v>
      </c>
      <c r="G69" s="3">
        <v>0.49722222222222223</v>
      </c>
      <c r="H69">
        <v>25.8</v>
      </c>
      <c r="I69">
        <v>23</v>
      </c>
      <c r="J69">
        <v>2</v>
      </c>
      <c r="K69">
        <v>2</v>
      </c>
      <c r="L69">
        <v>0</v>
      </c>
      <c r="M69">
        <v>15</v>
      </c>
      <c r="N69">
        <v>0</v>
      </c>
      <c r="O69">
        <v>10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40</v>
      </c>
      <c r="W69">
        <v>10</v>
      </c>
      <c r="X69">
        <v>0</v>
      </c>
      <c r="Y69">
        <v>0</v>
      </c>
      <c r="Z69">
        <v>0</v>
      </c>
      <c r="AA69">
        <v>10</v>
      </c>
      <c r="AB69">
        <v>0</v>
      </c>
      <c r="AC69">
        <v>5</v>
      </c>
      <c r="AD69">
        <v>0</v>
      </c>
      <c r="AE69">
        <v>0</v>
      </c>
      <c r="AF69">
        <v>10</v>
      </c>
      <c r="AG69">
        <v>0</v>
      </c>
      <c r="AH69">
        <v>0</v>
      </c>
      <c r="AI69">
        <f>SUM(L69:AH69)</f>
        <v>100</v>
      </c>
      <c r="AJ69" t="s">
        <v>20</v>
      </c>
      <c r="AK69">
        <f>0.1*AC69</f>
        <v>0.5</v>
      </c>
    </row>
    <row r="70" spans="1:37" x14ac:dyDescent="0.35">
      <c r="A70" t="s">
        <v>585</v>
      </c>
      <c r="B70">
        <v>42</v>
      </c>
      <c r="C70" t="s">
        <v>840</v>
      </c>
      <c r="D70" s="2">
        <v>38512</v>
      </c>
      <c r="E70" t="s">
        <v>31</v>
      </c>
      <c r="F70" s="3">
        <v>0.48680555555555555</v>
      </c>
      <c r="G70" s="3">
        <v>0.49722222222222223</v>
      </c>
      <c r="H70">
        <v>25.8</v>
      </c>
      <c r="I70">
        <v>23</v>
      </c>
      <c r="J70">
        <v>2</v>
      </c>
      <c r="K70">
        <v>2</v>
      </c>
      <c r="L70">
        <v>0</v>
      </c>
      <c r="M70">
        <v>15</v>
      </c>
      <c r="N70">
        <v>0</v>
      </c>
      <c r="O70">
        <v>10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40</v>
      </c>
      <c r="W70">
        <v>10</v>
      </c>
      <c r="X70">
        <v>0</v>
      </c>
      <c r="Y70">
        <v>0</v>
      </c>
      <c r="Z70">
        <v>0</v>
      </c>
      <c r="AA70">
        <v>10</v>
      </c>
      <c r="AB70">
        <v>0</v>
      </c>
      <c r="AC70">
        <v>5</v>
      </c>
      <c r="AD70">
        <v>0</v>
      </c>
      <c r="AE70">
        <v>0</v>
      </c>
      <c r="AF70">
        <v>10</v>
      </c>
      <c r="AG70">
        <v>0</v>
      </c>
      <c r="AH70">
        <v>0</v>
      </c>
      <c r="AI70">
        <f>SUM(L70:AH70)</f>
        <v>100</v>
      </c>
      <c r="AJ70" t="s">
        <v>12</v>
      </c>
      <c r="AK70">
        <f>0.05*O70</f>
        <v>0.5</v>
      </c>
    </row>
    <row r="71" spans="1:37" x14ac:dyDescent="0.35">
      <c r="A71" t="s">
        <v>585</v>
      </c>
      <c r="B71">
        <v>42</v>
      </c>
      <c r="C71" t="s">
        <v>840</v>
      </c>
      <c r="D71" s="2">
        <v>38512</v>
      </c>
      <c r="E71" t="s">
        <v>31</v>
      </c>
      <c r="F71" s="3">
        <v>0.48680555555555555</v>
      </c>
      <c r="G71" s="3">
        <v>0.49722222222222223</v>
      </c>
      <c r="H71">
        <v>25.8</v>
      </c>
      <c r="I71">
        <v>23</v>
      </c>
      <c r="J71">
        <v>2</v>
      </c>
      <c r="K71">
        <v>2</v>
      </c>
      <c r="L71">
        <v>0</v>
      </c>
      <c r="M71">
        <v>15</v>
      </c>
      <c r="N71">
        <v>0</v>
      </c>
      <c r="O71">
        <v>10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40</v>
      </c>
      <c r="W71">
        <v>10</v>
      </c>
      <c r="X71">
        <v>0</v>
      </c>
      <c r="Y71">
        <v>0</v>
      </c>
      <c r="Z71">
        <v>0</v>
      </c>
      <c r="AA71">
        <v>10</v>
      </c>
      <c r="AB71">
        <v>0</v>
      </c>
      <c r="AC71">
        <v>5</v>
      </c>
      <c r="AD71">
        <v>0</v>
      </c>
      <c r="AE71">
        <v>0</v>
      </c>
      <c r="AF71">
        <v>10</v>
      </c>
      <c r="AG71">
        <v>0</v>
      </c>
      <c r="AH71">
        <v>0</v>
      </c>
      <c r="AI71">
        <f>SUM(L71:AH71)</f>
        <v>100</v>
      </c>
      <c r="AJ71" t="s">
        <v>10</v>
      </c>
      <c r="AK71">
        <f>0.15*M71</f>
        <v>2.25</v>
      </c>
    </row>
    <row r="72" spans="1:37" x14ac:dyDescent="0.35">
      <c r="A72" t="s">
        <v>585</v>
      </c>
      <c r="B72">
        <v>43</v>
      </c>
      <c r="C72" t="s">
        <v>841</v>
      </c>
      <c r="D72" s="2">
        <v>38512</v>
      </c>
      <c r="E72" t="s">
        <v>33</v>
      </c>
      <c r="F72" s="3">
        <v>0.50763888888888886</v>
      </c>
      <c r="G72" s="3">
        <v>0.5180555555555556</v>
      </c>
      <c r="H72">
        <v>26.4</v>
      </c>
      <c r="I72">
        <v>40</v>
      </c>
      <c r="J72">
        <v>2</v>
      </c>
      <c r="K72">
        <v>2</v>
      </c>
      <c r="L72">
        <v>38</v>
      </c>
      <c r="M72">
        <v>45</v>
      </c>
      <c r="N72">
        <v>1</v>
      </c>
      <c r="O72">
        <v>0</v>
      </c>
      <c r="P72">
        <v>0</v>
      </c>
      <c r="Q72">
        <v>0</v>
      </c>
      <c r="R72">
        <v>0</v>
      </c>
      <c r="S72">
        <v>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7</v>
      </c>
      <c r="AD72">
        <v>0</v>
      </c>
      <c r="AE72">
        <v>0</v>
      </c>
      <c r="AF72">
        <v>1</v>
      </c>
      <c r="AG72">
        <v>0</v>
      </c>
      <c r="AH72">
        <v>0</v>
      </c>
      <c r="AI72">
        <f>SUM(L72:AH72)</f>
        <v>100</v>
      </c>
      <c r="AJ72" t="s">
        <v>20</v>
      </c>
      <c r="AK72">
        <f>0.23*AC72</f>
        <v>1.61</v>
      </c>
    </row>
    <row r="73" spans="1:37" x14ac:dyDescent="0.35">
      <c r="A73" t="s">
        <v>585</v>
      </c>
      <c r="B73">
        <v>43</v>
      </c>
      <c r="C73" t="s">
        <v>841</v>
      </c>
      <c r="D73" s="2">
        <v>38512</v>
      </c>
      <c r="E73" t="s">
        <v>33</v>
      </c>
      <c r="F73" s="3">
        <v>0.50763888888888886</v>
      </c>
      <c r="G73" s="3">
        <v>0.5180555555555556</v>
      </c>
      <c r="H73">
        <v>26.4</v>
      </c>
      <c r="I73">
        <v>40</v>
      </c>
      <c r="J73">
        <v>2</v>
      </c>
      <c r="K73">
        <v>2</v>
      </c>
      <c r="L73">
        <v>38</v>
      </c>
      <c r="M73">
        <v>45</v>
      </c>
      <c r="N73">
        <v>1</v>
      </c>
      <c r="O73">
        <v>0</v>
      </c>
      <c r="P73">
        <v>0</v>
      </c>
      <c r="Q73">
        <v>0</v>
      </c>
      <c r="R73">
        <v>0</v>
      </c>
      <c r="S73">
        <v>8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7</v>
      </c>
      <c r="AD73">
        <v>0</v>
      </c>
      <c r="AE73">
        <v>0</v>
      </c>
      <c r="AF73">
        <v>1</v>
      </c>
      <c r="AG73">
        <v>0</v>
      </c>
      <c r="AH73">
        <v>0</v>
      </c>
      <c r="AI73">
        <f>SUM(L73:AH73)</f>
        <v>100</v>
      </c>
      <c r="AJ73" t="s">
        <v>11</v>
      </c>
      <c r="AK73">
        <f>0.01*N73</f>
        <v>0.01</v>
      </c>
    </row>
    <row r="74" spans="1:37" x14ac:dyDescent="0.35">
      <c r="A74" t="s">
        <v>585</v>
      </c>
      <c r="B74">
        <v>43</v>
      </c>
      <c r="C74" t="s">
        <v>841</v>
      </c>
      <c r="D74" s="2">
        <v>38512</v>
      </c>
      <c r="E74" t="s">
        <v>33</v>
      </c>
      <c r="F74" s="3">
        <v>0.50763888888888886</v>
      </c>
      <c r="G74" s="3">
        <v>0.5180555555555556</v>
      </c>
      <c r="H74">
        <v>26.4</v>
      </c>
      <c r="I74">
        <v>40</v>
      </c>
      <c r="J74">
        <v>2</v>
      </c>
      <c r="K74">
        <v>2</v>
      </c>
      <c r="L74">
        <v>38</v>
      </c>
      <c r="M74">
        <v>45</v>
      </c>
      <c r="N74">
        <v>1</v>
      </c>
      <c r="O74">
        <v>0</v>
      </c>
      <c r="P74">
        <v>0</v>
      </c>
      <c r="Q74">
        <v>0</v>
      </c>
      <c r="R74">
        <v>0</v>
      </c>
      <c r="S74">
        <v>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</v>
      </c>
      <c r="AD74">
        <v>0</v>
      </c>
      <c r="AE74">
        <v>0</v>
      </c>
      <c r="AF74">
        <v>1</v>
      </c>
      <c r="AG74">
        <v>0</v>
      </c>
      <c r="AH74">
        <v>0</v>
      </c>
      <c r="AI74">
        <f>SUM(L74:AH74)</f>
        <v>100</v>
      </c>
      <c r="AJ74" t="s">
        <v>10</v>
      </c>
      <c r="AK74">
        <f>0.6*M74</f>
        <v>27</v>
      </c>
    </row>
    <row r="75" spans="1:37" x14ac:dyDescent="0.35">
      <c r="A75" t="s">
        <v>585</v>
      </c>
      <c r="B75">
        <v>44</v>
      </c>
      <c r="C75" t="s">
        <v>842</v>
      </c>
      <c r="D75" s="2">
        <v>38512</v>
      </c>
      <c r="E75" t="s">
        <v>49</v>
      </c>
      <c r="F75" s="3">
        <v>0.53125</v>
      </c>
      <c r="G75" s="3">
        <v>0.54166666666666663</v>
      </c>
      <c r="H75">
        <v>27.2</v>
      </c>
      <c r="I75">
        <v>39</v>
      </c>
      <c r="J75">
        <v>3</v>
      </c>
      <c r="K75">
        <v>2</v>
      </c>
      <c r="L75">
        <v>0</v>
      </c>
      <c r="M75">
        <v>1</v>
      </c>
      <c r="N75">
        <v>10</v>
      </c>
      <c r="O75">
        <v>0</v>
      </c>
      <c r="P75">
        <v>0</v>
      </c>
      <c r="Q75">
        <v>0</v>
      </c>
      <c r="R75">
        <v>0</v>
      </c>
      <c r="S75">
        <v>2</v>
      </c>
      <c r="T75">
        <v>0</v>
      </c>
      <c r="U75">
        <v>0</v>
      </c>
      <c r="V75">
        <v>34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50</v>
      </c>
      <c r="AD75">
        <v>0</v>
      </c>
      <c r="AE75">
        <v>0</v>
      </c>
      <c r="AF75">
        <v>2</v>
      </c>
      <c r="AG75">
        <v>0</v>
      </c>
      <c r="AH75">
        <v>0</v>
      </c>
      <c r="AI75">
        <f>SUM(L75:AH75)</f>
        <v>100</v>
      </c>
      <c r="AJ75" t="s">
        <v>20</v>
      </c>
      <c r="AK75">
        <f>0.25*AC75</f>
        <v>12.5</v>
      </c>
    </row>
    <row r="76" spans="1:37" x14ac:dyDescent="0.35">
      <c r="A76" t="s">
        <v>585</v>
      </c>
      <c r="B76">
        <v>44</v>
      </c>
      <c r="C76" t="s">
        <v>842</v>
      </c>
      <c r="D76" s="2">
        <v>38512</v>
      </c>
      <c r="E76" t="s">
        <v>49</v>
      </c>
      <c r="F76" s="3">
        <v>0.53125</v>
      </c>
      <c r="G76" s="3">
        <v>0.54166666666666663</v>
      </c>
      <c r="H76">
        <v>27.2</v>
      </c>
      <c r="I76">
        <v>39</v>
      </c>
      <c r="J76">
        <v>3</v>
      </c>
      <c r="K76">
        <v>2</v>
      </c>
      <c r="L76">
        <v>0</v>
      </c>
      <c r="M76">
        <v>1</v>
      </c>
      <c r="N76">
        <v>10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0</v>
      </c>
      <c r="V76">
        <v>34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50</v>
      </c>
      <c r="AD76">
        <v>0</v>
      </c>
      <c r="AE76">
        <v>0</v>
      </c>
      <c r="AF76">
        <v>2</v>
      </c>
      <c r="AG76">
        <v>0</v>
      </c>
      <c r="AH76">
        <v>0</v>
      </c>
      <c r="AI76">
        <f>SUM(L76:AH76)</f>
        <v>100</v>
      </c>
      <c r="AJ76" t="s">
        <v>10</v>
      </c>
      <c r="AK76">
        <f>0.5*M76</f>
        <v>0.5</v>
      </c>
    </row>
    <row r="77" spans="1:37" x14ac:dyDescent="0.35">
      <c r="A77" t="s">
        <v>585</v>
      </c>
      <c r="B77">
        <v>45</v>
      </c>
      <c r="C77" t="s">
        <v>843</v>
      </c>
      <c r="D77" s="2">
        <v>38512</v>
      </c>
      <c r="E77" t="s">
        <v>33</v>
      </c>
      <c r="F77" s="3">
        <v>0.55138888888888882</v>
      </c>
      <c r="G77" s="3">
        <v>0.56180555555555556</v>
      </c>
      <c r="H77">
        <v>26.4</v>
      </c>
      <c r="I77">
        <v>41</v>
      </c>
      <c r="J77">
        <v>2</v>
      </c>
      <c r="K77">
        <v>1</v>
      </c>
      <c r="L77">
        <v>0</v>
      </c>
      <c r="M77">
        <v>45</v>
      </c>
      <c r="N77">
        <v>0</v>
      </c>
      <c r="O77">
        <v>0</v>
      </c>
      <c r="P77">
        <v>0</v>
      </c>
      <c r="Q77">
        <v>0</v>
      </c>
      <c r="R77">
        <v>0</v>
      </c>
      <c r="S77">
        <v>7</v>
      </c>
      <c r="T77">
        <v>1</v>
      </c>
      <c r="U77">
        <v>0</v>
      </c>
      <c r="V77">
        <v>29</v>
      </c>
      <c r="W77">
        <v>15</v>
      </c>
      <c r="X77">
        <v>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f>SUM(L77:AH77)</f>
        <v>100</v>
      </c>
      <c r="AJ77" t="s">
        <v>10</v>
      </c>
      <c r="AK77">
        <f>0.7*M77</f>
        <v>31.499999999999996</v>
      </c>
    </row>
    <row r="78" spans="1:37" x14ac:dyDescent="0.35">
      <c r="A78" t="s">
        <v>585</v>
      </c>
      <c r="B78">
        <v>46</v>
      </c>
      <c r="C78" t="s">
        <v>844</v>
      </c>
      <c r="D78" s="2">
        <v>38517</v>
      </c>
      <c r="E78" s="8" t="s">
        <v>33</v>
      </c>
      <c r="F78" s="3">
        <v>0.625</v>
      </c>
      <c r="G78" s="3">
        <v>0.63541666666666663</v>
      </c>
      <c r="H78">
        <v>23.2</v>
      </c>
      <c r="I78">
        <v>38</v>
      </c>
      <c r="J78">
        <v>3</v>
      </c>
      <c r="K78">
        <v>2</v>
      </c>
      <c r="L78">
        <v>56</v>
      </c>
      <c r="M78">
        <v>35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5</v>
      </c>
      <c r="AD78">
        <v>0</v>
      </c>
      <c r="AE78">
        <v>0</v>
      </c>
      <c r="AF78">
        <v>4</v>
      </c>
      <c r="AG78">
        <v>0</v>
      </c>
      <c r="AH78">
        <v>0</v>
      </c>
      <c r="AI78">
        <f>SUM(L78:AH78)</f>
        <v>100</v>
      </c>
      <c r="AJ78" t="s">
        <v>20</v>
      </c>
      <c r="AK78">
        <f>0.3*AC78</f>
        <v>1.5</v>
      </c>
    </row>
    <row r="79" spans="1:37" x14ac:dyDescent="0.35">
      <c r="A79" t="s">
        <v>585</v>
      </c>
      <c r="B79">
        <v>46</v>
      </c>
      <c r="C79" t="s">
        <v>844</v>
      </c>
      <c r="D79" s="2">
        <v>38517</v>
      </c>
      <c r="E79" s="8" t="s">
        <v>33</v>
      </c>
      <c r="F79" s="3">
        <v>0.625</v>
      </c>
      <c r="G79" s="3">
        <v>0.63541666666666663</v>
      </c>
      <c r="H79">
        <v>23.2</v>
      </c>
      <c r="I79">
        <v>38</v>
      </c>
      <c r="J79">
        <v>3</v>
      </c>
      <c r="K79">
        <v>2</v>
      </c>
      <c r="L79">
        <v>56</v>
      </c>
      <c r="M79">
        <v>35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5</v>
      </c>
      <c r="AD79">
        <v>0</v>
      </c>
      <c r="AE79">
        <v>0</v>
      </c>
      <c r="AF79">
        <v>4</v>
      </c>
      <c r="AG79">
        <v>0</v>
      </c>
      <c r="AH79">
        <v>0</v>
      </c>
      <c r="AI79">
        <f>SUM(L79:AH79)</f>
        <v>100</v>
      </c>
      <c r="AJ79" t="s">
        <v>10</v>
      </c>
      <c r="AK79">
        <f>0.5*M79</f>
        <v>17.5</v>
      </c>
    </row>
    <row r="80" spans="1:37" x14ac:dyDescent="0.35">
      <c r="A80" t="s">
        <v>585</v>
      </c>
      <c r="B80">
        <v>47</v>
      </c>
      <c r="C80" t="s">
        <v>845</v>
      </c>
      <c r="D80" s="2">
        <v>38517</v>
      </c>
      <c r="E80">
        <v>0</v>
      </c>
      <c r="F80" s="3">
        <v>0.64861111111111114</v>
      </c>
      <c r="G80" s="3">
        <v>0.65902777777777777</v>
      </c>
      <c r="H80">
        <v>21.8</v>
      </c>
      <c r="I80">
        <v>46</v>
      </c>
      <c r="J80">
        <v>3</v>
      </c>
      <c r="K80">
        <v>2</v>
      </c>
      <c r="L80">
        <v>55</v>
      </c>
      <c r="M80">
        <v>1</v>
      </c>
      <c r="N80">
        <v>0</v>
      </c>
      <c r="O80">
        <v>0</v>
      </c>
      <c r="P80">
        <v>0</v>
      </c>
      <c r="Q80">
        <v>0</v>
      </c>
      <c r="R80">
        <v>13</v>
      </c>
      <c r="S80">
        <v>1</v>
      </c>
      <c r="T80">
        <v>0</v>
      </c>
      <c r="U80">
        <v>0</v>
      </c>
      <c r="V80">
        <v>30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f>SUM(L80:AH80)</f>
        <v>100</v>
      </c>
      <c r="AJ80" t="s">
        <v>84</v>
      </c>
      <c r="AK80">
        <f>0.2*R80</f>
        <v>2.6</v>
      </c>
    </row>
    <row r="81" spans="1:37" x14ac:dyDescent="0.35">
      <c r="A81" t="s">
        <v>585</v>
      </c>
      <c r="B81">
        <v>47</v>
      </c>
      <c r="C81" t="s">
        <v>845</v>
      </c>
      <c r="D81" s="2">
        <v>38517</v>
      </c>
      <c r="E81">
        <v>0</v>
      </c>
      <c r="F81" s="3">
        <v>0.64861111111111114</v>
      </c>
      <c r="G81" s="3">
        <v>0.65902777777777777</v>
      </c>
      <c r="H81">
        <v>21.8</v>
      </c>
      <c r="I81">
        <v>46</v>
      </c>
      <c r="J81">
        <v>3</v>
      </c>
      <c r="K81">
        <v>2</v>
      </c>
      <c r="L81">
        <v>55</v>
      </c>
      <c r="M81">
        <v>1</v>
      </c>
      <c r="N81">
        <v>0</v>
      </c>
      <c r="O81">
        <v>0</v>
      </c>
      <c r="P81">
        <v>0</v>
      </c>
      <c r="Q81">
        <v>0</v>
      </c>
      <c r="R81">
        <v>13</v>
      </c>
      <c r="S81">
        <v>1</v>
      </c>
      <c r="T81">
        <v>0</v>
      </c>
      <c r="U81">
        <v>0</v>
      </c>
      <c r="V81">
        <v>30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f>SUM(L81:AH81)</f>
        <v>100</v>
      </c>
      <c r="AJ81" t="s">
        <v>10</v>
      </c>
      <c r="AK81">
        <f>0.6*M81</f>
        <v>0.6</v>
      </c>
    </row>
    <row r="82" spans="1:37" x14ac:dyDescent="0.35">
      <c r="A82" t="s">
        <v>585</v>
      </c>
      <c r="B82">
        <v>48</v>
      </c>
      <c r="C82" t="s">
        <v>846</v>
      </c>
      <c r="D82" s="2">
        <v>38517</v>
      </c>
      <c r="E82" t="s">
        <v>31</v>
      </c>
      <c r="F82" s="3">
        <v>0.6645833333333333</v>
      </c>
      <c r="G82" s="3">
        <v>0.67569444444444438</v>
      </c>
      <c r="H82">
        <v>21.4</v>
      </c>
      <c r="I82">
        <v>50</v>
      </c>
      <c r="J82">
        <v>4</v>
      </c>
      <c r="K82">
        <v>2</v>
      </c>
      <c r="L82">
        <v>0</v>
      </c>
      <c r="M82">
        <v>0</v>
      </c>
      <c r="N82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35</v>
      </c>
      <c r="W82">
        <v>5</v>
      </c>
      <c r="X82">
        <v>0</v>
      </c>
      <c r="Y82">
        <v>0</v>
      </c>
      <c r="Z82">
        <v>0</v>
      </c>
      <c r="AA82">
        <v>50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f>SUM(L82:AH82)</f>
        <v>100</v>
      </c>
      <c r="AJ82" t="s">
        <v>19</v>
      </c>
      <c r="AK82">
        <f>0.2*AA82</f>
        <v>10</v>
      </c>
    </row>
    <row r="83" spans="1:37" x14ac:dyDescent="0.35">
      <c r="A83" t="s">
        <v>585</v>
      </c>
      <c r="B83">
        <v>49</v>
      </c>
      <c r="C83" t="s">
        <v>847</v>
      </c>
      <c r="D83" s="2">
        <v>38518</v>
      </c>
      <c r="E83">
        <v>0</v>
      </c>
      <c r="F83" s="3">
        <v>0.60416666666666663</v>
      </c>
      <c r="G83" s="3">
        <v>0.61458333333333337</v>
      </c>
      <c r="H83">
        <v>26.7</v>
      </c>
      <c r="I83">
        <v>37</v>
      </c>
      <c r="J83">
        <v>0</v>
      </c>
      <c r="K83">
        <v>1</v>
      </c>
      <c r="L83">
        <v>0</v>
      </c>
      <c r="M83">
        <v>80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10</v>
      </c>
      <c r="W83">
        <v>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3</v>
      </c>
      <c r="AG83">
        <v>0</v>
      </c>
      <c r="AH83">
        <v>0</v>
      </c>
      <c r="AI83">
        <f>SUM(L83:AH83)</f>
        <v>100</v>
      </c>
      <c r="AJ83" t="s">
        <v>10</v>
      </c>
      <c r="AK83">
        <f>0.7*M83</f>
        <v>56</v>
      </c>
    </row>
    <row r="84" spans="1:37" x14ac:dyDescent="0.35">
      <c r="A84" t="s">
        <v>585</v>
      </c>
      <c r="B84">
        <v>50</v>
      </c>
      <c r="C84" t="s">
        <v>848</v>
      </c>
      <c r="D84" s="2">
        <v>38518</v>
      </c>
      <c r="E84" t="s">
        <v>49</v>
      </c>
      <c r="F84" s="3">
        <v>0.63124999999999998</v>
      </c>
      <c r="G84" s="3">
        <v>0.64166666666666672</v>
      </c>
      <c r="H84">
        <v>24.8</v>
      </c>
      <c r="I84">
        <v>25</v>
      </c>
      <c r="J84">
        <v>0</v>
      </c>
      <c r="K84">
        <v>2</v>
      </c>
      <c r="L84">
        <v>0</v>
      </c>
      <c r="M84">
        <v>1</v>
      </c>
      <c r="N84">
        <v>25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10</v>
      </c>
      <c r="W84">
        <v>5</v>
      </c>
      <c r="X84">
        <v>0</v>
      </c>
      <c r="Y84">
        <v>0</v>
      </c>
      <c r="Z84">
        <v>0</v>
      </c>
      <c r="AA84">
        <v>0</v>
      </c>
      <c r="AB84">
        <v>0</v>
      </c>
      <c r="AC84">
        <v>59</v>
      </c>
      <c r="AD84">
        <v>0</v>
      </c>
      <c r="AE84">
        <v>0</v>
      </c>
      <c r="AF84">
        <v>0</v>
      </c>
      <c r="AG84">
        <v>0</v>
      </c>
      <c r="AH84">
        <v>0</v>
      </c>
      <c r="AI84">
        <f>SUM(L84:AH84)</f>
        <v>100</v>
      </c>
      <c r="AJ84" t="s">
        <v>20</v>
      </c>
      <c r="AK84">
        <f>0.3*AC84</f>
        <v>17.7</v>
      </c>
    </row>
    <row r="85" spans="1:37" x14ac:dyDescent="0.35">
      <c r="A85" t="s">
        <v>585</v>
      </c>
      <c r="B85">
        <v>50</v>
      </c>
      <c r="C85" t="s">
        <v>848</v>
      </c>
      <c r="D85" s="2">
        <v>38518</v>
      </c>
      <c r="E85" t="s">
        <v>49</v>
      </c>
      <c r="F85" s="3">
        <v>0.63124999999999998</v>
      </c>
      <c r="G85" s="3">
        <v>0.64166666666666672</v>
      </c>
      <c r="H85">
        <v>24.8</v>
      </c>
      <c r="I85">
        <v>25</v>
      </c>
      <c r="J85">
        <v>0</v>
      </c>
      <c r="K85">
        <v>2</v>
      </c>
      <c r="L85">
        <v>0</v>
      </c>
      <c r="M85">
        <v>1</v>
      </c>
      <c r="N85">
        <v>25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10</v>
      </c>
      <c r="W85">
        <v>5</v>
      </c>
      <c r="X85">
        <v>0</v>
      </c>
      <c r="Y85">
        <v>0</v>
      </c>
      <c r="Z85">
        <v>0</v>
      </c>
      <c r="AA85">
        <v>0</v>
      </c>
      <c r="AB85">
        <v>0</v>
      </c>
      <c r="AC85">
        <v>59</v>
      </c>
      <c r="AD85">
        <v>0</v>
      </c>
      <c r="AE85">
        <v>0</v>
      </c>
      <c r="AF85">
        <v>0</v>
      </c>
      <c r="AG85">
        <v>0</v>
      </c>
      <c r="AH85">
        <v>0</v>
      </c>
      <c r="AI85">
        <f>SUM(L85:AH85)</f>
        <v>100</v>
      </c>
      <c r="AJ85" t="s">
        <v>10</v>
      </c>
      <c r="AK85">
        <f>0.5*M85</f>
        <v>0.5</v>
      </c>
    </row>
    <row r="86" spans="1:37" x14ac:dyDescent="0.35">
      <c r="A86" t="s">
        <v>585</v>
      </c>
      <c r="B86">
        <v>51</v>
      </c>
      <c r="C86" t="s">
        <v>849</v>
      </c>
      <c r="D86" s="2">
        <v>38518</v>
      </c>
      <c r="E86" t="s">
        <v>49</v>
      </c>
      <c r="F86" s="3">
        <v>0.64513888888888882</v>
      </c>
      <c r="G86" s="3">
        <v>0.65555555555555556</v>
      </c>
      <c r="H86">
        <v>23.8</v>
      </c>
      <c r="I86">
        <v>39</v>
      </c>
      <c r="J86">
        <v>0</v>
      </c>
      <c r="K86">
        <v>1</v>
      </c>
      <c r="L86">
        <v>0</v>
      </c>
      <c r="M86">
        <v>2</v>
      </c>
      <c r="N86">
        <v>25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17</v>
      </c>
      <c r="W86">
        <v>25</v>
      </c>
      <c r="X86">
        <v>0</v>
      </c>
      <c r="Y86">
        <v>25</v>
      </c>
      <c r="Z86">
        <v>0</v>
      </c>
      <c r="AA86">
        <v>0</v>
      </c>
      <c r="AB86">
        <v>0</v>
      </c>
      <c r="AC86">
        <v>5</v>
      </c>
      <c r="AD86">
        <v>0</v>
      </c>
      <c r="AE86">
        <v>0</v>
      </c>
      <c r="AF86">
        <v>1</v>
      </c>
      <c r="AG86">
        <v>0</v>
      </c>
      <c r="AH86">
        <v>0</v>
      </c>
      <c r="AI86">
        <f>SUM(L86:AH86)</f>
        <v>100</v>
      </c>
      <c r="AJ86" t="s">
        <v>586</v>
      </c>
      <c r="AK86">
        <f>0.25*Y86</f>
        <v>6.25</v>
      </c>
    </row>
    <row r="87" spans="1:37" x14ac:dyDescent="0.35">
      <c r="A87" t="s">
        <v>585</v>
      </c>
      <c r="B87">
        <v>51</v>
      </c>
      <c r="C87" t="s">
        <v>849</v>
      </c>
      <c r="D87" s="2">
        <v>38518</v>
      </c>
      <c r="E87" t="s">
        <v>49</v>
      </c>
      <c r="F87" s="3">
        <v>0.64513888888888882</v>
      </c>
      <c r="G87" s="3">
        <v>0.65555555555555556</v>
      </c>
      <c r="H87">
        <v>23.8</v>
      </c>
      <c r="I87">
        <v>39</v>
      </c>
      <c r="J87">
        <v>0</v>
      </c>
      <c r="K87">
        <v>1</v>
      </c>
      <c r="L87">
        <v>0</v>
      </c>
      <c r="M87">
        <v>2</v>
      </c>
      <c r="N87">
        <v>25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17</v>
      </c>
      <c r="W87">
        <v>25</v>
      </c>
      <c r="X87">
        <v>0</v>
      </c>
      <c r="Y87">
        <v>25</v>
      </c>
      <c r="Z87">
        <v>0</v>
      </c>
      <c r="AA87">
        <v>0</v>
      </c>
      <c r="AB87">
        <v>0</v>
      </c>
      <c r="AC87">
        <v>5</v>
      </c>
      <c r="AD87">
        <v>0</v>
      </c>
      <c r="AE87">
        <v>0</v>
      </c>
      <c r="AF87">
        <v>1</v>
      </c>
      <c r="AG87">
        <v>0</v>
      </c>
      <c r="AH87">
        <v>0</v>
      </c>
      <c r="AI87">
        <f>SUM(L87:AH87)</f>
        <v>100</v>
      </c>
      <c r="AJ87" t="s">
        <v>20</v>
      </c>
      <c r="AK87">
        <f>0.05*AC87</f>
        <v>0.25</v>
      </c>
    </row>
    <row r="88" spans="1:37" x14ac:dyDescent="0.35">
      <c r="A88" t="s">
        <v>585</v>
      </c>
      <c r="B88">
        <v>52</v>
      </c>
      <c r="C88" t="s">
        <v>850</v>
      </c>
      <c r="D88" s="2">
        <v>38518</v>
      </c>
      <c r="E88" t="s">
        <v>31</v>
      </c>
      <c r="F88" s="3">
        <v>0.65972222222222221</v>
      </c>
      <c r="G88" s="3">
        <v>0.67013888888888884</v>
      </c>
      <c r="H88">
        <v>26.5</v>
      </c>
      <c r="I88">
        <v>34</v>
      </c>
      <c r="J88">
        <v>0</v>
      </c>
      <c r="K88">
        <v>1</v>
      </c>
      <c r="L88">
        <v>0</v>
      </c>
      <c r="M88">
        <v>0</v>
      </c>
      <c r="N88">
        <v>10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35</v>
      </c>
      <c r="W88">
        <v>5</v>
      </c>
      <c r="X88">
        <v>0</v>
      </c>
      <c r="Y88">
        <v>0</v>
      </c>
      <c r="Z88">
        <v>0</v>
      </c>
      <c r="AA88">
        <v>50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>SUM(L88:AH88)</f>
        <v>100</v>
      </c>
      <c r="AJ88" t="s">
        <v>19</v>
      </c>
      <c r="AK88">
        <f>0.2*AA88</f>
        <v>10</v>
      </c>
    </row>
    <row r="89" spans="1:37" x14ac:dyDescent="0.35">
      <c r="A89" t="s">
        <v>585</v>
      </c>
      <c r="B89">
        <v>53</v>
      </c>
      <c r="C89" t="s">
        <v>851</v>
      </c>
      <c r="D89" s="2">
        <v>38523</v>
      </c>
      <c r="E89" t="s">
        <v>33</v>
      </c>
      <c r="F89" s="3">
        <v>0.54305555555555551</v>
      </c>
      <c r="G89" s="3">
        <v>0.55347222222222225</v>
      </c>
      <c r="H89">
        <v>27.4</v>
      </c>
      <c r="I89">
        <v>59</v>
      </c>
      <c r="J89">
        <v>3</v>
      </c>
      <c r="K89">
        <v>2</v>
      </c>
      <c r="L89">
        <v>46</v>
      </c>
      <c r="M89">
        <v>25</v>
      </c>
      <c r="N89">
        <v>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15</v>
      </c>
      <c r="X89">
        <v>0</v>
      </c>
      <c r="Y89">
        <v>10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f>SUM(L89:AH89)</f>
        <v>100</v>
      </c>
      <c r="AJ89" t="s">
        <v>586</v>
      </c>
      <c r="AK89">
        <f>0.65*Y89</f>
        <v>6.5</v>
      </c>
    </row>
    <row r="90" spans="1:37" x14ac:dyDescent="0.35">
      <c r="A90" t="s">
        <v>585</v>
      </c>
      <c r="B90">
        <v>53</v>
      </c>
      <c r="C90" t="s">
        <v>851</v>
      </c>
      <c r="D90" s="2">
        <v>38523</v>
      </c>
      <c r="E90" t="s">
        <v>33</v>
      </c>
      <c r="F90" s="3">
        <v>0.54305555555555551</v>
      </c>
      <c r="G90" s="3">
        <v>0.55347222222222225</v>
      </c>
      <c r="H90">
        <v>27.4</v>
      </c>
      <c r="I90">
        <v>59</v>
      </c>
      <c r="J90">
        <v>3</v>
      </c>
      <c r="K90">
        <v>2</v>
      </c>
      <c r="L90">
        <v>46</v>
      </c>
      <c r="M90">
        <v>25</v>
      </c>
      <c r="N90">
        <v>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15</v>
      </c>
      <c r="X90">
        <v>0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f>SUM(L90:AH90)</f>
        <v>100</v>
      </c>
      <c r="AJ90" t="s">
        <v>10</v>
      </c>
      <c r="AK90">
        <f>0.01*M90</f>
        <v>0.25</v>
      </c>
    </row>
    <row r="91" spans="1:37" x14ac:dyDescent="0.35">
      <c r="A91" t="s">
        <v>585</v>
      </c>
      <c r="B91">
        <v>54</v>
      </c>
      <c r="C91" t="s">
        <v>852</v>
      </c>
      <c r="D91" s="2">
        <v>38523</v>
      </c>
      <c r="E91" t="s">
        <v>31</v>
      </c>
      <c r="F91" s="3">
        <v>0.55694444444444446</v>
      </c>
      <c r="G91" s="3">
        <v>0.56736111111111109</v>
      </c>
      <c r="H91">
        <v>28</v>
      </c>
      <c r="I91">
        <v>54</v>
      </c>
      <c r="J91">
        <v>3</v>
      </c>
      <c r="K91">
        <v>2</v>
      </c>
      <c r="L91">
        <v>0</v>
      </c>
      <c r="M91">
        <v>0</v>
      </c>
      <c r="N91">
        <v>10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35</v>
      </c>
      <c r="W91">
        <v>5</v>
      </c>
      <c r="X91">
        <v>0</v>
      </c>
      <c r="Y91">
        <v>0</v>
      </c>
      <c r="Z91">
        <v>0</v>
      </c>
      <c r="AA91">
        <v>50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f>SUM(L91:AH91)</f>
        <v>100</v>
      </c>
      <c r="AJ91" t="s">
        <v>19</v>
      </c>
      <c r="AK91">
        <f>0.7*AA91</f>
        <v>35</v>
      </c>
    </row>
    <row r="92" spans="1:37" x14ac:dyDescent="0.35">
      <c r="A92" t="s">
        <v>585</v>
      </c>
      <c r="B92">
        <v>55</v>
      </c>
      <c r="C92" t="s">
        <v>853</v>
      </c>
      <c r="D92" s="2">
        <v>38523</v>
      </c>
      <c r="E92" t="s">
        <v>31</v>
      </c>
      <c r="F92" s="3">
        <v>0.57430555555555551</v>
      </c>
      <c r="G92" s="3">
        <v>0.58472222222222225</v>
      </c>
      <c r="H92">
        <v>24.3</v>
      </c>
      <c r="I92">
        <v>58</v>
      </c>
      <c r="J92">
        <v>3</v>
      </c>
      <c r="K92">
        <v>2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0</v>
      </c>
      <c r="S92">
        <v>40</v>
      </c>
      <c r="T92">
        <v>0</v>
      </c>
      <c r="U92">
        <v>0</v>
      </c>
      <c r="V92">
        <v>12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40</v>
      </c>
      <c r="AD92">
        <v>0</v>
      </c>
      <c r="AE92">
        <v>3</v>
      </c>
      <c r="AF92">
        <v>0</v>
      </c>
      <c r="AG92">
        <v>0</v>
      </c>
      <c r="AH92">
        <v>0</v>
      </c>
      <c r="AI92">
        <f>SUM(L92:AH92)</f>
        <v>100</v>
      </c>
      <c r="AJ92" t="s">
        <v>20</v>
      </c>
      <c r="AK92">
        <f>0.25*AC92</f>
        <v>10</v>
      </c>
    </row>
    <row r="93" spans="1:37" x14ac:dyDescent="0.35">
      <c r="A93" t="s">
        <v>585</v>
      </c>
      <c r="B93">
        <v>56</v>
      </c>
      <c r="C93" t="s">
        <v>854</v>
      </c>
      <c r="D93" s="2">
        <v>38523</v>
      </c>
      <c r="E93">
        <v>0</v>
      </c>
      <c r="F93" s="3">
        <v>0.59375</v>
      </c>
      <c r="G93" s="3">
        <v>0.60416666666666663</v>
      </c>
      <c r="H93">
        <v>25</v>
      </c>
      <c r="I93">
        <v>59</v>
      </c>
      <c r="J93">
        <v>4</v>
      </c>
      <c r="K93">
        <v>1</v>
      </c>
      <c r="L93">
        <v>0</v>
      </c>
      <c r="M93">
        <v>76</v>
      </c>
      <c r="N93">
        <v>0</v>
      </c>
      <c r="O93">
        <v>0</v>
      </c>
      <c r="P93">
        <v>0</v>
      </c>
      <c r="Q93">
        <v>0</v>
      </c>
      <c r="R93">
        <v>0</v>
      </c>
      <c r="S93">
        <v>3</v>
      </c>
      <c r="T93">
        <v>0</v>
      </c>
      <c r="U93">
        <v>0</v>
      </c>
      <c r="V93">
        <v>15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5</v>
      </c>
      <c r="AF93">
        <v>0</v>
      </c>
      <c r="AG93">
        <v>0</v>
      </c>
      <c r="AH93">
        <v>0</v>
      </c>
      <c r="AI93">
        <f>SUM(L93:AH93)</f>
        <v>100</v>
      </c>
      <c r="AJ93" t="s">
        <v>20</v>
      </c>
      <c r="AK93">
        <f>0.05*AC93</f>
        <v>0.05</v>
      </c>
    </row>
    <row r="94" spans="1:37" x14ac:dyDescent="0.35">
      <c r="A94" t="s">
        <v>585</v>
      </c>
      <c r="B94">
        <v>56</v>
      </c>
      <c r="C94" t="s">
        <v>854</v>
      </c>
      <c r="D94" s="2">
        <v>38523</v>
      </c>
      <c r="E94">
        <v>0</v>
      </c>
      <c r="F94" s="3">
        <v>0.59375</v>
      </c>
      <c r="G94" s="3">
        <v>0.60416666666666663</v>
      </c>
      <c r="H94">
        <v>25</v>
      </c>
      <c r="I94">
        <v>59</v>
      </c>
      <c r="J94">
        <v>4</v>
      </c>
      <c r="K94">
        <v>1</v>
      </c>
      <c r="L94">
        <v>0</v>
      </c>
      <c r="M94">
        <v>76</v>
      </c>
      <c r="N94">
        <v>0</v>
      </c>
      <c r="O94">
        <v>0</v>
      </c>
      <c r="P94">
        <v>0</v>
      </c>
      <c r="Q94">
        <v>0</v>
      </c>
      <c r="R94">
        <v>0</v>
      </c>
      <c r="S94">
        <v>3</v>
      </c>
      <c r="T94">
        <v>0</v>
      </c>
      <c r="U94">
        <v>0</v>
      </c>
      <c r="V94">
        <v>15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5</v>
      </c>
      <c r="AF94">
        <v>0</v>
      </c>
      <c r="AG94">
        <v>0</v>
      </c>
      <c r="AH94">
        <v>0</v>
      </c>
      <c r="AI94">
        <f>SUM(L94:AH94)</f>
        <v>100</v>
      </c>
      <c r="AJ94" t="s">
        <v>10</v>
      </c>
      <c r="AK94">
        <f>0.3*M94</f>
        <v>22.8</v>
      </c>
    </row>
    <row r="95" spans="1:37" x14ac:dyDescent="0.35">
      <c r="A95" t="s">
        <v>585</v>
      </c>
      <c r="B95">
        <v>57</v>
      </c>
      <c r="C95" t="s">
        <v>855</v>
      </c>
      <c r="D95" s="2">
        <v>38525</v>
      </c>
      <c r="E95" t="s">
        <v>33</v>
      </c>
      <c r="F95" s="3">
        <v>0.4909722222222222</v>
      </c>
      <c r="G95" s="3">
        <v>0.50208333333333333</v>
      </c>
      <c r="H95">
        <v>20.9</v>
      </c>
      <c r="I95">
        <v>45</v>
      </c>
      <c r="J95">
        <v>0</v>
      </c>
      <c r="K95">
        <v>3</v>
      </c>
      <c r="L95">
        <v>55</v>
      </c>
      <c r="M95">
        <v>25</v>
      </c>
      <c r="N95">
        <v>1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3</v>
      </c>
      <c r="X95">
        <v>0</v>
      </c>
      <c r="Y95">
        <v>2</v>
      </c>
      <c r="Z95">
        <v>0</v>
      </c>
      <c r="AA95">
        <v>8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f>SUM(L95:AH95)</f>
        <v>100</v>
      </c>
      <c r="AJ95" t="s">
        <v>19</v>
      </c>
      <c r="AK95">
        <f>0.5*AA95</f>
        <v>4</v>
      </c>
    </row>
    <row r="96" spans="1:37" x14ac:dyDescent="0.35">
      <c r="A96" t="s">
        <v>585</v>
      </c>
      <c r="B96">
        <v>57</v>
      </c>
      <c r="C96" t="s">
        <v>855</v>
      </c>
      <c r="D96" s="2">
        <v>38525</v>
      </c>
      <c r="E96" t="s">
        <v>33</v>
      </c>
      <c r="F96" s="3">
        <v>0.4909722222222222</v>
      </c>
      <c r="G96" s="3">
        <v>0.50208333333333333</v>
      </c>
      <c r="H96">
        <v>20.9</v>
      </c>
      <c r="I96">
        <v>45</v>
      </c>
      <c r="J96">
        <v>0</v>
      </c>
      <c r="K96">
        <v>3</v>
      </c>
      <c r="L96">
        <v>55</v>
      </c>
      <c r="M96">
        <v>25</v>
      </c>
      <c r="N96">
        <v>1</v>
      </c>
      <c r="O96">
        <v>0</v>
      </c>
      <c r="P96">
        <v>0</v>
      </c>
      <c r="Q96">
        <v>0</v>
      </c>
      <c r="R96">
        <v>0</v>
      </c>
      <c r="S96">
        <v>5</v>
      </c>
      <c r="T96">
        <v>0</v>
      </c>
      <c r="U96">
        <v>0</v>
      </c>
      <c r="V96">
        <v>0</v>
      </c>
      <c r="W96">
        <v>3</v>
      </c>
      <c r="X96">
        <v>0</v>
      </c>
      <c r="Y96">
        <v>2</v>
      </c>
      <c r="Z96">
        <v>0</v>
      </c>
      <c r="AA96">
        <v>8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f>SUM(L96:AH96)</f>
        <v>100</v>
      </c>
      <c r="AJ96" t="s">
        <v>586</v>
      </c>
      <c r="AK96">
        <f>0.7*Y96</f>
        <v>1.4</v>
      </c>
    </row>
    <row r="97" spans="1:37" x14ac:dyDescent="0.35">
      <c r="A97" t="s">
        <v>585</v>
      </c>
      <c r="B97">
        <v>57</v>
      </c>
      <c r="C97" t="s">
        <v>855</v>
      </c>
      <c r="D97" s="2">
        <v>38525</v>
      </c>
      <c r="E97" t="s">
        <v>33</v>
      </c>
      <c r="F97" s="3">
        <v>0.4909722222222222</v>
      </c>
      <c r="G97" s="3">
        <v>0.50208333333333333</v>
      </c>
      <c r="H97">
        <v>20.9</v>
      </c>
      <c r="I97">
        <v>45</v>
      </c>
      <c r="J97">
        <v>0</v>
      </c>
      <c r="K97">
        <v>3</v>
      </c>
      <c r="L97">
        <v>55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0</v>
      </c>
      <c r="V97">
        <v>0</v>
      </c>
      <c r="W97">
        <v>3</v>
      </c>
      <c r="X97">
        <v>0</v>
      </c>
      <c r="Y97">
        <v>2</v>
      </c>
      <c r="Z97">
        <v>0</v>
      </c>
      <c r="AA97">
        <v>8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f>SUM(L97:AH97)</f>
        <v>100</v>
      </c>
      <c r="AJ97" t="s">
        <v>20</v>
      </c>
      <c r="AK97">
        <f>0.05*AC97</f>
        <v>0.05</v>
      </c>
    </row>
    <row r="98" spans="1:37" x14ac:dyDescent="0.35">
      <c r="A98" t="s">
        <v>585</v>
      </c>
      <c r="B98">
        <v>58</v>
      </c>
      <c r="C98" t="s">
        <v>856</v>
      </c>
      <c r="D98" s="2">
        <v>38525</v>
      </c>
      <c r="E98" t="s">
        <v>31</v>
      </c>
      <c r="F98" s="3">
        <v>0.50972222222222219</v>
      </c>
      <c r="G98" s="3">
        <v>0.52013888888888882</v>
      </c>
      <c r="H98">
        <v>19.600000000000001</v>
      </c>
      <c r="I98">
        <v>39</v>
      </c>
      <c r="J98">
        <v>0</v>
      </c>
      <c r="K98">
        <v>3</v>
      </c>
      <c r="L98">
        <v>0</v>
      </c>
      <c r="M98">
        <v>0</v>
      </c>
      <c r="N98">
        <v>5</v>
      </c>
      <c r="O98">
        <v>0</v>
      </c>
      <c r="P98">
        <v>0</v>
      </c>
      <c r="Q98">
        <v>0</v>
      </c>
      <c r="R98">
        <v>0</v>
      </c>
      <c r="S98">
        <v>40</v>
      </c>
      <c r="T98">
        <v>0</v>
      </c>
      <c r="U98">
        <v>0</v>
      </c>
      <c r="V98">
        <v>12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40</v>
      </c>
      <c r="AD98">
        <v>0</v>
      </c>
      <c r="AE98">
        <v>3</v>
      </c>
      <c r="AF98">
        <v>0</v>
      </c>
      <c r="AG98">
        <v>0</v>
      </c>
      <c r="AH98">
        <v>0</v>
      </c>
      <c r="AI98">
        <f>SUM(L98:AH98)</f>
        <v>100</v>
      </c>
      <c r="AJ98" t="s">
        <v>20</v>
      </c>
      <c r="AK98">
        <f>0.15*AC98</f>
        <v>6</v>
      </c>
    </row>
    <row r="99" spans="1:37" x14ac:dyDescent="0.35">
      <c r="A99" t="s">
        <v>585</v>
      </c>
      <c r="B99">
        <v>59</v>
      </c>
      <c r="C99" t="s">
        <v>857</v>
      </c>
      <c r="D99" s="2">
        <v>38525</v>
      </c>
      <c r="E99" t="s">
        <v>34</v>
      </c>
      <c r="F99" s="3">
        <v>0.52777777777777779</v>
      </c>
      <c r="G99" s="3">
        <v>0.53819444444444442</v>
      </c>
      <c r="H99">
        <v>19.8</v>
      </c>
      <c r="I99">
        <v>40</v>
      </c>
      <c r="J99">
        <v>0</v>
      </c>
      <c r="K99">
        <v>3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10</v>
      </c>
      <c r="T99">
        <v>69</v>
      </c>
      <c r="U99">
        <v>0</v>
      </c>
      <c r="V99">
        <v>20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f>SUM(L99:AH99)</f>
        <v>100</v>
      </c>
      <c r="AJ99" t="s">
        <v>15</v>
      </c>
      <c r="AK99">
        <f>0.05*T99</f>
        <v>3.45</v>
      </c>
    </row>
    <row r="100" spans="1:37" x14ac:dyDescent="0.35">
      <c r="A100" t="s">
        <v>585</v>
      </c>
      <c r="B100">
        <v>60</v>
      </c>
      <c r="C100" t="s">
        <v>858</v>
      </c>
      <c r="D100" s="2">
        <v>38525</v>
      </c>
      <c r="E100" t="s">
        <v>61</v>
      </c>
      <c r="F100" s="3">
        <v>0.54166666666666663</v>
      </c>
      <c r="G100" s="3">
        <v>0.55208333333333337</v>
      </c>
      <c r="H100">
        <v>18.399999999999999</v>
      </c>
      <c r="I100">
        <v>41</v>
      </c>
      <c r="J100">
        <v>0</v>
      </c>
      <c r="K100">
        <v>3</v>
      </c>
      <c r="L100">
        <v>0</v>
      </c>
      <c r="M100">
        <v>0</v>
      </c>
      <c r="N100">
        <v>8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27</v>
      </c>
      <c r="W100">
        <v>20</v>
      </c>
      <c r="X100">
        <v>0</v>
      </c>
      <c r="Y100">
        <v>40</v>
      </c>
      <c r="Z100">
        <v>0</v>
      </c>
      <c r="AA100">
        <v>0</v>
      </c>
      <c r="AB100">
        <v>0</v>
      </c>
      <c r="AC100">
        <v>5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>SUM(L100:AH100)</f>
        <v>100</v>
      </c>
      <c r="AJ100" t="s">
        <v>586</v>
      </c>
      <c r="AK100">
        <f>0.5*35</f>
        <v>17.5</v>
      </c>
    </row>
    <row r="101" spans="1:37" x14ac:dyDescent="0.35">
      <c r="A101" t="s">
        <v>585</v>
      </c>
      <c r="B101">
        <v>61</v>
      </c>
      <c r="C101" t="s">
        <v>859</v>
      </c>
      <c r="D101" s="2">
        <v>38525</v>
      </c>
      <c r="E101" t="s">
        <v>31</v>
      </c>
      <c r="F101" s="3">
        <v>0.55486111111111114</v>
      </c>
      <c r="G101" s="3">
        <v>0.56527777777777777</v>
      </c>
      <c r="H101">
        <v>21.8</v>
      </c>
      <c r="I101">
        <v>40</v>
      </c>
      <c r="J101">
        <v>0</v>
      </c>
      <c r="K101">
        <v>3</v>
      </c>
      <c r="L101">
        <v>0</v>
      </c>
      <c r="M101">
        <v>0</v>
      </c>
      <c r="N101">
        <v>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35</v>
      </c>
      <c r="W101">
        <v>5</v>
      </c>
      <c r="X101">
        <v>0</v>
      </c>
      <c r="Y101">
        <v>0</v>
      </c>
      <c r="Z101">
        <v>0</v>
      </c>
      <c r="AA101">
        <v>50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f>SUM(L101:AH101)</f>
        <v>100</v>
      </c>
      <c r="AJ101" t="s">
        <v>19</v>
      </c>
      <c r="AK101">
        <f>0.8*AA101</f>
        <v>40</v>
      </c>
    </row>
    <row r="102" spans="1:37" x14ac:dyDescent="0.35">
      <c r="A102" t="s">
        <v>585</v>
      </c>
      <c r="B102">
        <v>62</v>
      </c>
      <c r="C102" t="s">
        <v>860</v>
      </c>
      <c r="D102" s="2">
        <v>38525</v>
      </c>
      <c r="E102">
        <v>0</v>
      </c>
      <c r="F102" s="3">
        <v>0.57430555555555551</v>
      </c>
      <c r="G102" s="3">
        <v>0.5854166666666667</v>
      </c>
      <c r="H102">
        <v>19.600000000000001</v>
      </c>
      <c r="I102">
        <v>51</v>
      </c>
      <c r="J102">
        <v>2</v>
      </c>
      <c r="K102">
        <v>3</v>
      </c>
      <c r="L102">
        <v>0</v>
      </c>
      <c r="M102">
        <v>80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</v>
      </c>
      <c r="W102">
        <v>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5</v>
      </c>
      <c r="AG102">
        <v>0</v>
      </c>
      <c r="AH102">
        <v>0</v>
      </c>
      <c r="AI102">
        <f>SUM(L102:AH102)</f>
        <v>100</v>
      </c>
      <c r="AJ102" t="s">
        <v>10</v>
      </c>
      <c r="AK102">
        <f>0.15*M102</f>
        <v>12</v>
      </c>
    </row>
    <row r="103" spans="1:37" x14ac:dyDescent="0.35">
      <c r="A103" t="s">
        <v>585</v>
      </c>
      <c r="B103">
        <v>63</v>
      </c>
      <c r="C103" t="s">
        <v>861</v>
      </c>
      <c r="D103" s="2">
        <v>38527</v>
      </c>
      <c r="E103">
        <v>0</v>
      </c>
      <c r="F103" s="3">
        <v>0.42986111111111108</v>
      </c>
      <c r="G103" s="3">
        <v>0.44027777777777777</v>
      </c>
      <c r="H103">
        <v>22.8</v>
      </c>
      <c r="I103">
        <v>57</v>
      </c>
      <c r="J103">
        <v>0</v>
      </c>
      <c r="K103">
        <v>0</v>
      </c>
      <c r="L103">
        <v>0</v>
      </c>
      <c r="M103">
        <v>80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</v>
      </c>
      <c r="W103">
        <v>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5</v>
      </c>
      <c r="AG103">
        <v>0</v>
      </c>
      <c r="AH103">
        <v>0</v>
      </c>
      <c r="AI103">
        <f>SUM(L103:AH103)</f>
        <v>100</v>
      </c>
      <c r="AJ103" t="s">
        <v>10</v>
      </c>
      <c r="AK103">
        <f>0.15*M103</f>
        <v>12</v>
      </c>
    </row>
    <row r="104" spans="1:37" x14ac:dyDescent="0.35">
      <c r="A104" t="s">
        <v>585</v>
      </c>
      <c r="B104">
        <v>64</v>
      </c>
      <c r="C104" t="s">
        <v>862</v>
      </c>
      <c r="D104" s="2">
        <v>38527</v>
      </c>
      <c r="E104" t="s">
        <v>36</v>
      </c>
      <c r="F104" s="3">
        <v>0.45208333333333334</v>
      </c>
      <c r="G104" s="3">
        <v>0.46250000000000002</v>
      </c>
      <c r="H104">
        <v>26.3</v>
      </c>
      <c r="I104">
        <v>54</v>
      </c>
      <c r="J104">
        <v>1</v>
      </c>
      <c r="K104">
        <v>1</v>
      </c>
      <c r="L104">
        <v>0</v>
      </c>
      <c r="M104">
        <v>20</v>
      </c>
      <c r="N104">
        <v>60</v>
      </c>
      <c r="O104">
        <v>0</v>
      </c>
      <c r="P104">
        <v>0</v>
      </c>
      <c r="Q104">
        <v>0</v>
      </c>
      <c r="R104">
        <v>0</v>
      </c>
      <c r="S104">
        <v>5</v>
      </c>
      <c r="T104">
        <v>0</v>
      </c>
      <c r="U104">
        <v>0</v>
      </c>
      <c r="V104">
        <v>5</v>
      </c>
      <c r="W104">
        <v>0</v>
      </c>
      <c r="X104">
        <v>0</v>
      </c>
      <c r="Y104">
        <v>10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f>SUM(L104:AH104)</f>
        <v>100</v>
      </c>
      <c r="AJ104" t="s">
        <v>586</v>
      </c>
      <c r="AK104">
        <f>0.6*Y104</f>
        <v>6</v>
      </c>
    </row>
    <row r="105" spans="1:37" x14ac:dyDescent="0.35">
      <c r="A105" t="s">
        <v>585</v>
      </c>
      <c r="B105">
        <v>65</v>
      </c>
      <c r="C105" t="s">
        <v>863</v>
      </c>
      <c r="D105" s="2">
        <v>38527</v>
      </c>
      <c r="E105" t="s">
        <v>36</v>
      </c>
      <c r="F105" s="3">
        <v>0.46666666666666662</v>
      </c>
      <c r="G105" s="3">
        <v>0.4770833333333333</v>
      </c>
      <c r="H105">
        <v>24.2</v>
      </c>
      <c r="I105">
        <v>36</v>
      </c>
      <c r="J105">
        <v>1</v>
      </c>
      <c r="K105">
        <v>1</v>
      </c>
      <c r="L105">
        <v>0</v>
      </c>
      <c r="M105">
        <v>30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2</v>
      </c>
      <c r="T105">
        <v>0</v>
      </c>
      <c r="U105">
        <v>0</v>
      </c>
      <c r="V105">
        <v>24</v>
      </c>
      <c r="W105">
        <v>0</v>
      </c>
      <c r="X105">
        <v>0</v>
      </c>
      <c r="Y105">
        <v>10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32</v>
      </c>
      <c r="AG105">
        <v>0</v>
      </c>
      <c r="AH105">
        <v>0</v>
      </c>
      <c r="AI105">
        <f>SUM(L105:AH105)</f>
        <v>100</v>
      </c>
      <c r="AJ105" t="s">
        <v>586</v>
      </c>
      <c r="AK105">
        <f>0.65*Y105</f>
        <v>6.5</v>
      </c>
    </row>
    <row r="106" spans="1:37" x14ac:dyDescent="0.35">
      <c r="A106" t="s">
        <v>585</v>
      </c>
      <c r="B106">
        <v>66</v>
      </c>
      <c r="C106" t="s">
        <v>864</v>
      </c>
      <c r="D106" s="2">
        <v>38527</v>
      </c>
      <c r="E106" t="s">
        <v>33</v>
      </c>
      <c r="F106" s="3">
        <v>0.47986111111111113</v>
      </c>
      <c r="G106" s="3">
        <v>0.49027777777777781</v>
      </c>
      <c r="H106">
        <v>27.5</v>
      </c>
      <c r="I106">
        <v>48</v>
      </c>
      <c r="J106">
        <v>1</v>
      </c>
      <c r="K106">
        <v>1</v>
      </c>
      <c r="L106">
        <v>55</v>
      </c>
      <c r="M106">
        <v>25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5</v>
      </c>
      <c r="T106">
        <v>0</v>
      </c>
      <c r="U106">
        <v>0</v>
      </c>
      <c r="V106">
        <v>0</v>
      </c>
      <c r="W106">
        <v>3</v>
      </c>
      <c r="X106">
        <v>0</v>
      </c>
      <c r="Y106">
        <v>2</v>
      </c>
      <c r="Z106">
        <v>0</v>
      </c>
      <c r="AA106">
        <v>8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f>SUM(L106:AH106)</f>
        <v>100</v>
      </c>
      <c r="AJ106" t="s">
        <v>19</v>
      </c>
      <c r="AK106">
        <f>0.5*AA106</f>
        <v>4</v>
      </c>
    </row>
    <row r="107" spans="1:37" x14ac:dyDescent="0.35">
      <c r="A107" t="s">
        <v>585</v>
      </c>
      <c r="B107">
        <v>66</v>
      </c>
      <c r="C107" t="s">
        <v>864</v>
      </c>
      <c r="D107" s="2">
        <v>38527</v>
      </c>
      <c r="E107" t="s">
        <v>33</v>
      </c>
      <c r="F107" s="3">
        <v>0.47986111111111113</v>
      </c>
      <c r="G107" s="3">
        <v>0.49027777777777781</v>
      </c>
      <c r="H107">
        <v>27.5</v>
      </c>
      <c r="I107">
        <v>48</v>
      </c>
      <c r="J107">
        <v>1</v>
      </c>
      <c r="K107">
        <v>1</v>
      </c>
      <c r="L107">
        <v>55</v>
      </c>
      <c r="M107">
        <v>25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5</v>
      </c>
      <c r="T107">
        <v>0</v>
      </c>
      <c r="U107">
        <v>0</v>
      </c>
      <c r="V107">
        <v>0</v>
      </c>
      <c r="W107">
        <v>3</v>
      </c>
      <c r="X107">
        <v>0</v>
      </c>
      <c r="Y107">
        <v>2</v>
      </c>
      <c r="Z107">
        <v>0</v>
      </c>
      <c r="AA107">
        <v>8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f>SUM(L107:AH107)</f>
        <v>100</v>
      </c>
      <c r="AJ107" t="s">
        <v>586</v>
      </c>
      <c r="AK107">
        <f>0.8*Y107</f>
        <v>1.6</v>
      </c>
    </row>
    <row r="108" spans="1:37" x14ac:dyDescent="0.35">
      <c r="A108" t="s">
        <v>585</v>
      </c>
      <c r="B108">
        <v>66</v>
      </c>
      <c r="C108" t="s">
        <v>864</v>
      </c>
      <c r="D108" s="2">
        <v>38527</v>
      </c>
      <c r="E108" t="s">
        <v>33</v>
      </c>
      <c r="F108" s="3">
        <v>0.47986111111111113</v>
      </c>
      <c r="G108" s="3">
        <v>0.49027777777777781</v>
      </c>
      <c r="H108">
        <v>27.5</v>
      </c>
      <c r="I108">
        <v>48</v>
      </c>
      <c r="J108">
        <v>1</v>
      </c>
      <c r="K108">
        <v>1</v>
      </c>
      <c r="L108">
        <v>55</v>
      </c>
      <c r="M108">
        <v>25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5</v>
      </c>
      <c r="T108">
        <v>0</v>
      </c>
      <c r="U108">
        <v>0</v>
      </c>
      <c r="V108">
        <v>0</v>
      </c>
      <c r="W108">
        <v>3</v>
      </c>
      <c r="X108">
        <v>0</v>
      </c>
      <c r="Y108">
        <v>2</v>
      </c>
      <c r="Z108">
        <v>0</v>
      </c>
      <c r="AA108">
        <v>8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f>SUM(L108:AH108)</f>
        <v>100</v>
      </c>
      <c r="AJ108" t="s">
        <v>20</v>
      </c>
      <c r="AK108">
        <f>0.05*AC108</f>
        <v>0.05</v>
      </c>
    </row>
    <row r="109" spans="1:37" x14ac:dyDescent="0.35">
      <c r="A109" t="s">
        <v>585</v>
      </c>
      <c r="B109">
        <v>67</v>
      </c>
      <c r="C109" t="s">
        <v>865</v>
      </c>
      <c r="D109" s="2">
        <v>38527</v>
      </c>
      <c r="E109" t="s">
        <v>31</v>
      </c>
      <c r="F109" s="3">
        <v>0.49305555555555558</v>
      </c>
      <c r="G109" s="3">
        <v>0.50347222222222221</v>
      </c>
      <c r="H109">
        <v>24.7</v>
      </c>
      <c r="I109">
        <v>45</v>
      </c>
      <c r="J109">
        <v>1</v>
      </c>
      <c r="K109">
        <v>1</v>
      </c>
      <c r="L109">
        <v>40</v>
      </c>
      <c r="M109">
        <v>35</v>
      </c>
      <c r="N109">
        <v>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</v>
      </c>
      <c r="W109">
        <v>6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3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f>SUM(L109:AH109)</f>
        <v>100</v>
      </c>
      <c r="AJ109" t="s">
        <v>21</v>
      </c>
      <c r="AK109">
        <f>5/54*AD109</f>
        <v>9.2592592592592587E-2</v>
      </c>
    </row>
    <row r="110" spans="1:37" x14ac:dyDescent="0.35">
      <c r="A110" t="s">
        <v>585</v>
      </c>
      <c r="B110">
        <v>68</v>
      </c>
      <c r="C110" t="s">
        <v>866</v>
      </c>
      <c r="D110" s="2">
        <v>38527</v>
      </c>
      <c r="E110" t="s">
        <v>45</v>
      </c>
      <c r="F110" s="3">
        <v>0.51249999999999996</v>
      </c>
      <c r="G110" s="3">
        <v>0.5229166666666667</v>
      </c>
      <c r="H110">
        <v>23.3</v>
      </c>
      <c r="I110">
        <v>55</v>
      </c>
      <c r="J110">
        <v>0</v>
      </c>
      <c r="K110">
        <v>1</v>
      </c>
      <c r="L110">
        <v>0</v>
      </c>
      <c r="M110">
        <v>10</v>
      </c>
      <c r="N110">
        <v>10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15</v>
      </c>
      <c r="W110">
        <v>20</v>
      </c>
      <c r="X110">
        <v>0</v>
      </c>
      <c r="Y110">
        <v>15</v>
      </c>
      <c r="Z110">
        <v>0</v>
      </c>
      <c r="AA110">
        <v>0</v>
      </c>
      <c r="AB110">
        <v>0</v>
      </c>
      <c r="AC110">
        <v>25</v>
      </c>
      <c r="AD110">
        <v>0</v>
      </c>
      <c r="AE110">
        <v>5</v>
      </c>
      <c r="AF110">
        <v>0</v>
      </c>
      <c r="AG110">
        <v>0</v>
      </c>
      <c r="AH110">
        <v>0</v>
      </c>
      <c r="AI110">
        <f>SUM(L110:AH110)</f>
        <v>100</v>
      </c>
      <c r="AJ110" t="s">
        <v>586</v>
      </c>
      <c r="AK110">
        <f>0.7*Y110</f>
        <v>10.5</v>
      </c>
    </row>
    <row r="111" spans="1:37" x14ac:dyDescent="0.35">
      <c r="A111" t="s">
        <v>585</v>
      </c>
      <c r="B111">
        <v>69</v>
      </c>
      <c r="C111" t="s">
        <v>867</v>
      </c>
      <c r="D111" s="2">
        <v>38527</v>
      </c>
      <c r="E111" t="s">
        <v>33</v>
      </c>
      <c r="F111" s="3">
        <v>0.52916666666666667</v>
      </c>
      <c r="G111" s="3">
        <v>0.5395833333333333</v>
      </c>
      <c r="H111">
        <v>28.1</v>
      </c>
      <c r="I111">
        <v>55</v>
      </c>
      <c r="J111">
        <v>0</v>
      </c>
      <c r="K111">
        <v>1</v>
      </c>
      <c r="L111">
        <v>0</v>
      </c>
      <c r="M111">
        <v>5</v>
      </c>
      <c r="N111">
        <v>5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64</v>
      </c>
      <c r="W111">
        <v>5</v>
      </c>
      <c r="X111">
        <v>0</v>
      </c>
      <c r="Y111">
        <v>0</v>
      </c>
      <c r="Z111">
        <v>0</v>
      </c>
      <c r="AA111">
        <v>20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f>SUM(L111:AH111)</f>
        <v>100</v>
      </c>
      <c r="AJ111" t="s">
        <v>19</v>
      </c>
      <c r="AK111">
        <f>0.7*AA111</f>
        <v>14</v>
      </c>
    </row>
    <row r="112" spans="1:37" x14ac:dyDescent="0.35">
      <c r="A112" t="s">
        <v>585</v>
      </c>
      <c r="B112">
        <v>70</v>
      </c>
      <c r="C112" t="s">
        <v>868</v>
      </c>
      <c r="D112" s="2">
        <v>38527</v>
      </c>
      <c r="E112">
        <v>0</v>
      </c>
      <c r="F112" s="3">
        <v>0.5493055555555556</v>
      </c>
      <c r="G112" s="3">
        <v>0.55972222222222223</v>
      </c>
      <c r="H112">
        <v>27.5</v>
      </c>
      <c r="I112">
        <v>38</v>
      </c>
      <c r="J112">
        <v>0</v>
      </c>
      <c r="K112">
        <v>1</v>
      </c>
      <c r="L112">
        <v>0</v>
      </c>
      <c r="M112">
        <v>40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50</v>
      </c>
      <c r="U112">
        <v>0</v>
      </c>
      <c r="V112">
        <v>10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>SUM(L112:AH112)</f>
        <v>100</v>
      </c>
      <c r="AJ112" t="s">
        <v>15</v>
      </c>
      <c r="AK112">
        <f>0.08*T112</f>
        <v>4</v>
      </c>
    </row>
    <row r="113" spans="1:37" x14ac:dyDescent="0.35">
      <c r="A113" t="s">
        <v>585</v>
      </c>
      <c r="B113">
        <v>70</v>
      </c>
      <c r="C113" t="s">
        <v>868</v>
      </c>
      <c r="D113" s="2">
        <v>38527</v>
      </c>
      <c r="E113">
        <v>0</v>
      </c>
      <c r="F113" s="3">
        <v>0.5493055555555556</v>
      </c>
      <c r="G113" s="3">
        <v>0.55972222222222223</v>
      </c>
      <c r="H113">
        <v>27.5</v>
      </c>
      <c r="I113">
        <v>38</v>
      </c>
      <c r="J113">
        <v>0</v>
      </c>
      <c r="K113">
        <v>1</v>
      </c>
      <c r="L113">
        <v>0</v>
      </c>
      <c r="M113">
        <v>40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50</v>
      </c>
      <c r="U113">
        <v>0</v>
      </c>
      <c r="V113">
        <v>10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f>SUM(L113:AH113)</f>
        <v>100</v>
      </c>
      <c r="AJ113" t="s">
        <v>10</v>
      </c>
      <c r="AK113">
        <f>0.15*M113</f>
        <v>6</v>
      </c>
    </row>
    <row r="114" spans="1:37" x14ac:dyDescent="0.35">
      <c r="A114" t="s">
        <v>585</v>
      </c>
      <c r="B114">
        <v>71</v>
      </c>
      <c r="C114" t="s">
        <v>869</v>
      </c>
      <c r="D114" s="2">
        <v>38527</v>
      </c>
      <c r="E114" t="s">
        <v>33</v>
      </c>
      <c r="F114" s="3">
        <v>0.56944444444444442</v>
      </c>
      <c r="G114" s="3">
        <v>0.57986111111111105</v>
      </c>
      <c r="H114">
        <v>28.6</v>
      </c>
      <c r="I114">
        <v>46</v>
      </c>
      <c r="J114">
        <v>0</v>
      </c>
      <c r="K114">
        <v>1</v>
      </c>
      <c r="L114">
        <v>0</v>
      </c>
      <c r="M114">
        <v>0</v>
      </c>
      <c r="N114">
        <v>35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30</v>
      </c>
      <c r="W114">
        <v>3</v>
      </c>
      <c r="X114">
        <v>0</v>
      </c>
      <c r="Y114">
        <v>0</v>
      </c>
      <c r="Z114">
        <v>0</v>
      </c>
      <c r="AA114">
        <v>30</v>
      </c>
      <c r="AB114">
        <v>0</v>
      </c>
      <c r="AC114">
        <v>0</v>
      </c>
      <c r="AD114">
        <v>0</v>
      </c>
      <c r="AE114">
        <v>0</v>
      </c>
      <c r="AF114">
        <v>2</v>
      </c>
      <c r="AG114">
        <v>0</v>
      </c>
      <c r="AH114">
        <v>0</v>
      </c>
      <c r="AI114">
        <f>SUM(L114:AH114)</f>
        <v>100</v>
      </c>
      <c r="AJ114" t="s">
        <v>19</v>
      </c>
      <c r="AK114">
        <f>0.8*AA114</f>
        <v>24</v>
      </c>
    </row>
    <row r="115" spans="1:37" x14ac:dyDescent="0.35">
      <c r="A115" t="s">
        <v>585</v>
      </c>
      <c r="B115">
        <v>72</v>
      </c>
      <c r="C115" t="s">
        <v>870</v>
      </c>
      <c r="D115" s="2">
        <v>38527</v>
      </c>
      <c r="E115" t="s">
        <v>33</v>
      </c>
      <c r="F115" s="3">
        <v>0.5854166666666667</v>
      </c>
      <c r="G115" s="3">
        <v>0.59583333333333333</v>
      </c>
      <c r="H115">
        <v>26.8</v>
      </c>
      <c r="I115">
        <v>41</v>
      </c>
      <c r="J115">
        <v>0</v>
      </c>
      <c r="K115">
        <v>1</v>
      </c>
      <c r="L115">
        <v>70</v>
      </c>
      <c r="M115">
        <v>4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0</v>
      </c>
      <c r="U115">
        <v>0</v>
      </c>
      <c r="V115">
        <v>2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15</v>
      </c>
      <c r="AD115">
        <v>0</v>
      </c>
      <c r="AE115">
        <v>0</v>
      </c>
      <c r="AF115">
        <v>2</v>
      </c>
      <c r="AG115">
        <v>0</v>
      </c>
      <c r="AH115">
        <v>0</v>
      </c>
      <c r="AI115">
        <f>SUM(L115:AH115)</f>
        <v>100</v>
      </c>
      <c r="AJ115" t="s">
        <v>586</v>
      </c>
      <c r="AK115">
        <f>0.6*Y115</f>
        <v>0.6</v>
      </c>
    </row>
    <row r="116" spans="1:37" x14ac:dyDescent="0.35">
      <c r="A116" t="s">
        <v>585</v>
      </c>
      <c r="B116">
        <v>72</v>
      </c>
      <c r="C116" t="s">
        <v>870</v>
      </c>
      <c r="D116" s="2">
        <v>38527</v>
      </c>
      <c r="E116" t="s">
        <v>33</v>
      </c>
      <c r="F116" s="3">
        <v>0.5854166666666667</v>
      </c>
      <c r="G116" s="3">
        <v>0.59583333333333333</v>
      </c>
      <c r="H116">
        <v>26.8</v>
      </c>
      <c r="I116">
        <v>41</v>
      </c>
      <c r="J116">
        <v>0</v>
      </c>
      <c r="K116">
        <v>1</v>
      </c>
      <c r="L116">
        <v>70</v>
      </c>
      <c r="M116">
        <v>4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5</v>
      </c>
      <c r="T116">
        <v>0</v>
      </c>
      <c r="U116">
        <v>0</v>
      </c>
      <c r="V116">
        <v>2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15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f>SUM(L116:AH116)</f>
        <v>100</v>
      </c>
      <c r="AJ116" t="s">
        <v>20</v>
      </c>
      <c r="AK116">
        <f>0.03*AC116</f>
        <v>0.44999999999999996</v>
      </c>
    </row>
    <row r="117" spans="1:37" x14ac:dyDescent="0.35">
      <c r="A117" t="s">
        <v>585</v>
      </c>
      <c r="B117">
        <v>73</v>
      </c>
      <c r="C117" t="s">
        <v>871</v>
      </c>
      <c r="D117" s="2">
        <v>38532</v>
      </c>
      <c r="E117">
        <v>0</v>
      </c>
      <c r="F117" s="3">
        <v>0.54374999999999996</v>
      </c>
      <c r="G117" s="3">
        <v>0.5541666666666667</v>
      </c>
      <c r="H117">
        <v>23.9</v>
      </c>
      <c r="I117">
        <v>37</v>
      </c>
      <c r="J117">
        <v>0</v>
      </c>
      <c r="K117">
        <v>2</v>
      </c>
      <c r="L117">
        <v>0</v>
      </c>
      <c r="M117">
        <v>40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20</v>
      </c>
      <c r="T117">
        <v>0</v>
      </c>
      <c r="U117">
        <v>0</v>
      </c>
      <c r="V117">
        <v>35</v>
      </c>
      <c r="W117">
        <v>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f>SUM(L117:AH117)</f>
        <v>100</v>
      </c>
      <c r="AJ117" t="s">
        <v>10</v>
      </c>
      <c r="AK117">
        <f>0.1*M117</f>
        <v>4</v>
      </c>
    </row>
    <row r="118" spans="1:37" x14ac:dyDescent="0.35">
      <c r="A118" t="s">
        <v>585</v>
      </c>
      <c r="B118">
        <v>74</v>
      </c>
      <c r="C118" t="s">
        <v>872</v>
      </c>
      <c r="D118" s="2">
        <v>38532</v>
      </c>
      <c r="E118" t="s">
        <v>36</v>
      </c>
      <c r="F118" s="3">
        <v>0.56180555555555556</v>
      </c>
      <c r="G118" s="3">
        <v>0.57222222222222219</v>
      </c>
      <c r="H118">
        <v>22.1</v>
      </c>
      <c r="I118">
        <v>34</v>
      </c>
      <c r="J118">
        <v>0</v>
      </c>
      <c r="K118">
        <v>2</v>
      </c>
      <c r="L118">
        <v>0</v>
      </c>
      <c r="M118">
        <v>30</v>
      </c>
      <c r="N118">
        <v>7</v>
      </c>
      <c r="O118">
        <v>0</v>
      </c>
      <c r="P118">
        <v>0</v>
      </c>
      <c r="Q118">
        <v>0</v>
      </c>
      <c r="R118">
        <v>0</v>
      </c>
      <c r="S118">
        <v>25</v>
      </c>
      <c r="T118">
        <v>0</v>
      </c>
      <c r="U118">
        <v>0</v>
      </c>
      <c r="V118">
        <v>5</v>
      </c>
      <c r="W118">
        <v>0</v>
      </c>
      <c r="X118">
        <v>0</v>
      </c>
      <c r="Y118">
        <v>30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3</v>
      </c>
      <c r="AG118">
        <v>0</v>
      </c>
      <c r="AH118">
        <v>0</v>
      </c>
      <c r="AI118">
        <f>SUM(L118:AH118)</f>
        <v>100</v>
      </c>
      <c r="AJ118" t="s">
        <v>586</v>
      </c>
      <c r="AK118">
        <f>0.6*Y118</f>
        <v>18</v>
      </c>
    </row>
    <row r="119" spans="1:37" x14ac:dyDescent="0.35">
      <c r="A119" t="s">
        <v>585</v>
      </c>
      <c r="B119">
        <v>75</v>
      </c>
      <c r="C119" t="s">
        <v>873</v>
      </c>
      <c r="D119" s="2">
        <v>38532</v>
      </c>
      <c r="E119" t="s">
        <v>31</v>
      </c>
      <c r="F119" s="3">
        <v>0.57777777777777783</v>
      </c>
      <c r="G119" s="3">
        <v>0.58819444444444446</v>
      </c>
      <c r="H119">
        <v>23.2</v>
      </c>
      <c r="I119">
        <v>32</v>
      </c>
      <c r="J119">
        <v>0</v>
      </c>
      <c r="K119">
        <v>2</v>
      </c>
      <c r="L119">
        <v>40</v>
      </c>
      <c r="M119">
        <v>35</v>
      </c>
      <c r="N119">
        <v>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10</v>
      </c>
      <c r="W119">
        <v>6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f>SUM(L119:AH119)</f>
        <v>100</v>
      </c>
      <c r="AJ119" t="s">
        <v>21</v>
      </c>
      <c r="AK119">
        <f>10/67*AD119</f>
        <v>0.14925373134328357</v>
      </c>
    </row>
    <row r="120" spans="1:37" x14ac:dyDescent="0.35">
      <c r="A120" t="s">
        <v>585</v>
      </c>
      <c r="B120">
        <v>76</v>
      </c>
      <c r="C120" t="s">
        <v>874</v>
      </c>
      <c r="D120" s="2">
        <v>38532</v>
      </c>
      <c r="E120" t="s">
        <v>31</v>
      </c>
      <c r="F120" s="3">
        <v>0.59513888888888888</v>
      </c>
      <c r="G120" s="3">
        <v>0.60555555555555551</v>
      </c>
      <c r="H120">
        <v>21.4</v>
      </c>
      <c r="I120">
        <v>36</v>
      </c>
      <c r="J120">
        <v>0</v>
      </c>
      <c r="K120">
        <v>2</v>
      </c>
      <c r="L120">
        <v>0</v>
      </c>
      <c r="M120">
        <v>0</v>
      </c>
      <c r="N120">
        <v>25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30</v>
      </c>
      <c r="X120">
        <v>0</v>
      </c>
      <c r="Y120">
        <v>40</v>
      </c>
      <c r="Z120">
        <v>0</v>
      </c>
      <c r="AA120">
        <v>0</v>
      </c>
      <c r="AB120">
        <v>0</v>
      </c>
      <c r="AC120">
        <v>5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f>SUM(L120:AH120)</f>
        <v>100</v>
      </c>
      <c r="AJ120" t="s">
        <v>586</v>
      </c>
      <c r="AK120">
        <f>0.7*Y120</f>
        <v>28</v>
      </c>
    </row>
    <row r="121" spans="1:37" x14ac:dyDescent="0.35">
      <c r="A121" t="s">
        <v>585</v>
      </c>
      <c r="B121">
        <v>77</v>
      </c>
      <c r="C121" t="s">
        <v>875</v>
      </c>
      <c r="D121" s="2">
        <v>38532</v>
      </c>
      <c r="E121" t="s">
        <v>49</v>
      </c>
      <c r="F121" s="3">
        <v>0.60972222222222217</v>
      </c>
      <c r="G121" s="3">
        <v>0.62013888888888891</v>
      </c>
      <c r="H121">
        <v>22.3</v>
      </c>
      <c r="I121">
        <v>38</v>
      </c>
      <c r="J121">
        <v>0</v>
      </c>
      <c r="K121">
        <v>2</v>
      </c>
      <c r="L121">
        <v>0</v>
      </c>
      <c r="M121">
        <v>0</v>
      </c>
      <c r="N121">
        <v>45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10</v>
      </c>
      <c r="W121">
        <v>0</v>
      </c>
      <c r="X121">
        <v>0</v>
      </c>
      <c r="Y121">
        <v>0</v>
      </c>
      <c r="Z121">
        <v>0</v>
      </c>
      <c r="AA121">
        <v>40</v>
      </c>
      <c r="AB121">
        <v>0</v>
      </c>
      <c r="AC121">
        <v>0</v>
      </c>
      <c r="AD121">
        <v>0</v>
      </c>
      <c r="AE121">
        <v>0</v>
      </c>
      <c r="AF121">
        <v>5</v>
      </c>
      <c r="AG121">
        <v>0</v>
      </c>
      <c r="AH121">
        <v>0</v>
      </c>
      <c r="AI121">
        <f>SUM(L121:AH121)</f>
        <v>100</v>
      </c>
      <c r="AJ121" t="s">
        <v>19</v>
      </c>
      <c r="AK121">
        <f>0.6*AA121</f>
        <v>24</v>
      </c>
    </row>
    <row r="122" spans="1:37" x14ac:dyDescent="0.35">
      <c r="A122" t="s">
        <v>585</v>
      </c>
      <c r="B122">
        <v>78</v>
      </c>
      <c r="C122" t="s">
        <v>876</v>
      </c>
      <c r="D122" s="2">
        <v>38532</v>
      </c>
      <c r="E122">
        <v>0</v>
      </c>
      <c r="F122" s="3">
        <v>0.63124999999999998</v>
      </c>
      <c r="G122" s="3">
        <v>0.64166666666666672</v>
      </c>
      <c r="H122">
        <v>22.8</v>
      </c>
      <c r="I122">
        <v>34</v>
      </c>
      <c r="J122">
        <v>0</v>
      </c>
      <c r="K122">
        <v>2</v>
      </c>
      <c r="L122">
        <v>0</v>
      </c>
      <c r="M122">
        <v>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25</v>
      </c>
      <c r="T122">
        <v>60</v>
      </c>
      <c r="U122">
        <v>0</v>
      </c>
      <c r="V122">
        <v>10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f>SUM(L122:AH122)</f>
        <v>100</v>
      </c>
      <c r="AJ122" t="s">
        <v>15</v>
      </c>
      <c r="AK122">
        <f>0.8*T122</f>
        <v>48</v>
      </c>
    </row>
    <row r="123" spans="1:37" x14ac:dyDescent="0.35">
      <c r="A123" t="s">
        <v>585</v>
      </c>
      <c r="B123">
        <v>79</v>
      </c>
      <c r="C123" t="s">
        <v>877</v>
      </c>
      <c r="D123" s="2">
        <v>38532</v>
      </c>
      <c r="E123">
        <v>0</v>
      </c>
      <c r="F123" s="3">
        <v>0.64513888888888882</v>
      </c>
      <c r="G123" s="3">
        <v>0.65555555555555556</v>
      </c>
      <c r="H123">
        <v>23.3</v>
      </c>
      <c r="I123">
        <v>37</v>
      </c>
      <c r="J123">
        <v>0</v>
      </c>
      <c r="K123">
        <v>2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15</v>
      </c>
      <c r="T123">
        <v>50</v>
      </c>
      <c r="U123">
        <v>0</v>
      </c>
      <c r="V123">
        <v>10</v>
      </c>
      <c r="W123">
        <v>10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f>SUM(L123:AH123)</f>
        <v>100</v>
      </c>
      <c r="AJ123" t="s">
        <v>15</v>
      </c>
      <c r="AK123">
        <f>0.6*T123</f>
        <v>30</v>
      </c>
    </row>
    <row r="124" spans="1:37" x14ac:dyDescent="0.35">
      <c r="A124" t="s">
        <v>585</v>
      </c>
      <c r="B124">
        <v>80</v>
      </c>
      <c r="C124" t="s">
        <v>878</v>
      </c>
      <c r="D124" s="2">
        <v>38533</v>
      </c>
      <c r="E124" t="s">
        <v>36</v>
      </c>
      <c r="F124" s="3">
        <v>0.41319444444444442</v>
      </c>
      <c r="G124" s="3">
        <v>0.4236111111111111</v>
      </c>
      <c r="H124">
        <v>23.9</v>
      </c>
      <c r="I124">
        <v>46</v>
      </c>
      <c r="J124">
        <v>0</v>
      </c>
      <c r="K124">
        <v>2</v>
      </c>
      <c r="L124">
        <v>15</v>
      </c>
      <c r="M124">
        <v>35</v>
      </c>
      <c r="N124">
        <v>5</v>
      </c>
      <c r="O124">
        <v>0</v>
      </c>
      <c r="P124">
        <v>0</v>
      </c>
      <c r="Q124">
        <v>0</v>
      </c>
      <c r="R124">
        <v>0</v>
      </c>
      <c r="S124">
        <v>15</v>
      </c>
      <c r="T124">
        <v>0</v>
      </c>
      <c r="U124">
        <v>0</v>
      </c>
      <c r="V124">
        <v>8</v>
      </c>
      <c r="W124">
        <v>2</v>
      </c>
      <c r="X124">
        <v>0</v>
      </c>
      <c r="Y124">
        <v>15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5</v>
      </c>
      <c r="AG124">
        <v>0</v>
      </c>
      <c r="AH124">
        <v>0</v>
      </c>
      <c r="AI124">
        <f>SUM(L124:AH124)</f>
        <v>100</v>
      </c>
      <c r="AJ124" t="s">
        <v>586</v>
      </c>
      <c r="AK124">
        <f>0.7*Y124</f>
        <v>10.5</v>
      </c>
    </row>
    <row r="125" spans="1:37" x14ac:dyDescent="0.35">
      <c r="A125" t="s">
        <v>585</v>
      </c>
      <c r="B125">
        <v>81</v>
      </c>
      <c r="C125" t="s">
        <v>879</v>
      </c>
      <c r="D125" s="2">
        <v>38533</v>
      </c>
      <c r="E125" t="s">
        <v>34</v>
      </c>
      <c r="F125" s="3">
        <v>0.44166666666666665</v>
      </c>
      <c r="G125" s="3">
        <v>0.45208333333333334</v>
      </c>
      <c r="H125">
        <v>23.3</v>
      </c>
      <c r="I125">
        <v>44</v>
      </c>
      <c r="J125">
        <v>1</v>
      </c>
      <c r="K125">
        <v>2</v>
      </c>
      <c r="L125">
        <v>0</v>
      </c>
      <c r="M125">
        <v>11</v>
      </c>
      <c r="N125">
        <v>0</v>
      </c>
      <c r="O125">
        <v>0</v>
      </c>
      <c r="P125">
        <v>0</v>
      </c>
      <c r="Q125">
        <v>0</v>
      </c>
      <c r="R125">
        <v>12</v>
      </c>
      <c r="S125">
        <v>30</v>
      </c>
      <c r="T125">
        <v>30</v>
      </c>
      <c r="U125">
        <v>0</v>
      </c>
      <c r="V125">
        <v>2</v>
      </c>
      <c r="W125">
        <v>15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f>SUM(L125:AH125)</f>
        <v>100</v>
      </c>
      <c r="AJ125" t="s">
        <v>15</v>
      </c>
      <c r="AK125">
        <f>0.6*T125</f>
        <v>18</v>
      </c>
    </row>
    <row r="126" spans="1:37" x14ac:dyDescent="0.35">
      <c r="A126" t="s">
        <v>585</v>
      </c>
      <c r="B126">
        <v>82</v>
      </c>
      <c r="C126" t="s">
        <v>880</v>
      </c>
      <c r="D126" s="2">
        <v>38533</v>
      </c>
      <c r="E126">
        <v>0</v>
      </c>
      <c r="F126" s="3">
        <v>0.45833333333333331</v>
      </c>
      <c r="G126" s="3">
        <v>0.46875</v>
      </c>
      <c r="H126">
        <v>24.6</v>
      </c>
      <c r="I126">
        <v>41</v>
      </c>
      <c r="J126">
        <v>1</v>
      </c>
      <c r="K126">
        <v>2</v>
      </c>
      <c r="L126">
        <v>0</v>
      </c>
      <c r="M126">
        <v>20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45</v>
      </c>
      <c r="T126">
        <v>15</v>
      </c>
      <c r="U126">
        <v>0</v>
      </c>
      <c r="V126">
        <v>3</v>
      </c>
      <c r="W126">
        <v>5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10</v>
      </c>
      <c r="AF126">
        <v>2</v>
      </c>
      <c r="AG126">
        <v>0</v>
      </c>
      <c r="AH126">
        <v>0</v>
      </c>
      <c r="AI126">
        <f>SUM(L126:AH126)</f>
        <v>100</v>
      </c>
      <c r="AJ126" t="s">
        <v>15</v>
      </c>
      <c r="AK126">
        <f>0.7*T126</f>
        <v>10.5</v>
      </c>
    </row>
    <row r="127" spans="1:37" x14ac:dyDescent="0.35">
      <c r="A127" t="s">
        <v>585</v>
      </c>
      <c r="B127">
        <v>82</v>
      </c>
      <c r="C127" t="s">
        <v>880</v>
      </c>
      <c r="D127" s="2">
        <v>38533</v>
      </c>
      <c r="E127">
        <v>0</v>
      </c>
      <c r="F127" s="3">
        <v>0.45833333333333331</v>
      </c>
      <c r="G127" s="3">
        <v>0.46875</v>
      </c>
      <c r="H127">
        <v>24.6</v>
      </c>
      <c r="I127">
        <v>41</v>
      </c>
      <c r="J127">
        <v>1</v>
      </c>
      <c r="K127">
        <v>2</v>
      </c>
      <c r="L127">
        <v>0</v>
      </c>
      <c r="M127">
        <v>20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15</v>
      </c>
      <c r="U127">
        <v>0</v>
      </c>
      <c r="V127">
        <v>3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10</v>
      </c>
      <c r="AF127">
        <v>2</v>
      </c>
      <c r="AG127">
        <v>0</v>
      </c>
      <c r="AH127">
        <v>0</v>
      </c>
      <c r="AI127">
        <f>SUM(L127:AH127)</f>
        <v>100</v>
      </c>
      <c r="AJ127" t="s">
        <v>10</v>
      </c>
      <c r="AK127">
        <f>0.15*M127</f>
        <v>3</v>
      </c>
    </row>
    <row r="128" spans="1:37" x14ac:dyDescent="0.35">
      <c r="A128" t="s">
        <v>585</v>
      </c>
      <c r="B128">
        <v>83</v>
      </c>
      <c r="C128" t="s">
        <v>881</v>
      </c>
      <c r="D128" s="2">
        <v>38533</v>
      </c>
      <c r="E128">
        <v>0</v>
      </c>
      <c r="F128" s="3">
        <v>0.47152777777777777</v>
      </c>
      <c r="G128" s="3">
        <v>0.48194444444444445</v>
      </c>
      <c r="H128">
        <v>23.4</v>
      </c>
      <c r="I128">
        <v>43</v>
      </c>
      <c r="J128">
        <v>1</v>
      </c>
      <c r="K128">
        <v>2</v>
      </c>
      <c r="L128">
        <v>0</v>
      </c>
      <c r="M128">
        <v>8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</v>
      </c>
      <c r="T128">
        <v>0</v>
      </c>
      <c r="U128">
        <v>0</v>
      </c>
      <c r="V128">
        <v>37</v>
      </c>
      <c r="W128">
        <v>0</v>
      </c>
      <c r="X128">
        <v>0</v>
      </c>
      <c r="Y128">
        <v>0</v>
      </c>
      <c r="Z128">
        <v>0</v>
      </c>
      <c r="AA128">
        <v>40</v>
      </c>
      <c r="AB128">
        <v>0</v>
      </c>
      <c r="AC128">
        <v>0</v>
      </c>
      <c r="AD128">
        <v>0</v>
      </c>
      <c r="AE128">
        <v>10</v>
      </c>
      <c r="AF128">
        <v>0</v>
      </c>
      <c r="AG128">
        <v>0</v>
      </c>
      <c r="AH128">
        <v>0</v>
      </c>
      <c r="AI128">
        <f>SUM(L128:AH128)</f>
        <v>100</v>
      </c>
      <c r="AJ128" t="s">
        <v>19</v>
      </c>
      <c r="AK128">
        <f>0.3*AA128</f>
        <v>12</v>
      </c>
    </row>
    <row r="129" spans="1:37" x14ac:dyDescent="0.35">
      <c r="A129" t="s">
        <v>585</v>
      </c>
      <c r="B129">
        <v>84</v>
      </c>
      <c r="C129" t="s">
        <v>882</v>
      </c>
      <c r="D129" s="2">
        <v>38533</v>
      </c>
      <c r="E129">
        <v>0</v>
      </c>
      <c r="F129" s="3">
        <v>0.48472222222222222</v>
      </c>
      <c r="G129" s="3">
        <v>0.49513888888888885</v>
      </c>
      <c r="H129">
        <v>24.7</v>
      </c>
      <c r="I129">
        <v>47</v>
      </c>
      <c r="J129">
        <v>2</v>
      </c>
      <c r="K129">
        <v>2</v>
      </c>
      <c r="L129">
        <v>0</v>
      </c>
      <c r="M129">
        <v>40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45</v>
      </c>
      <c r="U129">
        <v>0</v>
      </c>
      <c r="V129">
        <v>10</v>
      </c>
      <c r="W129">
        <v>5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f>SUM(L129:AH129)</f>
        <v>100</v>
      </c>
      <c r="AJ129" t="s">
        <v>15</v>
      </c>
      <c r="AK129">
        <f>0.8*T129</f>
        <v>36</v>
      </c>
    </row>
    <row r="130" spans="1:37" x14ac:dyDescent="0.35">
      <c r="A130" t="s">
        <v>585</v>
      </c>
      <c r="B130">
        <v>84</v>
      </c>
      <c r="C130" t="s">
        <v>882</v>
      </c>
      <c r="D130" s="2">
        <v>38533</v>
      </c>
      <c r="E130">
        <v>0</v>
      </c>
      <c r="F130" s="3">
        <v>0.48472222222222222</v>
      </c>
      <c r="G130" s="3">
        <v>0.49513888888888885</v>
      </c>
      <c r="H130">
        <v>24.7</v>
      </c>
      <c r="I130">
        <v>47</v>
      </c>
      <c r="J130">
        <v>2</v>
      </c>
      <c r="K130">
        <v>2</v>
      </c>
      <c r="L130">
        <v>0</v>
      </c>
      <c r="M130">
        <v>40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45</v>
      </c>
      <c r="U130">
        <v>0</v>
      </c>
      <c r="V130">
        <v>10</v>
      </c>
      <c r="W130">
        <v>5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f>SUM(L130:AH130)</f>
        <v>100</v>
      </c>
      <c r="AJ130" t="s">
        <v>10</v>
      </c>
      <c r="AK130">
        <f>0.05*M130</f>
        <v>2</v>
      </c>
    </row>
    <row r="131" spans="1:37" x14ac:dyDescent="0.35">
      <c r="A131" t="s">
        <v>585</v>
      </c>
      <c r="B131">
        <v>85</v>
      </c>
      <c r="C131" t="s">
        <v>883</v>
      </c>
      <c r="D131" s="2">
        <v>38533</v>
      </c>
      <c r="E131" t="s">
        <v>31</v>
      </c>
      <c r="F131" s="3">
        <v>0.5131944444444444</v>
      </c>
      <c r="G131" s="3">
        <v>0.52361111111111114</v>
      </c>
      <c r="H131">
        <v>25.3</v>
      </c>
      <c r="I131">
        <v>40</v>
      </c>
      <c r="J131">
        <v>2</v>
      </c>
      <c r="K131">
        <v>2</v>
      </c>
      <c r="L131">
        <v>40</v>
      </c>
      <c r="M131">
        <v>35</v>
      </c>
      <c r="N131">
        <v>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10</v>
      </c>
      <c r="W131">
        <v>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f>SUM(L131:AH131)</f>
        <v>100</v>
      </c>
      <c r="AJ131" t="s">
        <v>21</v>
      </c>
      <c r="AK131">
        <f>14/67*AD131</f>
        <v>0.20895522388059701</v>
      </c>
    </row>
    <row r="132" spans="1:37" x14ac:dyDescent="0.35">
      <c r="A132" t="s">
        <v>585</v>
      </c>
      <c r="B132">
        <v>86</v>
      </c>
      <c r="C132" t="s">
        <v>884</v>
      </c>
      <c r="D132" s="2">
        <v>38538</v>
      </c>
      <c r="E132" t="s">
        <v>31</v>
      </c>
      <c r="F132" s="3">
        <v>0.65277777777777779</v>
      </c>
      <c r="G132" s="3">
        <v>0.66319444444444442</v>
      </c>
      <c r="H132">
        <v>18.3</v>
      </c>
      <c r="I132">
        <v>69</v>
      </c>
      <c r="J132">
        <v>5</v>
      </c>
      <c r="K132">
        <v>1</v>
      </c>
      <c r="L132">
        <v>0</v>
      </c>
      <c r="M132">
        <v>5</v>
      </c>
      <c r="N132">
        <v>25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20</v>
      </c>
      <c r="W132">
        <v>10</v>
      </c>
      <c r="X132">
        <v>0</v>
      </c>
      <c r="Y132">
        <v>40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f>SUM(L132:AH132)</f>
        <v>100</v>
      </c>
      <c r="AJ132" t="s">
        <v>586</v>
      </c>
      <c r="AK132">
        <f>0.5*Y132</f>
        <v>20</v>
      </c>
    </row>
    <row r="133" spans="1:37" x14ac:dyDescent="0.35">
      <c r="A133" t="s">
        <v>585</v>
      </c>
      <c r="B133">
        <v>87</v>
      </c>
      <c r="C133" t="s">
        <v>885</v>
      </c>
      <c r="D133" s="2">
        <v>38538</v>
      </c>
      <c r="E133" t="s">
        <v>34</v>
      </c>
      <c r="F133" s="3">
        <v>0.68402777777777779</v>
      </c>
      <c r="G133" s="3">
        <v>0.69444444444444453</v>
      </c>
      <c r="H133">
        <v>17.3</v>
      </c>
      <c r="I133">
        <v>61</v>
      </c>
      <c r="J133">
        <v>5</v>
      </c>
      <c r="K133">
        <v>1</v>
      </c>
      <c r="L133">
        <v>0</v>
      </c>
      <c r="M133">
        <v>10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10</v>
      </c>
      <c r="T133">
        <v>40</v>
      </c>
      <c r="U133">
        <v>0</v>
      </c>
      <c r="V133">
        <v>3</v>
      </c>
      <c r="W133">
        <v>35</v>
      </c>
      <c r="X133">
        <v>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f>SUM(L133:AH133)</f>
        <v>100</v>
      </c>
      <c r="AJ133" t="s">
        <v>15</v>
      </c>
      <c r="AK133">
        <f>0.6*T133</f>
        <v>24</v>
      </c>
    </row>
    <row r="134" spans="1:37" x14ac:dyDescent="0.35">
      <c r="A134" t="s">
        <v>585</v>
      </c>
      <c r="B134">
        <v>88</v>
      </c>
      <c r="C134" t="s">
        <v>886</v>
      </c>
      <c r="D134" s="2">
        <v>38545</v>
      </c>
      <c r="E134" t="s">
        <v>34</v>
      </c>
      <c r="F134" s="3">
        <v>0.39166666666666666</v>
      </c>
      <c r="G134" s="3">
        <v>0.40208333333333335</v>
      </c>
      <c r="H134">
        <v>24.9</v>
      </c>
      <c r="I134">
        <v>60</v>
      </c>
      <c r="J134">
        <v>0</v>
      </c>
      <c r="K134">
        <v>1</v>
      </c>
      <c r="L134">
        <v>0</v>
      </c>
      <c r="M134">
        <v>20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40</v>
      </c>
      <c r="T134">
        <v>25</v>
      </c>
      <c r="U134">
        <v>0</v>
      </c>
      <c r="V134">
        <v>10</v>
      </c>
      <c r="W134">
        <v>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f>SUM(L134:AH134)</f>
        <v>100</v>
      </c>
      <c r="AJ134" t="s">
        <v>15</v>
      </c>
      <c r="AK134">
        <f>0.6*T134</f>
        <v>15</v>
      </c>
    </row>
    <row r="135" spans="1:37" x14ac:dyDescent="0.35">
      <c r="A135" t="s">
        <v>585</v>
      </c>
      <c r="B135">
        <v>89</v>
      </c>
      <c r="C135" t="s">
        <v>887</v>
      </c>
      <c r="D135" s="2">
        <v>38545</v>
      </c>
      <c r="E135" t="s">
        <v>34</v>
      </c>
      <c r="F135" s="3">
        <v>0.40625</v>
      </c>
      <c r="G135" s="3">
        <v>0.41666666666666669</v>
      </c>
      <c r="H135">
        <v>27.2</v>
      </c>
      <c r="I135">
        <v>52</v>
      </c>
      <c r="J135">
        <v>0</v>
      </c>
      <c r="K135">
        <v>1</v>
      </c>
      <c r="L135">
        <v>0</v>
      </c>
      <c r="M135">
        <v>3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55</v>
      </c>
      <c r="T135">
        <v>40</v>
      </c>
      <c r="U135">
        <v>0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f>SUM(L135:AH135)</f>
        <v>100</v>
      </c>
      <c r="AJ135" t="s">
        <v>15</v>
      </c>
      <c r="AK135">
        <f>0.6*T135</f>
        <v>24</v>
      </c>
    </row>
    <row r="136" spans="1:37" x14ac:dyDescent="0.35">
      <c r="A136" t="s">
        <v>585</v>
      </c>
      <c r="B136">
        <v>90</v>
      </c>
      <c r="C136" t="s">
        <v>888</v>
      </c>
      <c r="D136" s="2">
        <v>38545</v>
      </c>
      <c r="E136">
        <v>0</v>
      </c>
      <c r="F136" s="3">
        <v>0.42569444444444443</v>
      </c>
      <c r="G136" s="3">
        <v>0.43611111111111112</v>
      </c>
      <c r="H136">
        <v>27.9</v>
      </c>
      <c r="I136">
        <v>42</v>
      </c>
      <c r="J136">
        <v>0</v>
      </c>
      <c r="K136">
        <v>1</v>
      </c>
      <c r="L136">
        <v>0</v>
      </c>
      <c r="M136">
        <v>5</v>
      </c>
      <c r="N136">
        <v>0</v>
      </c>
      <c r="O136">
        <v>0</v>
      </c>
      <c r="P136">
        <v>0</v>
      </c>
      <c r="Q136">
        <v>0</v>
      </c>
      <c r="R136">
        <v>10</v>
      </c>
      <c r="S136">
        <v>70</v>
      </c>
      <c r="T136">
        <v>4</v>
      </c>
      <c r="U136">
        <v>0</v>
      </c>
      <c r="V136">
        <v>0</v>
      </c>
      <c r="W136">
        <v>11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>SUM(L136:AH136)</f>
        <v>100</v>
      </c>
      <c r="AJ136" t="s">
        <v>14</v>
      </c>
      <c r="AK136">
        <f>0.2*S136</f>
        <v>14</v>
      </c>
    </row>
    <row r="137" spans="1:37" x14ac:dyDescent="0.35">
      <c r="A137" t="s">
        <v>585</v>
      </c>
      <c r="B137">
        <v>90</v>
      </c>
      <c r="C137" t="s">
        <v>888</v>
      </c>
      <c r="D137" s="2">
        <v>38545</v>
      </c>
      <c r="E137">
        <v>0</v>
      </c>
      <c r="F137" s="3">
        <v>0.42569444444444443</v>
      </c>
      <c r="G137" s="3">
        <v>0.43611111111111112</v>
      </c>
      <c r="H137">
        <v>27.9</v>
      </c>
      <c r="I137">
        <v>42</v>
      </c>
      <c r="J137">
        <v>0</v>
      </c>
      <c r="K137">
        <v>1</v>
      </c>
      <c r="L137">
        <v>0</v>
      </c>
      <c r="M137">
        <v>5</v>
      </c>
      <c r="N137">
        <v>0</v>
      </c>
      <c r="O137">
        <v>0</v>
      </c>
      <c r="P137">
        <v>0</v>
      </c>
      <c r="Q137">
        <v>0</v>
      </c>
      <c r="R137">
        <v>10</v>
      </c>
      <c r="S137">
        <v>70</v>
      </c>
      <c r="T137">
        <v>4</v>
      </c>
      <c r="U137">
        <v>0</v>
      </c>
      <c r="V137">
        <v>0</v>
      </c>
      <c r="W137">
        <v>11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f>SUM(L137:AH137)</f>
        <v>100</v>
      </c>
      <c r="AJ137" t="s">
        <v>15</v>
      </c>
      <c r="AK137">
        <f>0.4*T137</f>
        <v>1.6</v>
      </c>
    </row>
    <row r="138" spans="1:37" x14ac:dyDescent="0.35">
      <c r="A138" t="s">
        <v>585</v>
      </c>
      <c r="B138">
        <v>91</v>
      </c>
      <c r="C138" t="s">
        <v>889</v>
      </c>
      <c r="D138" s="2">
        <v>38545</v>
      </c>
      <c r="E138" t="s">
        <v>31</v>
      </c>
      <c r="F138" s="3">
        <v>0.44930555555555557</v>
      </c>
      <c r="G138" s="3">
        <v>0.4597222222222222</v>
      </c>
      <c r="H138">
        <v>26.6</v>
      </c>
      <c r="I138">
        <v>39</v>
      </c>
      <c r="J138">
        <v>0</v>
      </c>
      <c r="K138">
        <v>1</v>
      </c>
      <c r="L138">
        <v>40</v>
      </c>
      <c r="M138">
        <v>35</v>
      </c>
      <c r="N138">
        <v>5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10</v>
      </c>
      <c r="W138">
        <v>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f>SUM(L138:AH138)</f>
        <v>100</v>
      </c>
      <c r="AJ138" t="s">
        <v>21</v>
      </c>
      <c r="AK138">
        <f>40/67*AD138</f>
        <v>0.59701492537313428</v>
      </c>
    </row>
    <row r="139" spans="1:37" x14ac:dyDescent="0.35">
      <c r="A139" t="s">
        <v>585</v>
      </c>
      <c r="B139">
        <v>92</v>
      </c>
      <c r="C139" t="s">
        <v>890</v>
      </c>
      <c r="D139" s="2">
        <v>38545</v>
      </c>
      <c r="E139" t="s">
        <v>36</v>
      </c>
      <c r="F139" s="3">
        <v>0.46597222222222223</v>
      </c>
      <c r="G139" s="3">
        <v>0.47638888888888892</v>
      </c>
      <c r="H139">
        <v>26.6</v>
      </c>
      <c r="I139">
        <v>39</v>
      </c>
      <c r="J139">
        <v>0</v>
      </c>
      <c r="K139">
        <v>1</v>
      </c>
      <c r="L139">
        <v>0</v>
      </c>
      <c r="M139">
        <v>0</v>
      </c>
      <c r="N139">
        <v>25</v>
      </c>
      <c r="O139">
        <v>5</v>
      </c>
      <c r="P139">
        <v>0</v>
      </c>
      <c r="Q139">
        <v>0</v>
      </c>
      <c r="R139">
        <v>0</v>
      </c>
      <c r="S139">
        <v>50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15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</v>
      </c>
      <c r="AG139">
        <v>0</v>
      </c>
      <c r="AH139">
        <v>0</v>
      </c>
      <c r="AI139">
        <f>SUM(L139:AH139)</f>
        <v>100</v>
      </c>
      <c r="AJ139" t="s">
        <v>586</v>
      </c>
      <c r="AK139">
        <f>0.15*Y139</f>
        <v>2.25</v>
      </c>
    </row>
    <row r="140" spans="1:37" x14ac:dyDescent="0.35">
      <c r="A140" t="s">
        <v>585</v>
      </c>
      <c r="B140">
        <v>93</v>
      </c>
      <c r="C140" t="s">
        <v>891</v>
      </c>
      <c r="D140" s="2">
        <v>38547</v>
      </c>
      <c r="E140" t="s">
        <v>36</v>
      </c>
      <c r="F140" s="3">
        <v>0.46736111111111112</v>
      </c>
      <c r="G140" s="3">
        <v>0.4777777777777778</v>
      </c>
      <c r="H140">
        <v>20.5</v>
      </c>
      <c r="I140">
        <v>60</v>
      </c>
      <c r="J140">
        <v>5</v>
      </c>
      <c r="K140">
        <v>1</v>
      </c>
      <c r="L140">
        <v>5</v>
      </c>
      <c r="M140">
        <v>10</v>
      </c>
      <c r="N140">
        <v>60</v>
      </c>
      <c r="O140">
        <v>0</v>
      </c>
      <c r="P140">
        <v>0</v>
      </c>
      <c r="Q140">
        <v>0</v>
      </c>
      <c r="R140">
        <v>0</v>
      </c>
      <c r="S140">
        <v>13</v>
      </c>
      <c r="T140">
        <v>0</v>
      </c>
      <c r="U140">
        <v>0</v>
      </c>
      <c r="V140">
        <v>1</v>
      </c>
      <c r="W140">
        <v>1</v>
      </c>
      <c r="X140">
        <v>0</v>
      </c>
      <c r="Y140">
        <v>10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f>SUM(L140:AH140)</f>
        <v>100</v>
      </c>
      <c r="AJ140" t="s">
        <v>586</v>
      </c>
      <c r="AK140">
        <f>0.15*Y140</f>
        <v>1.5</v>
      </c>
    </row>
    <row r="141" spans="1:37" x14ac:dyDescent="0.35">
      <c r="A141" t="s">
        <v>585</v>
      </c>
      <c r="B141">
        <v>94</v>
      </c>
      <c r="C141" t="s">
        <v>892</v>
      </c>
      <c r="D141" s="2">
        <v>38547</v>
      </c>
      <c r="E141" t="s">
        <v>36</v>
      </c>
      <c r="F141" s="3">
        <v>0.48402777777777778</v>
      </c>
      <c r="G141" s="3">
        <v>0.49444444444444446</v>
      </c>
      <c r="H141">
        <v>19.2</v>
      </c>
      <c r="I141">
        <v>58</v>
      </c>
      <c r="J141">
        <v>3</v>
      </c>
      <c r="K141">
        <v>1</v>
      </c>
      <c r="L141">
        <v>0</v>
      </c>
      <c r="M141">
        <v>15</v>
      </c>
      <c r="N141">
        <v>10</v>
      </c>
      <c r="O141">
        <v>0</v>
      </c>
      <c r="P141">
        <v>0</v>
      </c>
      <c r="Q141">
        <v>0</v>
      </c>
      <c r="R141">
        <v>0</v>
      </c>
      <c r="S141">
        <v>55</v>
      </c>
      <c r="T141">
        <v>0</v>
      </c>
      <c r="U141">
        <v>0</v>
      </c>
      <c r="V141">
        <v>10</v>
      </c>
      <c r="W141">
        <v>10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f>SUM(L141:AH141)</f>
        <v>100</v>
      </c>
      <c r="AJ141" t="s">
        <v>14</v>
      </c>
      <c r="AK141">
        <f>0.1*S141</f>
        <v>5.5</v>
      </c>
    </row>
    <row r="142" spans="1:37" x14ac:dyDescent="0.35">
      <c r="A142" t="s">
        <v>585</v>
      </c>
      <c r="B142">
        <v>95</v>
      </c>
      <c r="C142" t="s">
        <v>893</v>
      </c>
      <c r="D142" s="2">
        <v>38547</v>
      </c>
      <c r="E142" t="s">
        <v>31</v>
      </c>
      <c r="F142" s="3">
        <v>0.50624999999999998</v>
      </c>
      <c r="G142" s="3">
        <v>0.51666666666666672</v>
      </c>
      <c r="H142">
        <v>22.1</v>
      </c>
      <c r="I142">
        <v>47</v>
      </c>
      <c r="J142">
        <v>3</v>
      </c>
      <c r="K142">
        <v>1</v>
      </c>
      <c r="L142">
        <v>0</v>
      </c>
      <c r="M142">
        <v>25</v>
      </c>
      <c r="N142">
        <v>25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10</v>
      </c>
      <c r="W142">
        <v>30</v>
      </c>
      <c r="X142">
        <v>0</v>
      </c>
      <c r="Y142">
        <v>10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f>SUM(L142:AH142)</f>
        <v>100</v>
      </c>
      <c r="AJ142" t="s">
        <v>586</v>
      </c>
      <c r="AK142">
        <f>0.2*Y142</f>
        <v>2</v>
      </c>
    </row>
    <row r="143" spans="1:37" x14ac:dyDescent="0.35">
      <c r="A143" t="s">
        <v>585</v>
      </c>
      <c r="B143">
        <v>96</v>
      </c>
      <c r="C143" t="s">
        <v>894</v>
      </c>
      <c r="D143" s="2">
        <v>38547</v>
      </c>
      <c r="E143" t="s">
        <v>33</v>
      </c>
      <c r="F143" s="3">
        <v>0.52569444444444446</v>
      </c>
      <c r="G143" s="3">
        <v>0.53611111111111109</v>
      </c>
      <c r="H143">
        <v>20.5</v>
      </c>
      <c r="I143">
        <v>50</v>
      </c>
      <c r="J143">
        <v>3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40</v>
      </c>
      <c r="T143">
        <v>50</v>
      </c>
      <c r="U143">
        <v>0</v>
      </c>
      <c r="V143">
        <v>10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f>SUM(L143:AH143)</f>
        <v>100</v>
      </c>
      <c r="AJ143" t="s">
        <v>14</v>
      </c>
      <c r="AK143">
        <f>0.5*T143</f>
        <v>25</v>
      </c>
    </row>
    <row r="144" spans="1:37" x14ac:dyDescent="0.35">
      <c r="A144" t="s">
        <v>585</v>
      </c>
      <c r="B144">
        <v>97</v>
      </c>
      <c r="C144" t="s">
        <v>895</v>
      </c>
      <c r="D144" s="2">
        <v>38547</v>
      </c>
      <c r="E144" t="s">
        <v>33</v>
      </c>
      <c r="F144" s="3">
        <v>0.54097222222222219</v>
      </c>
      <c r="G144" s="3">
        <v>0.55138888888888882</v>
      </c>
      <c r="H144">
        <v>21.8</v>
      </c>
      <c r="I144">
        <v>50</v>
      </c>
      <c r="J144">
        <v>3</v>
      </c>
      <c r="K144">
        <v>1</v>
      </c>
      <c r="L144">
        <v>0</v>
      </c>
      <c r="M144">
        <v>2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30</v>
      </c>
      <c r="T144">
        <v>35</v>
      </c>
      <c r="U144">
        <v>0</v>
      </c>
      <c r="V144">
        <v>0</v>
      </c>
      <c r="W144">
        <v>30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3</v>
      </c>
      <c r="AG144">
        <v>0</v>
      </c>
      <c r="AH144">
        <v>0</v>
      </c>
      <c r="AI144">
        <f>SUM(L144:AH144)</f>
        <v>100</v>
      </c>
      <c r="AJ144" t="s">
        <v>14</v>
      </c>
      <c r="AK144">
        <f>0.5*S144</f>
        <v>15</v>
      </c>
    </row>
    <row r="145" spans="1:37" x14ac:dyDescent="0.35">
      <c r="A145" t="s">
        <v>585</v>
      </c>
      <c r="B145">
        <v>97</v>
      </c>
      <c r="C145" t="s">
        <v>895</v>
      </c>
      <c r="D145" s="2">
        <v>38547</v>
      </c>
      <c r="E145" t="s">
        <v>33</v>
      </c>
      <c r="F145" s="3">
        <v>0.54097222222222219</v>
      </c>
      <c r="G145" s="3">
        <v>0.55138888888888882</v>
      </c>
      <c r="H145">
        <v>21.8</v>
      </c>
      <c r="I145">
        <v>50</v>
      </c>
      <c r="J145">
        <v>3</v>
      </c>
      <c r="K145">
        <v>1</v>
      </c>
      <c r="L145">
        <v>0</v>
      </c>
      <c r="M145">
        <v>2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30</v>
      </c>
      <c r="T145">
        <v>35</v>
      </c>
      <c r="U145">
        <v>0</v>
      </c>
      <c r="V145">
        <v>0</v>
      </c>
      <c r="W145">
        <v>30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0</v>
      </c>
      <c r="AH145">
        <v>0</v>
      </c>
      <c r="AI145">
        <f>SUM(L145:AH145)</f>
        <v>100</v>
      </c>
      <c r="AJ145" t="s">
        <v>15</v>
      </c>
      <c r="AK145">
        <f>0.02*T145</f>
        <v>0.70000000000000007</v>
      </c>
    </row>
    <row r="146" spans="1:37" x14ac:dyDescent="0.35">
      <c r="A146" t="s">
        <v>585</v>
      </c>
      <c r="B146">
        <v>98</v>
      </c>
      <c r="C146" t="s">
        <v>896</v>
      </c>
      <c r="D146" s="2">
        <v>38547</v>
      </c>
      <c r="E146">
        <v>0</v>
      </c>
      <c r="F146" s="3">
        <v>0.56180555555555556</v>
      </c>
      <c r="G146" s="3">
        <v>0.57222222222222219</v>
      </c>
      <c r="H146">
        <v>23.3</v>
      </c>
      <c r="I146">
        <v>50</v>
      </c>
      <c r="J146">
        <v>3</v>
      </c>
      <c r="K146">
        <v>1</v>
      </c>
      <c r="L146">
        <v>0</v>
      </c>
      <c r="M146">
        <v>10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2</v>
      </c>
      <c r="T146">
        <v>80</v>
      </c>
      <c r="U146">
        <v>0</v>
      </c>
      <c r="V146">
        <v>5</v>
      </c>
      <c r="W146">
        <v>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f>SUM(L146:AH146)</f>
        <v>100</v>
      </c>
      <c r="AJ146" t="s">
        <v>15</v>
      </c>
      <c r="AK146">
        <f>0.4*T146</f>
        <v>32</v>
      </c>
    </row>
    <row r="147" spans="1:37" x14ac:dyDescent="0.35">
      <c r="A147" t="s">
        <v>585</v>
      </c>
      <c r="B147">
        <v>99</v>
      </c>
      <c r="C147" t="s">
        <v>897</v>
      </c>
      <c r="D147" s="2">
        <v>38547</v>
      </c>
      <c r="E147" t="s">
        <v>34</v>
      </c>
      <c r="F147" s="3">
        <v>0.59027777777777779</v>
      </c>
      <c r="G147" s="3">
        <v>0.60069444444444442</v>
      </c>
      <c r="H147">
        <v>20.3</v>
      </c>
      <c r="I147">
        <v>52</v>
      </c>
      <c r="J147">
        <v>5</v>
      </c>
      <c r="K147">
        <v>1</v>
      </c>
      <c r="L147">
        <v>0</v>
      </c>
      <c r="M147">
        <v>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50</v>
      </c>
      <c r="T147">
        <v>0</v>
      </c>
      <c r="U147">
        <v>0</v>
      </c>
      <c r="V147">
        <v>5</v>
      </c>
      <c r="W147">
        <v>35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5</v>
      </c>
      <c r="AF147">
        <v>0</v>
      </c>
      <c r="AG147">
        <v>0</v>
      </c>
      <c r="AH147">
        <v>0</v>
      </c>
      <c r="AI147">
        <f>SUM(L147:AH147)</f>
        <v>100</v>
      </c>
      <c r="AJ147" t="s">
        <v>14</v>
      </c>
      <c r="AK147">
        <f>0.2*S147</f>
        <v>10</v>
      </c>
    </row>
    <row r="148" spans="1:37" x14ac:dyDescent="0.35">
      <c r="A148" t="s">
        <v>585</v>
      </c>
      <c r="B148">
        <v>100</v>
      </c>
      <c r="C148" t="s">
        <v>898</v>
      </c>
      <c r="D148" s="2">
        <v>38551</v>
      </c>
      <c r="E148" t="s">
        <v>36</v>
      </c>
      <c r="F148" s="3">
        <v>0.59166666666666667</v>
      </c>
      <c r="G148" s="3">
        <v>0.6020833333333333</v>
      </c>
      <c r="H148">
        <v>21.5</v>
      </c>
      <c r="I148">
        <v>71</v>
      </c>
      <c r="J148">
        <v>5</v>
      </c>
      <c r="K148">
        <v>1</v>
      </c>
      <c r="L148">
        <v>0</v>
      </c>
      <c r="M148">
        <v>33</v>
      </c>
      <c r="N148">
        <v>10</v>
      </c>
      <c r="O148">
        <v>0</v>
      </c>
      <c r="P148">
        <v>0</v>
      </c>
      <c r="Q148">
        <v>0</v>
      </c>
      <c r="R148">
        <v>0</v>
      </c>
      <c r="S148">
        <v>50</v>
      </c>
      <c r="T148">
        <v>0</v>
      </c>
      <c r="U148">
        <v>0</v>
      </c>
      <c r="V148">
        <v>3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2</v>
      </c>
      <c r="AG148">
        <v>0</v>
      </c>
      <c r="AH148">
        <v>0</v>
      </c>
      <c r="AI148">
        <f>SUM(L148:AH148)</f>
        <v>100</v>
      </c>
      <c r="AJ148" t="s">
        <v>14</v>
      </c>
      <c r="AK148">
        <f>0.4*S148</f>
        <v>20</v>
      </c>
    </row>
    <row r="149" spans="1:37" x14ac:dyDescent="0.35">
      <c r="A149" t="s">
        <v>585</v>
      </c>
      <c r="B149">
        <v>101</v>
      </c>
      <c r="C149" t="s">
        <v>899</v>
      </c>
      <c r="D149" s="2">
        <v>38551</v>
      </c>
      <c r="E149" t="s">
        <v>31</v>
      </c>
      <c r="F149" s="3">
        <v>0.61805555555555558</v>
      </c>
      <c r="G149" s="3">
        <v>0.62847222222222221</v>
      </c>
      <c r="H149">
        <v>22.4</v>
      </c>
      <c r="I149">
        <v>71</v>
      </c>
      <c r="J149">
        <v>5</v>
      </c>
      <c r="K149">
        <v>1</v>
      </c>
      <c r="L149">
        <v>0</v>
      </c>
      <c r="M149">
        <v>0</v>
      </c>
      <c r="N149">
        <v>15</v>
      </c>
      <c r="O149">
        <v>74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f>SUM(L149:AH149)</f>
        <v>100</v>
      </c>
      <c r="AJ149" t="s">
        <v>90</v>
      </c>
      <c r="AK149">
        <f>0.4*Y149</f>
        <v>4</v>
      </c>
    </row>
    <row r="150" spans="1:37" x14ac:dyDescent="0.35">
      <c r="A150" t="s">
        <v>585</v>
      </c>
      <c r="B150">
        <v>102</v>
      </c>
      <c r="C150" t="s">
        <v>900</v>
      </c>
      <c r="D150" s="2">
        <v>38551</v>
      </c>
      <c r="E150" t="s">
        <v>34</v>
      </c>
      <c r="F150" s="3">
        <v>0.65902777777777777</v>
      </c>
      <c r="G150" s="3">
        <v>0.6694444444444444</v>
      </c>
      <c r="H150">
        <v>24.2</v>
      </c>
      <c r="I150">
        <v>64</v>
      </c>
      <c r="J150">
        <v>5</v>
      </c>
      <c r="K150">
        <v>1</v>
      </c>
      <c r="L150">
        <v>0</v>
      </c>
      <c r="M150">
        <v>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35</v>
      </c>
      <c r="T150">
        <v>45</v>
      </c>
      <c r="U150">
        <v>0</v>
      </c>
      <c r="V150">
        <v>0</v>
      </c>
      <c r="W150">
        <v>15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f>SUM(L150:AH150)</f>
        <v>100</v>
      </c>
      <c r="AJ150" t="s">
        <v>14</v>
      </c>
      <c r="AK150">
        <f>0.02*S150</f>
        <v>0.70000000000000007</v>
      </c>
    </row>
    <row r="151" spans="1:37" x14ac:dyDescent="0.35">
      <c r="A151" t="s">
        <v>585</v>
      </c>
      <c r="B151">
        <v>102</v>
      </c>
      <c r="C151" t="s">
        <v>900</v>
      </c>
      <c r="D151" s="2">
        <v>38551</v>
      </c>
      <c r="E151" t="s">
        <v>34</v>
      </c>
      <c r="F151" s="3">
        <v>0.65902777777777777</v>
      </c>
      <c r="G151" s="3">
        <v>0.6694444444444444</v>
      </c>
      <c r="H151">
        <v>24.2</v>
      </c>
      <c r="I151">
        <v>64</v>
      </c>
      <c r="J151">
        <v>5</v>
      </c>
      <c r="K151">
        <v>1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35</v>
      </c>
      <c r="T151">
        <v>45</v>
      </c>
      <c r="U151">
        <v>0</v>
      </c>
      <c r="V151">
        <v>0</v>
      </c>
      <c r="W151">
        <v>15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f>SUM(L151:AH151)</f>
        <v>100</v>
      </c>
      <c r="AJ151" t="s">
        <v>15</v>
      </c>
      <c r="AK151">
        <f>0.5*T151</f>
        <v>22.5</v>
      </c>
    </row>
    <row r="152" spans="1:37" x14ac:dyDescent="0.35">
      <c r="A152" t="s">
        <v>585</v>
      </c>
      <c r="B152">
        <v>103</v>
      </c>
      <c r="C152" t="s">
        <v>901</v>
      </c>
      <c r="D152" s="2">
        <v>38555</v>
      </c>
      <c r="E152" t="s">
        <v>31</v>
      </c>
      <c r="F152" s="3">
        <v>0.5444444444444444</v>
      </c>
      <c r="G152" s="3">
        <v>0.55486111111111114</v>
      </c>
      <c r="H152">
        <v>25.1</v>
      </c>
      <c r="I152">
        <v>44</v>
      </c>
      <c r="J152">
        <v>3</v>
      </c>
      <c r="K152">
        <v>1</v>
      </c>
      <c r="L152">
        <v>0</v>
      </c>
      <c r="M152">
        <v>0</v>
      </c>
      <c r="N152">
        <v>15</v>
      </c>
      <c r="O152">
        <v>74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f>SUM(L152:AH152)</f>
        <v>100</v>
      </c>
      <c r="AJ152" t="s">
        <v>90</v>
      </c>
      <c r="AK152">
        <f>0.4*Y152</f>
        <v>4</v>
      </c>
    </row>
    <row r="153" spans="1:37" x14ac:dyDescent="0.35">
      <c r="A153" t="s">
        <v>585</v>
      </c>
      <c r="B153">
        <v>104</v>
      </c>
      <c r="C153" t="s">
        <v>902</v>
      </c>
      <c r="D153" s="2">
        <v>38555</v>
      </c>
      <c r="E153">
        <v>0</v>
      </c>
      <c r="F153" s="3">
        <v>0.56527777777777777</v>
      </c>
      <c r="G153" s="3">
        <v>0.5756944444444444</v>
      </c>
      <c r="H153">
        <v>23.6</v>
      </c>
      <c r="I153">
        <v>45</v>
      </c>
      <c r="J153">
        <v>3</v>
      </c>
      <c r="K153">
        <v>1</v>
      </c>
      <c r="L153">
        <v>0</v>
      </c>
      <c r="M153">
        <v>16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60</v>
      </c>
      <c r="T153">
        <v>0</v>
      </c>
      <c r="U153">
        <v>0</v>
      </c>
      <c r="V153">
        <v>0</v>
      </c>
      <c r="W153">
        <v>20</v>
      </c>
      <c r="X153">
        <v>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f>SUM(L153:AH153)</f>
        <v>100</v>
      </c>
      <c r="AJ153" t="s">
        <v>14</v>
      </c>
      <c r="AK153">
        <f>0.6*S153</f>
        <v>36</v>
      </c>
    </row>
    <row r="154" spans="1:37" x14ac:dyDescent="0.35">
      <c r="A154" t="s">
        <v>585</v>
      </c>
      <c r="B154">
        <v>105</v>
      </c>
      <c r="C154" t="s">
        <v>903</v>
      </c>
      <c r="D154" s="2">
        <v>38555</v>
      </c>
      <c r="E154">
        <v>0</v>
      </c>
      <c r="F154" s="3">
        <v>0.58472222222222225</v>
      </c>
      <c r="G154" s="3">
        <v>0.59513888888888888</v>
      </c>
      <c r="H154">
        <v>24.7</v>
      </c>
      <c r="I154">
        <v>44</v>
      </c>
      <c r="J154">
        <v>3</v>
      </c>
      <c r="K154">
        <v>1</v>
      </c>
      <c r="L154">
        <v>0</v>
      </c>
      <c r="M154">
        <v>8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30</v>
      </c>
      <c r="T154">
        <v>50</v>
      </c>
      <c r="U154">
        <v>0</v>
      </c>
      <c r="V154">
        <v>0</v>
      </c>
      <c r="W154">
        <v>12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f>SUM(L154:AH154)</f>
        <v>100</v>
      </c>
      <c r="AJ154" t="s">
        <v>14</v>
      </c>
      <c r="AK154">
        <f>0.1*S154</f>
        <v>3</v>
      </c>
    </row>
    <row r="155" spans="1:37" x14ac:dyDescent="0.35">
      <c r="A155" t="s">
        <v>585</v>
      </c>
      <c r="B155">
        <v>105</v>
      </c>
      <c r="C155" t="s">
        <v>903</v>
      </c>
      <c r="D155" s="2">
        <v>38555</v>
      </c>
      <c r="E155">
        <v>0</v>
      </c>
      <c r="F155" s="3">
        <v>0.58472222222222225</v>
      </c>
      <c r="G155" s="3">
        <v>0.59513888888888888</v>
      </c>
      <c r="H155">
        <v>24.7</v>
      </c>
      <c r="I155">
        <v>44</v>
      </c>
      <c r="J155">
        <v>3</v>
      </c>
      <c r="K155">
        <v>1</v>
      </c>
      <c r="L155">
        <v>0</v>
      </c>
      <c r="M155">
        <v>8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30</v>
      </c>
      <c r="T155">
        <v>50</v>
      </c>
      <c r="U155">
        <v>0</v>
      </c>
      <c r="V155">
        <v>0</v>
      </c>
      <c r="W155">
        <v>12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f>SUM(L155:AH155)</f>
        <v>100</v>
      </c>
      <c r="AJ155" t="s">
        <v>15</v>
      </c>
      <c r="AK155">
        <f>0.4*T155</f>
        <v>20</v>
      </c>
    </row>
    <row r="156" spans="1:37" x14ac:dyDescent="0.35">
      <c r="A156" t="s">
        <v>585</v>
      </c>
      <c r="B156">
        <v>106</v>
      </c>
      <c r="C156" t="s">
        <v>904</v>
      </c>
      <c r="D156" s="2">
        <v>38557</v>
      </c>
      <c r="E156" t="s">
        <v>34</v>
      </c>
      <c r="F156" s="3">
        <v>0.58472222222222225</v>
      </c>
      <c r="G156" s="3">
        <v>0.59513888888888888</v>
      </c>
      <c r="H156">
        <v>16.5</v>
      </c>
      <c r="I156">
        <v>58</v>
      </c>
      <c r="J156">
        <v>5</v>
      </c>
      <c r="K156">
        <v>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85</v>
      </c>
      <c r="T156">
        <v>7</v>
      </c>
      <c r="U156">
        <v>0</v>
      </c>
      <c r="V156">
        <v>0</v>
      </c>
      <c r="W156">
        <v>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f>SUM(L156:AH156)</f>
        <v>100</v>
      </c>
      <c r="AJ156" t="s">
        <v>14</v>
      </c>
      <c r="AK156">
        <f>0.2*S156</f>
        <v>17</v>
      </c>
    </row>
    <row r="157" spans="1:37" x14ac:dyDescent="0.35">
      <c r="A157" t="s">
        <v>585</v>
      </c>
      <c r="B157">
        <v>106</v>
      </c>
      <c r="C157" t="s">
        <v>904</v>
      </c>
      <c r="D157" s="2">
        <v>38557</v>
      </c>
      <c r="E157" t="s">
        <v>34</v>
      </c>
      <c r="F157" s="3">
        <v>0.58472222222222225</v>
      </c>
      <c r="G157" s="3">
        <v>0.59513888888888888</v>
      </c>
      <c r="H157">
        <v>16.5</v>
      </c>
      <c r="I157">
        <v>58</v>
      </c>
      <c r="J157">
        <v>5</v>
      </c>
      <c r="K157">
        <v>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85</v>
      </c>
      <c r="T157">
        <v>7</v>
      </c>
      <c r="U157">
        <v>0</v>
      </c>
      <c r="V157">
        <v>0</v>
      </c>
      <c r="W157">
        <v>8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f>SUM(L157:AH157)</f>
        <v>100</v>
      </c>
      <c r="AJ157" t="s">
        <v>15</v>
      </c>
      <c r="AK157">
        <f>0.35*T157</f>
        <v>2.4499999999999997</v>
      </c>
    </row>
    <row r="158" spans="1:37" x14ac:dyDescent="0.35">
      <c r="A158" t="s">
        <v>585</v>
      </c>
      <c r="B158">
        <v>107</v>
      </c>
      <c r="C158" t="s">
        <v>905</v>
      </c>
      <c r="D158" s="2">
        <v>38557</v>
      </c>
      <c r="E158">
        <v>0</v>
      </c>
      <c r="F158" s="3">
        <v>0.6069444444444444</v>
      </c>
      <c r="G158" s="3">
        <v>0.61736111111111114</v>
      </c>
      <c r="H158">
        <v>16.3</v>
      </c>
      <c r="I158">
        <v>65</v>
      </c>
      <c r="J158">
        <v>5</v>
      </c>
      <c r="K158">
        <v>1</v>
      </c>
      <c r="L158">
        <v>0</v>
      </c>
      <c r="M158">
        <v>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67</v>
      </c>
      <c r="T158">
        <v>30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f>SUM(L158:AH158)</f>
        <v>100</v>
      </c>
      <c r="AJ158" t="s">
        <v>15</v>
      </c>
      <c r="AK158">
        <f>0.25*T158</f>
        <v>7.5</v>
      </c>
    </row>
    <row r="159" spans="1:37" x14ac:dyDescent="0.35">
      <c r="A159" t="s">
        <v>585</v>
      </c>
      <c r="B159">
        <v>108</v>
      </c>
      <c r="C159" t="s">
        <v>906</v>
      </c>
      <c r="D159" s="2">
        <v>38562</v>
      </c>
      <c r="E159" t="s">
        <v>36</v>
      </c>
      <c r="F159" s="3">
        <v>0.42986111111111108</v>
      </c>
      <c r="G159" s="3">
        <v>0.44027777777777777</v>
      </c>
      <c r="H159">
        <v>19.600000000000001</v>
      </c>
      <c r="I159">
        <v>77</v>
      </c>
      <c r="J159">
        <v>4</v>
      </c>
      <c r="K159">
        <v>2</v>
      </c>
      <c r="L159">
        <v>0</v>
      </c>
      <c r="M159">
        <v>10</v>
      </c>
      <c r="N159">
        <v>5</v>
      </c>
      <c r="O159">
        <v>0</v>
      </c>
      <c r="P159">
        <v>0</v>
      </c>
      <c r="Q159">
        <v>0</v>
      </c>
      <c r="R159">
        <v>0</v>
      </c>
      <c r="S159">
        <v>80</v>
      </c>
      <c r="T159">
        <v>0</v>
      </c>
      <c r="U159">
        <v>0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f>SUM(L159:AH159)</f>
        <v>100</v>
      </c>
      <c r="AJ159" t="s">
        <v>14</v>
      </c>
      <c r="AK159">
        <f>0.5*S159</f>
        <v>40</v>
      </c>
    </row>
    <row r="160" spans="1:37" x14ac:dyDescent="0.35">
      <c r="A160" t="s">
        <v>585</v>
      </c>
      <c r="B160">
        <v>109</v>
      </c>
      <c r="C160" t="s">
        <v>907</v>
      </c>
      <c r="D160" s="2">
        <v>38562</v>
      </c>
      <c r="E160">
        <v>0</v>
      </c>
      <c r="F160" s="3">
        <v>0.46666666666666662</v>
      </c>
      <c r="G160" s="3">
        <v>0.4770833333333333</v>
      </c>
      <c r="H160">
        <v>22</v>
      </c>
      <c r="I160">
        <v>69</v>
      </c>
      <c r="J160">
        <v>4</v>
      </c>
      <c r="K160">
        <v>1</v>
      </c>
      <c r="L160">
        <v>0</v>
      </c>
      <c r="M160">
        <v>28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2</v>
      </c>
      <c r="T160">
        <v>65</v>
      </c>
      <c r="U160">
        <v>0</v>
      </c>
      <c r="V160">
        <v>2</v>
      </c>
      <c r="W160">
        <v>3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>SUM(L160:AH160)</f>
        <v>100</v>
      </c>
      <c r="AJ160" t="s">
        <v>14</v>
      </c>
      <c r="AK160">
        <f>0.05*S160</f>
        <v>0.1</v>
      </c>
    </row>
    <row r="161" spans="1:37" x14ac:dyDescent="0.35">
      <c r="A161" t="s">
        <v>585</v>
      </c>
      <c r="B161">
        <v>109</v>
      </c>
      <c r="C161" t="s">
        <v>907</v>
      </c>
      <c r="D161" s="2">
        <v>38562</v>
      </c>
      <c r="E161">
        <v>0</v>
      </c>
      <c r="F161" s="3">
        <v>0.46666666666666662</v>
      </c>
      <c r="G161" s="3">
        <v>0.4770833333333333</v>
      </c>
      <c r="H161">
        <v>22</v>
      </c>
      <c r="I161">
        <v>69</v>
      </c>
      <c r="J161">
        <v>4</v>
      </c>
      <c r="K161">
        <v>1</v>
      </c>
      <c r="L161">
        <v>0</v>
      </c>
      <c r="M161">
        <v>28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</v>
      </c>
      <c r="T161">
        <v>65</v>
      </c>
      <c r="U161">
        <v>0</v>
      </c>
      <c r="V161">
        <v>2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f>SUM(L161:AH161)</f>
        <v>100</v>
      </c>
      <c r="AJ161" t="s">
        <v>15</v>
      </c>
      <c r="AK161">
        <f>0.2*T161</f>
        <v>13</v>
      </c>
    </row>
    <row r="162" spans="1:37" x14ac:dyDescent="0.35">
      <c r="A162" t="s">
        <v>585</v>
      </c>
      <c r="B162">
        <v>110</v>
      </c>
      <c r="C162" t="s">
        <v>908</v>
      </c>
      <c r="D162" s="2">
        <v>38562</v>
      </c>
      <c r="E162">
        <v>0</v>
      </c>
      <c r="F162" s="3">
        <v>0.48125000000000001</v>
      </c>
      <c r="G162" s="3">
        <v>0.4916666666666667</v>
      </c>
      <c r="H162">
        <v>21</v>
      </c>
      <c r="I162">
        <v>71</v>
      </c>
      <c r="J162">
        <v>5</v>
      </c>
      <c r="K162">
        <v>1</v>
      </c>
      <c r="L162">
        <v>0</v>
      </c>
      <c r="M162">
        <v>10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0</v>
      </c>
      <c r="U162">
        <v>0</v>
      </c>
      <c r="V162">
        <v>5</v>
      </c>
      <c r="W162">
        <v>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f>SUM(L162:AH162)</f>
        <v>100</v>
      </c>
      <c r="AJ162" t="s">
        <v>14</v>
      </c>
      <c r="AK162">
        <f>0.6*S162</f>
        <v>48</v>
      </c>
    </row>
    <row r="163" spans="1:37" x14ac:dyDescent="0.35">
      <c r="A163" t="s">
        <v>585</v>
      </c>
      <c r="B163">
        <v>111</v>
      </c>
      <c r="C163" t="s">
        <v>909</v>
      </c>
      <c r="D163" s="2">
        <v>38562</v>
      </c>
      <c r="E163">
        <v>0</v>
      </c>
      <c r="F163" s="3">
        <v>0.49861111111111112</v>
      </c>
      <c r="G163" s="3">
        <v>0.50902777777777775</v>
      </c>
      <c r="H163">
        <v>21.8</v>
      </c>
      <c r="I163">
        <v>77</v>
      </c>
      <c r="J163">
        <v>5</v>
      </c>
      <c r="K163">
        <v>1</v>
      </c>
      <c r="L163">
        <v>0</v>
      </c>
      <c r="M163">
        <v>10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50</v>
      </c>
      <c r="T163">
        <v>17</v>
      </c>
      <c r="U163">
        <v>0</v>
      </c>
      <c r="V163">
        <v>3</v>
      </c>
      <c r="W163">
        <v>20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f>SUM(L163:AH163)</f>
        <v>100</v>
      </c>
      <c r="AJ163" t="s">
        <v>14</v>
      </c>
      <c r="AK163">
        <f>0.4*S163</f>
        <v>20</v>
      </c>
    </row>
    <row r="164" spans="1:37" x14ac:dyDescent="0.35">
      <c r="A164" t="s">
        <v>585</v>
      </c>
      <c r="B164">
        <v>111</v>
      </c>
      <c r="C164" t="s">
        <v>909</v>
      </c>
      <c r="D164" s="2">
        <v>38562</v>
      </c>
      <c r="E164">
        <v>0</v>
      </c>
      <c r="F164" s="3">
        <v>0.49861111111111112</v>
      </c>
      <c r="G164" s="3">
        <v>0.50902777777777775</v>
      </c>
      <c r="H164">
        <v>21.8</v>
      </c>
      <c r="I164">
        <v>77</v>
      </c>
      <c r="J164">
        <v>5</v>
      </c>
      <c r="K164">
        <v>1</v>
      </c>
      <c r="L164">
        <v>0</v>
      </c>
      <c r="M164">
        <v>10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50</v>
      </c>
      <c r="T164">
        <v>17</v>
      </c>
      <c r="U164">
        <v>0</v>
      </c>
      <c r="V164">
        <v>3</v>
      </c>
      <c r="W164">
        <v>20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f>SUM(L164:AH164)</f>
        <v>100</v>
      </c>
      <c r="AJ164" t="s">
        <v>15</v>
      </c>
      <c r="AK164">
        <f>0.15*T164</f>
        <v>2.5499999999999998</v>
      </c>
    </row>
    <row r="165" spans="1:37" x14ac:dyDescent="0.35">
      <c r="A165" t="s">
        <v>585</v>
      </c>
      <c r="B165">
        <v>112</v>
      </c>
      <c r="C165" t="s">
        <v>910</v>
      </c>
      <c r="D165" s="2">
        <v>38562</v>
      </c>
      <c r="E165" t="s">
        <v>33</v>
      </c>
      <c r="F165" s="3">
        <v>0.5229166666666667</v>
      </c>
      <c r="G165" s="3">
        <v>0.53333333333333333</v>
      </c>
      <c r="H165">
        <v>22</v>
      </c>
      <c r="I165">
        <v>76</v>
      </c>
      <c r="J165">
        <v>5</v>
      </c>
      <c r="K165">
        <v>1</v>
      </c>
      <c r="L165">
        <v>0</v>
      </c>
      <c r="M165">
        <v>30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20</v>
      </c>
      <c r="T165">
        <v>10</v>
      </c>
      <c r="U165">
        <v>0</v>
      </c>
      <c r="V165">
        <v>30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10</v>
      </c>
      <c r="AG165">
        <v>0</v>
      </c>
      <c r="AH165">
        <v>0</v>
      </c>
      <c r="AI165">
        <f>SUM(L165:AH165)</f>
        <v>100</v>
      </c>
      <c r="AJ165" t="s">
        <v>15</v>
      </c>
      <c r="AK165">
        <f>0.65*T165</f>
        <v>6.5</v>
      </c>
    </row>
    <row r="166" spans="1:37" x14ac:dyDescent="0.35">
      <c r="A166" t="s">
        <v>585</v>
      </c>
      <c r="B166">
        <v>113</v>
      </c>
      <c r="C166" t="s">
        <v>911</v>
      </c>
      <c r="D166" s="2">
        <v>38574</v>
      </c>
      <c r="E166">
        <v>0</v>
      </c>
      <c r="F166" s="3">
        <v>0.53680555555555554</v>
      </c>
      <c r="G166" s="3">
        <v>0.54722222222222217</v>
      </c>
      <c r="H166">
        <v>19.8</v>
      </c>
      <c r="I166">
        <v>64</v>
      </c>
      <c r="J166">
        <v>2</v>
      </c>
      <c r="K166">
        <v>3</v>
      </c>
      <c r="L166">
        <v>0</v>
      </c>
      <c r="M166">
        <v>45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50</v>
      </c>
      <c r="T166">
        <v>0</v>
      </c>
      <c r="U166">
        <v>0</v>
      </c>
      <c r="V166">
        <v>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f>SUM(L166:AH166)</f>
        <v>100</v>
      </c>
      <c r="AJ166" t="s">
        <v>14</v>
      </c>
      <c r="AK166">
        <f>0.5*S166</f>
        <v>25</v>
      </c>
    </row>
    <row r="167" spans="1:37" x14ac:dyDescent="0.35">
      <c r="A167" t="s">
        <v>585</v>
      </c>
      <c r="B167">
        <v>114</v>
      </c>
      <c r="C167" t="s">
        <v>912</v>
      </c>
      <c r="D167" s="2">
        <v>38574</v>
      </c>
      <c r="E167" t="s">
        <v>36</v>
      </c>
      <c r="F167" s="3">
        <v>0.55972222222222223</v>
      </c>
      <c r="G167" s="3">
        <v>0.57013888888888886</v>
      </c>
      <c r="H167">
        <v>20</v>
      </c>
      <c r="I167">
        <v>64</v>
      </c>
      <c r="J167">
        <v>2</v>
      </c>
      <c r="K167">
        <v>3</v>
      </c>
      <c r="L167">
        <v>0</v>
      </c>
      <c r="M167">
        <v>10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50</v>
      </c>
      <c r="T167">
        <v>0</v>
      </c>
      <c r="U167">
        <v>0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25</v>
      </c>
      <c r="AG167">
        <v>0</v>
      </c>
      <c r="AH167">
        <v>0</v>
      </c>
      <c r="AI167">
        <f>SUM(L167:AH167)</f>
        <v>100</v>
      </c>
      <c r="AJ167" t="s">
        <v>14</v>
      </c>
      <c r="AK167">
        <f>0.6*S167</f>
        <v>30</v>
      </c>
    </row>
    <row r="168" spans="1:37" x14ac:dyDescent="0.35">
      <c r="A168" t="s">
        <v>585</v>
      </c>
      <c r="B168">
        <v>115</v>
      </c>
      <c r="C168" t="s">
        <v>913</v>
      </c>
      <c r="D168" s="2">
        <v>38574</v>
      </c>
      <c r="E168" t="s">
        <v>33</v>
      </c>
      <c r="F168" s="3">
        <v>0.58125000000000004</v>
      </c>
      <c r="G168" s="3">
        <v>0.59166666666666667</v>
      </c>
      <c r="H168">
        <v>19.8</v>
      </c>
      <c r="I168">
        <v>61</v>
      </c>
      <c r="J168">
        <v>2</v>
      </c>
      <c r="K168">
        <v>3</v>
      </c>
      <c r="L168">
        <v>60</v>
      </c>
      <c r="M168">
        <v>8</v>
      </c>
      <c r="N168">
        <v>2</v>
      </c>
      <c r="O168">
        <v>0</v>
      </c>
      <c r="P168">
        <v>0</v>
      </c>
      <c r="Q168">
        <v>0</v>
      </c>
      <c r="R168">
        <v>0</v>
      </c>
      <c r="S168">
        <v>30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f>SUM(L168:AH168)</f>
        <v>100</v>
      </c>
      <c r="AJ168" t="s">
        <v>14</v>
      </c>
      <c r="AK168">
        <f>0.75*S168</f>
        <v>22.5</v>
      </c>
    </row>
    <row r="169" spans="1:37" x14ac:dyDescent="0.35">
      <c r="A169" t="s">
        <v>585</v>
      </c>
      <c r="B169">
        <v>116</v>
      </c>
      <c r="C169" t="s">
        <v>914</v>
      </c>
      <c r="D169" s="2">
        <v>38574</v>
      </c>
      <c r="E169" t="s">
        <v>31</v>
      </c>
      <c r="F169" s="3">
        <v>0.59583333333333333</v>
      </c>
      <c r="G169" s="3">
        <v>0.60624999999999996</v>
      </c>
      <c r="H169">
        <v>22.3</v>
      </c>
      <c r="I169">
        <v>60</v>
      </c>
      <c r="J169">
        <v>2</v>
      </c>
      <c r="K169">
        <v>4</v>
      </c>
      <c r="L169">
        <v>45</v>
      </c>
      <c r="M169">
        <v>10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30</v>
      </c>
      <c r="T169">
        <v>0</v>
      </c>
      <c r="U169">
        <v>0</v>
      </c>
      <c r="V169">
        <v>0</v>
      </c>
      <c r="W169">
        <v>15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f>SUM(L169:AH169)</f>
        <v>100</v>
      </c>
      <c r="AJ169" t="s">
        <v>14</v>
      </c>
      <c r="AK169">
        <f>0.5*S169</f>
        <v>15</v>
      </c>
    </row>
    <row r="170" spans="1:37" x14ac:dyDescent="0.35">
      <c r="A170" t="s">
        <v>585</v>
      </c>
      <c r="B170">
        <v>117</v>
      </c>
      <c r="C170" t="s">
        <v>915</v>
      </c>
      <c r="D170" s="2">
        <v>38574</v>
      </c>
      <c r="E170" t="s">
        <v>33</v>
      </c>
      <c r="F170" s="3">
        <v>0.63958333333333328</v>
      </c>
      <c r="G170" s="3">
        <v>0.65</v>
      </c>
      <c r="H170">
        <v>22</v>
      </c>
      <c r="I170">
        <v>68</v>
      </c>
      <c r="J170">
        <v>3</v>
      </c>
      <c r="K170">
        <v>3</v>
      </c>
      <c r="L170">
        <v>0</v>
      </c>
      <c r="M170">
        <v>15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50</v>
      </c>
      <c r="T170">
        <v>0</v>
      </c>
      <c r="U170">
        <v>0</v>
      </c>
      <c r="V170">
        <v>0</v>
      </c>
      <c r="W170">
        <v>35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f>SUM(L170:AH170)</f>
        <v>100</v>
      </c>
      <c r="AJ170" t="s">
        <v>14</v>
      </c>
      <c r="AK170">
        <f>0.6*S170</f>
        <v>30</v>
      </c>
    </row>
    <row r="171" spans="1:37" x14ac:dyDescent="0.35">
      <c r="A171" t="s">
        <v>585</v>
      </c>
      <c r="B171">
        <v>118</v>
      </c>
      <c r="C171" t="s">
        <v>916</v>
      </c>
      <c r="D171" s="2">
        <v>38580</v>
      </c>
      <c r="E171" t="s">
        <v>31</v>
      </c>
      <c r="F171" s="3">
        <v>0.55694444444444446</v>
      </c>
      <c r="G171" s="3">
        <v>0.56736111111111109</v>
      </c>
      <c r="H171">
        <v>23.7</v>
      </c>
      <c r="I171">
        <v>55</v>
      </c>
      <c r="J171">
        <v>2</v>
      </c>
      <c r="K171">
        <v>3</v>
      </c>
      <c r="L171">
        <v>50</v>
      </c>
      <c r="M171">
        <v>5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35</v>
      </c>
      <c r="T171">
        <v>0</v>
      </c>
      <c r="U171">
        <v>0</v>
      </c>
      <c r="V171">
        <v>0</v>
      </c>
      <c r="W171">
        <v>8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f>SUM(L171:AH171)</f>
        <v>100</v>
      </c>
      <c r="AJ171" t="s">
        <v>14</v>
      </c>
      <c r="AK171">
        <f>0.75*S171</f>
        <v>26.25</v>
      </c>
    </row>
    <row r="172" spans="1:37" x14ac:dyDescent="0.35">
      <c r="A172" t="s">
        <v>585</v>
      </c>
      <c r="B172">
        <v>119</v>
      </c>
      <c r="C172" t="s">
        <v>917</v>
      </c>
      <c r="D172" s="2">
        <v>38580</v>
      </c>
      <c r="E172" t="s">
        <v>33</v>
      </c>
      <c r="F172" s="3">
        <v>0.57986111111111105</v>
      </c>
      <c r="G172" s="3">
        <v>0.59027777777777779</v>
      </c>
      <c r="H172">
        <v>23.9</v>
      </c>
      <c r="I172">
        <v>45</v>
      </c>
      <c r="J172">
        <v>2</v>
      </c>
      <c r="K172">
        <v>3</v>
      </c>
      <c r="L172">
        <v>0</v>
      </c>
      <c r="M172">
        <v>15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50</v>
      </c>
      <c r="T172">
        <v>0</v>
      </c>
      <c r="U172">
        <v>0</v>
      </c>
      <c r="V172">
        <v>10</v>
      </c>
      <c r="W172">
        <v>23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>SUM(L172:AH172)</f>
        <v>100</v>
      </c>
      <c r="AJ172" t="s">
        <v>14</v>
      </c>
      <c r="AK172">
        <f>0.8*S172</f>
        <v>40</v>
      </c>
    </row>
    <row r="173" spans="1:37" x14ac:dyDescent="0.35">
      <c r="A173" t="s">
        <v>585</v>
      </c>
      <c r="B173">
        <v>120</v>
      </c>
      <c r="C173" t="s">
        <v>918</v>
      </c>
      <c r="D173" s="2">
        <v>38580</v>
      </c>
      <c r="E173" t="s">
        <v>33</v>
      </c>
      <c r="F173" s="3">
        <v>0.6</v>
      </c>
      <c r="G173" s="3">
        <v>0.61041666666666672</v>
      </c>
      <c r="H173">
        <v>21.6</v>
      </c>
      <c r="I173">
        <v>51</v>
      </c>
      <c r="J173">
        <v>2</v>
      </c>
      <c r="K173">
        <v>3</v>
      </c>
      <c r="L173">
        <v>36</v>
      </c>
      <c r="M173">
        <v>3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50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10</v>
      </c>
      <c r="AG173">
        <v>0</v>
      </c>
      <c r="AH173">
        <v>0</v>
      </c>
      <c r="AI173">
        <f>SUM(L173:AH173)</f>
        <v>100</v>
      </c>
      <c r="AJ173" t="s">
        <v>14</v>
      </c>
      <c r="AK173">
        <f>0.45*S173</f>
        <v>22.5</v>
      </c>
    </row>
    <row r="174" spans="1:37" x14ac:dyDescent="0.35">
      <c r="A174" t="s">
        <v>585</v>
      </c>
      <c r="B174">
        <v>121</v>
      </c>
      <c r="C174" t="s">
        <v>919</v>
      </c>
      <c r="D174" s="2">
        <v>38580</v>
      </c>
      <c r="E174" t="s">
        <v>49</v>
      </c>
      <c r="F174" s="3">
        <v>0.61597222222222225</v>
      </c>
      <c r="G174" s="3">
        <v>0.62638888888888888</v>
      </c>
      <c r="H174">
        <v>22.2</v>
      </c>
      <c r="I174">
        <v>54</v>
      </c>
      <c r="J174">
        <v>2</v>
      </c>
      <c r="K174">
        <v>3</v>
      </c>
      <c r="L174">
        <v>0</v>
      </c>
      <c r="M174">
        <v>6</v>
      </c>
      <c r="N174">
        <v>4</v>
      </c>
      <c r="O174">
        <v>0</v>
      </c>
      <c r="P174">
        <v>0</v>
      </c>
      <c r="Q174">
        <v>0</v>
      </c>
      <c r="R174">
        <v>0</v>
      </c>
      <c r="S174">
        <v>65</v>
      </c>
      <c r="T174">
        <v>0</v>
      </c>
      <c r="U174">
        <v>0</v>
      </c>
      <c r="V174">
        <v>0</v>
      </c>
      <c r="W174">
        <v>25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f>SUM(L174:AH174)</f>
        <v>100</v>
      </c>
      <c r="AJ174" t="s">
        <v>14</v>
      </c>
      <c r="AK174">
        <f>0.9*S174</f>
        <v>58.5</v>
      </c>
    </row>
    <row r="175" spans="1:37" x14ac:dyDescent="0.35">
      <c r="A175" t="s">
        <v>585</v>
      </c>
      <c r="B175">
        <v>122</v>
      </c>
      <c r="C175" t="s">
        <v>920</v>
      </c>
      <c r="D175" s="2">
        <v>38580</v>
      </c>
      <c r="E175">
        <v>0</v>
      </c>
      <c r="F175" s="3">
        <v>0.64375000000000004</v>
      </c>
      <c r="G175" s="3">
        <v>0.65416666666666667</v>
      </c>
      <c r="H175">
        <v>22.3</v>
      </c>
      <c r="I175">
        <v>44</v>
      </c>
      <c r="J175">
        <v>2</v>
      </c>
      <c r="K175">
        <v>3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77</v>
      </c>
      <c r="T175">
        <v>0</v>
      </c>
      <c r="U175">
        <v>0</v>
      </c>
      <c r="V175">
        <v>22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f>SUM(L175:AH175)</f>
        <v>100</v>
      </c>
      <c r="AJ175" t="s">
        <v>14</v>
      </c>
      <c r="AK175">
        <f>0.8*S175</f>
        <v>61.6</v>
      </c>
    </row>
    <row r="176" spans="1:37" x14ac:dyDescent="0.35">
      <c r="A176" t="s">
        <v>585</v>
      </c>
      <c r="B176">
        <v>123</v>
      </c>
      <c r="C176" t="s">
        <v>921</v>
      </c>
      <c r="D176" s="2">
        <v>38582</v>
      </c>
      <c r="E176">
        <v>0</v>
      </c>
      <c r="F176" s="3">
        <v>0.47916666666666669</v>
      </c>
      <c r="G176" s="3">
        <v>0.48958333333333331</v>
      </c>
      <c r="H176">
        <v>27.3</v>
      </c>
      <c r="I176">
        <v>54</v>
      </c>
      <c r="J176">
        <v>2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97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f>SUM(L176:AH176)</f>
        <v>100</v>
      </c>
      <c r="AJ176" t="s">
        <v>14</v>
      </c>
      <c r="AK176">
        <f>0.7*S176</f>
        <v>67.899999999999991</v>
      </c>
    </row>
    <row r="177" spans="1:37" x14ac:dyDescent="0.35">
      <c r="A177" t="s">
        <v>585</v>
      </c>
      <c r="B177">
        <v>124</v>
      </c>
      <c r="C177" t="s">
        <v>922</v>
      </c>
      <c r="D177" s="2">
        <v>38582</v>
      </c>
      <c r="E177" t="s">
        <v>49</v>
      </c>
      <c r="F177" s="3">
        <v>0.4993055555555555</v>
      </c>
      <c r="G177" s="3">
        <v>0.50972222222222219</v>
      </c>
      <c r="H177">
        <v>23.5</v>
      </c>
      <c r="I177">
        <v>58</v>
      </c>
      <c r="J177">
        <v>2</v>
      </c>
      <c r="K177">
        <v>1</v>
      </c>
      <c r="L177">
        <v>15</v>
      </c>
      <c r="M177">
        <v>2</v>
      </c>
      <c r="N177">
        <v>10</v>
      </c>
      <c r="O177">
        <v>10</v>
      </c>
      <c r="P177">
        <v>0</v>
      </c>
      <c r="Q177">
        <v>0</v>
      </c>
      <c r="R177">
        <v>0</v>
      </c>
      <c r="S177">
        <v>50</v>
      </c>
      <c r="T177">
        <v>0</v>
      </c>
      <c r="U177">
        <v>0</v>
      </c>
      <c r="V177">
        <v>0</v>
      </c>
      <c r="W177">
        <v>8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5</v>
      </c>
      <c r="AG177">
        <v>0</v>
      </c>
      <c r="AH177">
        <v>0</v>
      </c>
      <c r="AI177">
        <f>SUM(L177:AH177)</f>
        <v>100</v>
      </c>
      <c r="AJ177" t="s">
        <v>14</v>
      </c>
      <c r="AK177">
        <f>0.7*S177</f>
        <v>35</v>
      </c>
    </row>
    <row r="178" spans="1:37" x14ac:dyDescent="0.35">
      <c r="A178" t="s">
        <v>585</v>
      </c>
      <c r="B178">
        <v>125</v>
      </c>
      <c r="C178" t="s">
        <v>923</v>
      </c>
      <c r="D178" s="2">
        <v>38582</v>
      </c>
      <c r="E178" t="s">
        <v>54</v>
      </c>
      <c r="F178" s="3">
        <v>0.5229166666666667</v>
      </c>
      <c r="G178" s="3">
        <v>0.53333333333333333</v>
      </c>
      <c r="H178">
        <f>(23.9+26.1)/2</f>
        <v>25</v>
      </c>
      <c r="I178">
        <v>64</v>
      </c>
      <c r="J178">
        <v>2</v>
      </c>
      <c r="K178">
        <v>1</v>
      </c>
      <c r="L178">
        <v>0</v>
      </c>
      <c r="M178">
        <v>45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5</v>
      </c>
      <c r="AG178">
        <v>0</v>
      </c>
      <c r="AH178">
        <v>0</v>
      </c>
      <c r="AI178">
        <f>SUM(L178:AH178)</f>
        <v>100</v>
      </c>
      <c r="AJ178" t="s">
        <v>14</v>
      </c>
      <c r="AK178">
        <f>0.4*S178</f>
        <v>20</v>
      </c>
    </row>
    <row r="179" spans="1:37" x14ac:dyDescent="0.35">
      <c r="A179" t="s">
        <v>585</v>
      </c>
      <c r="B179">
        <v>125</v>
      </c>
      <c r="C179" t="s">
        <v>923</v>
      </c>
      <c r="D179" s="2">
        <v>38582</v>
      </c>
      <c r="E179" t="s">
        <v>54</v>
      </c>
      <c r="F179" s="3">
        <v>0.5229166666666667</v>
      </c>
      <c r="G179" s="3">
        <v>0.53333333333333333</v>
      </c>
      <c r="H179">
        <f>(23.9+26.1)/2</f>
        <v>25</v>
      </c>
      <c r="I179">
        <v>64</v>
      </c>
      <c r="J179">
        <v>2</v>
      </c>
      <c r="K179">
        <v>1</v>
      </c>
      <c r="L179">
        <v>0</v>
      </c>
      <c r="M179">
        <v>45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</v>
      </c>
      <c r="AG179">
        <v>0</v>
      </c>
      <c r="AH179">
        <v>0</v>
      </c>
      <c r="AI179">
        <f>SUM(L179:AH179)</f>
        <v>100</v>
      </c>
      <c r="AJ179" t="s">
        <v>589</v>
      </c>
      <c r="AK179">
        <f>0.2*M179</f>
        <v>9</v>
      </c>
    </row>
    <row r="180" spans="1:37" x14ac:dyDescent="0.35">
      <c r="A180" t="s">
        <v>585</v>
      </c>
      <c r="B180">
        <v>126</v>
      </c>
      <c r="C180" t="s">
        <v>924</v>
      </c>
      <c r="D180" s="2">
        <v>38582</v>
      </c>
      <c r="E180" t="s">
        <v>36</v>
      </c>
      <c r="F180" s="3">
        <v>0.55277777777777781</v>
      </c>
      <c r="G180" s="3">
        <v>0.56319444444444444</v>
      </c>
      <c r="H180">
        <v>24.3</v>
      </c>
      <c r="I180">
        <v>48</v>
      </c>
      <c r="J180">
        <v>2</v>
      </c>
      <c r="K180">
        <v>2</v>
      </c>
      <c r="L180">
        <v>50</v>
      </c>
      <c r="M180">
        <v>3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47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f>SUM(L180:AH180)</f>
        <v>100</v>
      </c>
      <c r="AJ180" t="s">
        <v>14</v>
      </c>
      <c r="AK180">
        <f>0.7*S180</f>
        <v>32.9</v>
      </c>
    </row>
    <row r="181" spans="1:37" x14ac:dyDescent="0.35">
      <c r="A181" t="s">
        <v>585</v>
      </c>
      <c r="B181">
        <v>127</v>
      </c>
      <c r="C181" t="s">
        <v>925</v>
      </c>
      <c r="D181" s="2">
        <v>38582</v>
      </c>
      <c r="E181" t="s">
        <v>31</v>
      </c>
      <c r="F181" s="3">
        <v>0.57986111111111105</v>
      </c>
      <c r="G181" s="3">
        <v>0.59027777777777779</v>
      </c>
      <c r="H181">
        <f>(28.3+23.3)/2</f>
        <v>25.8</v>
      </c>
      <c r="I181">
        <v>53</v>
      </c>
      <c r="J181">
        <v>2</v>
      </c>
      <c r="K181">
        <v>2</v>
      </c>
      <c r="L181">
        <v>0</v>
      </c>
      <c r="M181">
        <v>40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40</v>
      </c>
      <c r="T181">
        <v>0</v>
      </c>
      <c r="U181">
        <v>0</v>
      </c>
      <c r="V181">
        <v>5</v>
      </c>
      <c r="W181">
        <v>15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f>SUM(L181:AH181)</f>
        <v>100</v>
      </c>
      <c r="AJ181" t="s">
        <v>14</v>
      </c>
      <c r="AK181">
        <f>0.9*S181</f>
        <v>36</v>
      </c>
    </row>
    <row r="182" spans="1:37" x14ac:dyDescent="0.35">
      <c r="A182" t="s">
        <v>585</v>
      </c>
      <c r="B182">
        <v>128</v>
      </c>
      <c r="C182" t="s">
        <v>926</v>
      </c>
      <c r="D182" s="2">
        <v>38582</v>
      </c>
      <c r="E182" t="s">
        <v>33</v>
      </c>
      <c r="F182" s="3">
        <v>0.60972222222222217</v>
      </c>
      <c r="G182" s="3">
        <v>0.62013888888888891</v>
      </c>
      <c r="H182">
        <v>24.1</v>
      </c>
      <c r="I182">
        <v>41</v>
      </c>
      <c r="J182">
        <v>1</v>
      </c>
      <c r="K182">
        <v>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60</v>
      </c>
      <c r="T182">
        <v>10</v>
      </c>
      <c r="U182">
        <v>0</v>
      </c>
      <c r="V182">
        <v>25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</v>
      </c>
      <c r="AF182">
        <v>0</v>
      </c>
      <c r="AG182">
        <v>0</v>
      </c>
      <c r="AH182">
        <v>0</v>
      </c>
      <c r="AI182">
        <f>SUM(L182:AH182)</f>
        <v>100</v>
      </c>
      <c r="AJ182" t="s">
        <v>14</v>
      </c>
      <c r="AK182">
        <f>0.6*S182</f>
        <v>36</v>
      </c>
    </row>
    <row r="183" spans="1:37" x14ac:dyDescent="0.35">
      <c r="A183" t="s">
        <v>585</v>
      </c>
      <c r="B183">
        <v>128</v>
      </c>
      <c r="C183" t="s">
        <v>926</v>
      </c>
      <c r="D183" s="2">
        <v>38582</v>
      </c>
      <c r="E183" t="s">
        <v>33</v>
      </c>
      <c r="F183" s="3">
        <v>0.60972222222222217</v>
      </c>
      <c r="G183" s="3">
        <v>0.62013888888888891</v>
      </c>
      <c r="H183">
        <v>24.1</v>
      </c>
      <c r="I183">
        <v>41</v>
      </c>
      <c r="J183">
        <v>1</v>
      </c>
      <c r="K183">
        <v>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60</v>
      </c>
      <c r="T183">
        <v>10</v>
      </c>
      <c r="U183">
        <v>0</v>
      </c>
      <c r="V183">
        <v>25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5</v>
      </c>
      <c r="AF183">
        <v>0</v>
      </c>
      <c r="AG183">
        <v>0</v>
      </c>
      <c r="AH183">
        <v>0</v>
      </c>
      <c r="AI183">
        <f>SUM(L183:AH183)</f>
        <v>100</v>
      </c>
      <c r="AJ183" t="s">
        <v>15</v>
      </c>
      <c r="AK183">
        <f>0.02*T183</f>
        <v>0.2</v>
      </c>
    </row>
    <row r="184" spans="1:37" x14ac:dyDescent="0.35">
      <c r="A184" t="s">
        <v>585</v>
      </c>
      <c r="B184">
        <v>129</v>
      </c>
      <c r="C184" t="s">
        <v>927</v>
      </c>
      <c r="D184" s="2">
        <v>38582</v>
      </c>
      <c r="E184" t="s">
        <v>54</v>
      </c>
      <c r="F184" s="3">
        <v>0.6381944444444444</v>
      </c>
      <c r="G184" s="3">
        <v>0.64861111111111114</v>
      </c>
      <c r="H184">
        <v>28</v>
      </c>
      <c r="I184">
        <v>51</v>
      </c>
      <c r="J184">
        <v>1</v>
      </c>
      <c r="K184">
        <v>2</v>
      </c>
      <c r="L184">
        <v>0</v>
      </c>
      <c r="M184">
        <v>45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5</v>
      </c>
      <c r="AG184">
        <v>0</v>
      </c>
      <c r="AH184">
        <v>0</v>
      </c>
      <c r="AI184">
        <f>SUM(L184:AH184)</f>
        <v>100</v>
      </c>
      <c r="AJ184" t="s">
        <v>14</v>
      </c>
      <c r="AK184">
        <f>0.4*S184</f>
        <v>20</v>
      </c>
    </row>
    <row r="185" spans="1:37" x14ac:dyDescent="0.35">
      <c r="A185" t="s">
        <v>585</v>
      </c>
      <c r="B185">
        <v>129</v>
      </c>
      <c r="C185" t="s">
        <v>927</v>
      </c>
      <c r="D185" s="2">
        <v>38582</v>
      </c>
      <c r="E185" t="s">
        <v>54</v>
      </c>
      <c r="F185" s="3">
        <v>0.6381944444444444</v>
      </c>
      <c r="G185" s="3">
        <v>0.64861111111111114</v>
      </c>
      <c r="H185">
        <v>28</v>
      </c>
      <c r="I185">
        <v>51</v>
      </c>
      <c r="J185">
        <v>1</v>
      </c>
      <c r="K185">
        <v>2</v>
      </c>
      <c r="L185">
        <v>0</v>
      </c>
      <c r="M185">
        <v>45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</v>
      </c>
      <c r="AG185">
        <v>0</v>
      </c>
      <c r="AH185">
        <v>0</v>
      </c>
      <c r="AI185">
        <f>SUM(L185:AH185)</f>
        <v>100</v>
      </c>
      <c r="AJ185" t="s">
        <v>589</v>
      </c>
      <c r="AK185">
        <f>0.2*M185</f>
        <v>9</v>
      </c>
    </row>
    <row r="186" spans="1:37" x14ac:dyDescent="0.35">
      <c r="A186" t="s">
        <v>585</v>
      </c>
      <c r="B186">
        <v>130</v>
      </c>
      <c r="C186" t="s">
        <v>928</v>
      </c>
      <c r="D186" s="2">
        <v>38586</v>
      </c>
      <c r="E186">
        <v>0</v>
      </c>
      <c r="F186" s="3">
        <v>0.55208333333333337</v>
      </c>
      <c r="G186" s="3">
        <v>0.5625</v>
      </c>
      <c r="H186">
        <v>24.4</v>
      </c>
      <c r="I186">
        <v>71</v>
      </c>
      <c r="J186">
        <v>3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99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f>SUM(L186:AH186)</f>
        <v>100</v>
      </c>
      <c r="AJ186" t="s">
        <v>14</v>
      </c>
      <c r="AK186">
        <f>0.6*S186</f>
        <v>59.4</v>
      </c>
    </row>
    <row r="187" spans="1:37" x14ac:dyDescent="0.35">
      <c r="A187" t="s">
        <v>585</v>
      </c>
      <c r="B187">
        <v>131</v>
      </c>
      <c r="C187" t="s">
        <v>929</v>
      </c>
      <c r="D187" s="2">
        <v>38586</v>
      </c>
      <c r="E187" t="s">
        <v>49</v>
      </c>
      <c r="F187" s="3">
        <v>0.5708333333333333</v>
      </c>
      <c r="G187" s="3">
        <v>0.58125000000000004</v>
      </c>
      <c r="H187">
        <v>27.6</v>
      </c>
      <c r="I187">
        <v>68</v>
      </c>
      <c r="J187">
        <v>3</v>
      </c>
      <c r="K187">
        <v>0</v>
      </c>
      <c r="L187">
        <v>0</v>
      </c>
      <c r="M187">
        <v>15</v>
      </c>
      <c r="N187">
        <v>5</v>
      </c>
      <c r="O187">
        <v>0</v>
      </c>
      <c r="P187">
        <v>0</v>
      </c>
      <c r="Q187">
        <v>0</v>
      </c>
      <c r="R187">
        <v>0</v>
      </c>
      <c r="S187">
        <v>30</v>
      </c>
      <c r="T187">
        <v>0</v>
      </c>
      <c r="U187">
        <v>0</v>
      </c>
      <c r="V187">
        <v>0</v>
      </c>
      <c r="W187">
        <v>50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f>SUM(L187:AH187)</f>
        <v>100</v>
      </c>
      <c r="AJ187" t="s">
        <v>14</v>
      </c>
      <c r="AK187">
        <f>0.45*S187</f>
        <v>13.5</v>
      </c>
    </row>
    <row r="188" spans="1:37" x14ac:dyDescent="0.35">
      <c r="A188" t="s">
        <v>585</v>
      </c>
      <c r="B188">
        <v>131</v>
      </c>
      <c r="C188" t="s">
        <v>929</v>
      </c>
      <c r="D188" s="2">
        <v>38586</v>
      </c>
      <c r="E188" t="s">
        <v>49</v>
      </c>
      <c r="F188" s="3">
        <v>0.5708333333333333</v>
      </c>
      <c r="G188" s="3">
        <v>0.58125000000000004</v>
      </c>
      <c r="H188">
        <v>27.6</v>
      </c>
      <c r="I188">
        <v>68</v>
      </c>
      <c r="J188">
        <v>3</v>
      </c>
      <c r="K188">
        <v>0</v>
      </c>
      <c r="L188">
        <v>0</v>
      </c>
      <c r="M188">
        <v>15</v>
      </c>
      <c r="N188">
        <v>5</v>
      </c>
      <c r="O188">
        <v>0</v>
      </c>
      <c r="P188">
        <v>0</v>
      </c>
      <c r="Q188">
        <v>0</v>
      </c>
      <c r="R188">
        <v>0</v>
      </c>
      <c r="S188">
        <v>30</v>
      </c>
      <c r="T188">
        <v>0</v>
      </c>
      <c r="U188">
        <v>0</v>
      </c>
      <c r="V188">
        <v>0</v>
      </c>
      <c r="W188">
        <v>50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f>SUM(L188:AH188)</f>
        <v>100</v>
      </c>
      <c r="AJ188" t="s">
        <v>10</v>
      </c>
      <c r="AK188">
        <f>0.2*M188</f>
        <v>3</v>
      </c>
    </row>
    <row r="189" spans="1:37" x14ac:dyDescent="0.35">
      <c r="A189" t="s">
        <v>585</v>
      </c>
      <c r="B189">
        <v>132</v>
      </c>
      <c r="C189" t="s">
        <v>930</v>
      </c>
      <c r="D189" s="2">
        <v>38586</v>
      </c>
      <c r="E189" t="s">
        <v>54</v>
      </c>
      <c r="F189" s="3">
        <v>0.58888888888888891</v>
      </c>
      <c r="G189" s="3">
        <v>0.59930555555555554</v>
      </c>
      <c r="H189">
        <v>28.6</v>
      </c>
      <c r="I189">
        <v>49</v>
      </c>
      <c r="J189">
        <v>3</v>
      </c>
      <c r="K189">
        <v>1</v>
      </c>
      <c r="L189">
        <v>0</v>
      </c>
      <c r="M189">
        <v>45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50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5</v>
      </c>
      <c r="AG189">
        <v>0</v>
      </c>
      <c r="AH189">
        <v>0</v>
      </c>
      <c r="AI189">
        <f>SUM(L189:AH189)</f>
        <v>100</v>
      </c>
      <c r="AJ189" t="s">
        <v>14</v>
      </c>
      <c r="AK189">
        <f>0.3*S189</f>
        <v>15</v>
      </c>
    </row>
    <row r="190" spans="1:37" x14ac:dyDescent="0.35">
      <c r="A190" t="s">
        <v>585</v>
      </c>
      <c r="B190">
        <v>132</v>
      </c>
      <c r="C190" t="s">
        <v>930</v>
      </c>
      <c r="D190" s="2">
        <v>38586</v>
      </c>
      <c r="E190" t="s">
        <v>54</v>
      </c>
      <c r="F190" s="3">
        <v>0.58888888888888891</v>
      </c>
      <c r="G190" s="3">
        <v>0.59930555555555554</v>
      </c>
      <c r="H190">
        <v>28.6</v>
      </c>
      <c r="I190">
        <v>49</v>
      </c>
      <c r="J190">
        <v>3</v>
      </c>
      <c r="K190">
        <v>1</v>
      </c>
      <c r="L190">
        <v>0</v>
      </c>
      <c r="M190">
        <v>45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5</v>
      </c>
      <c r="AG190">
        <v>0</v>
      </c>
      <c r="AH190">
        <v>0</v>
      </c>
      <c r="AI190">
        <f>SUM(L190:AH190)</f>
        <v>100</v>
      </c>
      <c r="AJ190" t="s">
        <v>589</v>
      </c>
      <c r="AK190">
        <f>0.07*M190</f>
        <v>3.1500000000000004</v>
      </c>
    </row>
    <row r="191" spans="1:37" x14ac:dyDescent="0.35">
      <c r="A191" t="s">
        <v>585</v>
      </c>
      <c r="B191">
        <v>133</v>
      </c>
      <c r="C191" t="s">
        <v>931</v>
      </c>
      <c r="D191" s="2">
        <v>38586</v>
      </c>
      <c r="E191" t="s">
        <v>53</v>
      </c>
      <c r="F191" s="3">
        <v>0.60902777777777783</v>
      </c>
      <c r="G191" s="3">
        <v>0.61944444444444446</v>
      </c>
      <c r="H191">
        <v>27.3</v>
      </c>
      <c r="I191">
        <v>53</v>
      </c>
      <c r="J191">
        <v>2</v>
      </c>
      <c r="K191">
        <v>2</v>
      </c>
      <c r="L191">
        <v>64</v>
      </c>
      <c r="M191">
        <v>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f>SUM(L191:AH191)</f>
        <v>100</v>
      </c>
      <c r="AJ191" t="s">
        <v>14</v>
      </c>
      <c r="AK191">
        <f>0.85*S191</f>
        <v>25.5</v>
      </c>
    </row>
    <row r="192" spans="1:37" x14ac:dyDescent="0.35">
      <c r="A192" t="s">
        <v>585</v>
      </c>
      <c r="B192">
        <v>134</v>
      </c>
      <c r="C192" t="s">
        <v>932</v>
      </c>
      <c r="D192" s="2">
        <v>38586</v>
      </c>
      <c r="E192" t="s">
        <v>53</v>
      </c>
      <c r="F192" s="3">
        <v>0.62361111111111112</v>
      </c>
      <c r="G192" s="3">
        <v>0.63402777777777775</v>
      </c>
      <c r="H192">
        <v>28.1</v>
      </c>
      <c r="I192">
        <v>48</v>
      </c>
      <c r="J192">
        <v>0</v>
      </c>
      <c r="K192">
        <v>1</v>
      </c>
      <c r="L192">
        <v>0</v>
      </c>
      <c r="M192">
        <v>73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25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</v>
      </c>
      <c r="AG192">
        <v>0</v>
      </c>
      <c r="AH192">
        <v>0</v>
      </c>
      <c r="AI192">
        <f>SUM(L192:AH192)</f>
        <v>100</v>
      </c>
      <c r="AJ192" t="s">
        <v>10</v>
      </c>
      <c r="AK192">
        <f>0.3*M192</f>
        <v>21.9</v>
      </c>
    </row>
    <row r="193" spans="1:37" x14ac:dyDescent="0.35">
      <c r="A193" t="s">
        <v>585</v>
      </c>
      <c r="B193">
        <v>135</v>
      </c>
      <c r="C193" t="s">
        <v>933</v>
      </c>
      <c r="D193" s="2">
        <v>38586</v>
      </c>
      <c r="E193" t="s">
        <v>53</v>
      </c>
      <c r="F193" s="3">
        <v>0.63749999999999996</v>
      </c>
      <c r="G193" s="3">
        <v>0.6479166666666667</v>
      </c>
      <c r="H193">
        <v>27.4</v>
      </c>
      <c r="I193">
        <v>50</v>
      </c>
      <c r="J193">
        <v>1</v>
      </c>
      <c r="K193">
        <v>1</v>
      </c>
      <c r="L193">
        <v>0</v>
      </c>
      <c r="M193">
        <v>85</v>
      </c>
      <c r="N193">
        <v>4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3</v>
      </c>
      <c r="W193">
        <v>3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5</v>
      </c>
      <c r="AG193">
        <v>0</v>
      </c>
      <c r="AH193">
        <v>0</v>
      </c>
      <c r="AI193">
        <f>SUM(L193:AH193)</f>
        <v>100</v>
      </c>
      <c r="AJ193" t="s">
        <v>10</v>
      </c>
      <c r="AK193">
        <f>0.3*M193</f>
        <v>25.5</v>
      </c>
    </row>
    <row r="194" spans="1:37" x14ac:dyDescent="0.35">
      <c r="A194" t="s">
        <v>585</v>
      </c>
      <c r="B194">
        <v>136</v>
      </c>
      <c r="C194" t="s">
        <v>934</v>
      </c>
      <c r="D194" s="2">
        <v>38586</v>
      </c>
      <c r="E194" t="s">
        <v>36</v>
      </c>
      <c r="F194" s="3">
        <v>0.66736111111111107</v>
      </c>
      <c r="G194" s="3">
        <v>0.6777777777777777</v>
      </c>
      <c r="H194">
        <v>26.5</v>
      </c>
      <c r="I194">
        <v>49</v>
      </c>
      <c r="J194">
        <v>1</v>
      </c>
      <c r="K194">
        <v>2</v>
      </c>
      <c r="L194">
        <v>0</v>
      </c>
      <c r="M194">
        <v>45</v>
      </c>
      <c r="N194">
        <v>10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0</v>
      </c>
      <c r="V194">
        <v>30</v>
      </c>
      <c r="W194">
        <v>10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f>SUM(L194:AH194)</f>
        <v>100</v>
      </c>
      <c r="AJ194" t="s">
        <v>14</v>
      </c>
      <c r="AK194">
        <f>0.5*S194</f>
        <v>2.5</v>
      </c>
    </row>
    <row r="195" spans="1:37" x14ac:dyDescent="0.35">
      <c r="A195" t="s">
        <v>585</v>
      </c>
      <c r="B195">
        <v>136</v>
      </c>
      <c r="C195" t="s">
        <v>934</v>
      </c>
      <c r="D195" s="2">
        <v>38586</v>
      </c>
      <c r="E195" t="s">
        <v>36</v>
      </c>
      <c r="F195" s="3">
        <v>0.66736111111111107</v>
      </c>
      <c r="G195" s="3">
        <v>0.6777777777777777</v>
      </c>
      <c r="H195">
        <v>26.5</v>
      </c>
      <c r="I195">
        <v>49</v>
      </c>
      <c r="J195">
        <v>1</v>
      </c>
      <c r="K195">
        <v>2</v>
      </c>
      <c r="L195">
        <v>0</v>
      </c>
      <c r="M195">
        <v>45</v>
      </c>
      <c r="N195">
        <v>10</v>
      </c>
      <c r="O195">
        <v>0</v>
      </c>
      <c r="P195">
        <v>0</v>
      </c>
      <c r="Q195">
        <v>0</v>
      </c>
      <c r="R195">
        <v>0</v>
      </c>
      <c r="S195">
        <v>5</v>
      </c>
      <c r="T195">
        <v>0</v>
      </c>
      <c r="U195">
        <v>0</v>
      </c>
      <c r="V195">
        <v>30</v>
      </c>
      <c r="W195">
        <v>10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f>SUM(L195:AH195)</f>
        <v>100</v>
      </c>
      <c r="AJ195" t="s">
        <v>10</v>
      </c>
      <c r="AK195">
        <f>0.1*M195</f>
        <v>4.5</v>
      </c>
    </row>
    <row r="196" spans="1:37" x14ac:dyDescent="0.35">
      <c r="A196" t="s">
        <v>585</v>
      </c>
      <c r="B196">
        <v>137</v>
      </c>
      <c r="C196" t="s">
        <v>935</v>
      </c>
      <c r="D196" s="2">
        <v>38593</v>
      </c>
      <c r="E196" t="s">
        <v>54</v>
      </c>
      <c r="F196" s="3">
        <v>0.47569444444444442</v>
      </c>
      <c r="G196" s="3">
        <v>0.4861111111111111</v>
      </c>
      <c r="H196">
        <v>23.1</v>
      </c>
      <c r="I196">
        <v>66</v>
      </c>
      <c r="J196">
        <v>2</v>
      </c>
      <c r="K196">
        <v>3</v>
      </c>
      <c r="L196">
        <v>5</v>
      </c>
      <c r="M196">
        <v>12</v>
      </c>
      <c r="N196">
        <v>3</v>
      </c>
      <c r="O196">
        <v>0</v>
      </c>
      <c r="P196">
        <v>0</v>
      </c>
      <c r="Q196">
        <v>0</v>
      </c>
      <c r="R196">
        <v>0</v>
      </c>
      <c r="S196">
        <v>50</v>
      </c>
      <c r="T196">
        <v>0</v>
      </c>
      <c r="U196">
        <v>0</v>
      </c>
      <c r="V196">
        <v>0</v>
      </c>
      <c r="W196">
        <v>29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0</v>
      </c>
      <c r="AI196">
        <f>SUM(L196:AH196)</f>
        <v>100</v>
      </c>
      <c r="AJ196" t="s">
        <v>14</v>
      </c>
      <c r="AK196">
        <f>0.75*S196</f>
        <v>37.5</v>
      </c>
    </row>
    <row r="197" spans="1:37" x14ac:dyDescent="0.35">
      <c r="A197" t="s">
        <v>585</v>
      </c>
      <c r="B197">
        <v>137</v>
      </c>
      <c r="C197" t="s">
        <v>935</v>
      </c>
      <c r="D197" s="2">
        <v>38593</v>
      </c>
      <c r="E197" t="s">
        <v>54</v>
      </c>
      <c r="F197" s="3">
        <v>0.47569444444444442</v>
      </c>
      <c r="G197" s="3">
        <v>0.4861111111111111</v>
      </c>
      <c r="H197">
        <v>23.1</v>
      </c>
      <c r="I197">
        <v>66</v>
      </c>
      <c r="J197">
        <v>2</v>
      </c>
      <c r="K197">
        <v>3</v>
      </c>
      <c r="L197">
        <v>5</v>
      </c>
      <c r="M197">
        <v>12</v>
      </c>
      <c r="N197">
        <v>3</v>
      </c>
      <c r="O197">
        <v>0</v>
      </c>
      <c r="P197">
        <v>0</v>
      </c>
      <c r="Q197">
        <v>0</v>
      </c>
      <c r="R197">
        <v>0</v>
      </c>
      <c r="S197">
        <v>50</v>
      </c>
      <c r="T197">
        <v>0</v>
      </c>
      <c r="U197">
        <v>0</v>
      </c>
      <c r="V197">
        <v>0</v>
      </c>
      <c r="W197">
        <v>29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f>SUM(L197:AH197)</f>
        <v>100</v>
      </c>
      <c r="AJ197" t="s">
        <v>10</v>
      </c>
      <c r="AK197">
        <f>0.3*M197</f>
        <v>3.5999999999999996</v>
      </c>
    </row>
    <row r="198" spans="1:37" x14ac:dyDescent="0.35">
      <c r="A198" t="s">
        <v>585</v>
      </c>
      <c r="B198">
        <v>138</v>
      </c>
      <c r="C198" t="s">
        <v>936</v>
      </c>
      <c r="D198" s="2">
        <v>38593</v>
      </c>
      <c r="E198" t="s">
        <v>33</v>
      </c>
      <c r="F198" s="3">
        <v>0.49236111111111108</v>
      </c>
      <c r="G198" s="3">
        <v>0.50277777777777777</v>
      </c>
      <c r="H198">
        <v>21.9</v>
      </c>
      <c r="I198">
        <v>64</v>
      </c>
      <c r="J198">
        <v>4</v>
      </c>
      <c r="K198">
        <v>3</v>
      </c>
      <c r="L198">
        <v>0</v>
      </c>
      <c r="M198">
        <v>10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80</v>
      </c>
      <c r="T198">
        <v>0</v>
      </c>
      <c r="U198">
        <v>0</v>
      </c>
      <c r="V198">
        <v>0</v>
      </c>
      <c r="W198">
        <v>8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f>SUM(L198:AH198)</f>
        <v>100</v>
      </c>
      <c r="AJ198" t="s">
        <v>14</v>
      </c>
      <c r="AK198">
        <f>0.45*S198</f>
        <v>36</v>
      </c>
    </row>
    <row r="199" spans="1:37" x14ac:dyDescent="0.35">
      <c r="A199" t="s">
        <v>585</v>
      </c>
      <c r="B199">
        <v>139</v>
      </c>
      <c r="C199" t="s">
        <v>937</v>
      </c>
      <c r="D199" s="2">
        <v>38593</v>
      </c>
      <c r="E199" t="s">
        <v>36</v>
      </c>
      <c r="F199" s="3">
        <v>0.5083333333333333</v>
      </c>
      <c r="G199" s="3">
        <v>0.51875000000000004</v>
      </c>
      <c r="H199">
        <v>22.6</v>
      </c>
      <c r="I199">
        <v>65</v>
      </c>
      <c r="J199">
        <v>3</v>
      </c>
      <c r="K199">
        <v>3</v>
      </c>
      <c r="L199">
        <v>0</v>
      </c>
      <c r="M199">
        <v>75</v>
      </c>
      <c r="N199">
        <v>2</v>
      </c>
      <c r="O199">
        <v>15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3</v>
      </c>
      <c r="W199">
        <v>5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f>SUM(L199:AH199)</f>
        <v>100</v>
      </c>
      <c r="AJ199" t="s">
        <v>10</v>
      </c>
      <c r="AK199">
        <f>0.15*M199</f>
        <v>11.25</v>
      </c>
    </row>
    <row r="200" spans="1:37" x14ac:dyDescent="0.35">
      <c r="A200" t="s">
        <v>585</v>
      </c>
      <c r="B200">
        <v>140</v>
      </c>
      <c r="C200" t="s">
        <v>938</v>
      </c>
      <c r="D200" s="2">
        <v>38593</v>
      </c>
      <c r="E200" t="s">
        <v>53</v>
      </c>
      <c r="F200" s="3">
        <v>0.52222222222222225</v>
      </c>
      <c r="G200" s="3">
        <v>0.53263888888888888</v>
      </c>
      <c r="H200">
        <v>22.2</v>
      </c>
      <c r="I200">
        <v>59</v>
      </c>
      <c r="J200">
        <v>3</v>
      </c>
      <c r="K200">
        <v>3</v>
      </c>
      <c r="L200">
        <v>0</v>
      </c>
      <c r="M200">
        <v>50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30</v>
      </c>
      <c r="T200">
        <v>0</v>
      </c>
      <c r="U200">
        <v>0</v>
      </c>
      <c r="V200">
        <v>2</v>
      </c>
      <c r="W200">
        <v>13</v>
      </c>
      <c r="X200">
        <v>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f>SUM(L200:AH200)</f>
        <v>100</v>
      </c>
      <c r="AJ200" t="s">
        <v>14</v>
      </c>
      <c r="AK200">
        <f>0.55*S200</f>
        <v>16.5</v>
      </c>
    </row>
    <row r="201" spans="1:37" x14ac:dyDescent="0.35">
      <c r="A201" t="s">
        <v>585</v>
      </c>
      <c r="B201">
        <v>140</v>
      </c>
      <c r="C201" t="s">
        <v>938</v>
      </c>
      <c r="D201" s="2">
        <v>38593</v>
      </c>
      <c r="E201" t="s">
        <v>53</v>
      </c>
      <c r="F201" s="3">
        <v>0.52222222222222225</v>
      </c>
      <c r="G201" s="3">
        <v>0.53263888888888888</v>
      </c>
      <c r="H201">
        <v>22.2</v>
      </c>
      <c r="I201">
        <v>59</v>
      </c>
      <c r="J201">
        <v>3</v>
      </c>
      <c r="K201">
        <v>3</v>
      </c>
      <c r="L201">
        <v>0</v>
      </c>
      <c r="M201">
        <v>50</v>
      </c>
      <c r="N201">
        <v>2</v>
      </c>
      <c r="O201">
        <v>0</v>
      </c>
      <c r="P201">
        <v>0</v>
      </c>
      <c r="Q201">
        <v>0</v>
      </c>
      <c r="R201">
        <v>0</v>
      </c>
      <c r="S201">
        <v>30</v>
      </c>
      <c r="T201">
        <v>0</v>
      </c>
      <c r="U201">
        <v>0</v>
      </c>
      <c r="V201">
        <v>2</v>
      </c>
      <c r="W201">
        <v>13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f>SUM(L201:AH201)</f>
        <v>100</v>
      </c>
      <c r="AJ201" t="s">
        <v>10</v>
      </c>
      <c r="AK201">
        <f>0.1*M201</f>
        <v>5</v>
      </c>
    </row>
    <row r="202" spans="1:37" x14ac:dyDescent="0.35">
      <c r="A202" t="s">
        <v>585</v>
      </c>
      <c r="B202">
        <v>141</v>
      </c>
      <c r="C202" t="s">
        <v>939</v>
      </c>
      <c r="D202" s="2">
        <v>38593</v>
      </c>
      <c r="E202" t="s">
        <v>53</v>
      </c>
      <c r="F202" s="3">
        <v>0.53680555555555554</v>
      </c>
      <c r="G202" s="3">
        <v>0.54722222222222217</v>
      </c>
      <c r="H202">
        <v>22.5</v>
      </c>
      <c r="I202">
        <v>61</v>
      </c>
      <c r="J202">
        <v>3</v>
      </c>
      <c r="K202">
        <v>3</v>
      </c>
      <c r="L202">
        <v>0</v>
      </c>
      <c r="M202">
        <v>80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</v>
      </c>
      <c r="T202">
        <v>0</v>
      </c>
      <c r="U202">
        <v>0</v>
      </c>
      <c r="V202">
        <v>0</v>
      </c>
      <c r="W202">
        <v>15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f>SUM(L202:AH202)</f>
        <v>100</v>
      </c>
      <c r="AJ202" t="s">
        <v>14</v>
      </c>
      <c r="AK202">
        <f>0.3*S202</f>
        <v>1.5</v>
      </c>
    </row>
    <row r="203" spans="1:37" x14ac:dyDescent="0.35">
      <c r="A203" t="s">
        <v>585</v>
      </c>
      <c r="B203">
        <v>141</v>
      </c>
      <c r="C203" t="s">
        <v>939</v>
      </c>
      <c r="D203" s="2">
        <v>38593</v>
      </c>
      <c r="E203" t="s">
        <v>53</v>
      </c>
      <c r="F203" s="3">
        <v>0.53680555555555554</v>
      </c>
      <c r="G203" s="3">
        <v>0.54722222222222217</v>
      </c>
      <c r="H203">
        <v>22.5</v>
      </c>
      <c r="I203">
        <v>61</v>
      </c>
      <c r="J203">
        <v>3</v>
      </c>
      <c r="K203">
        <v>3</v>
      </c>
      <c r="L203">
        <v>0</v>
      </c>
      <c r="M203">
        <v>80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</v>
      </c>
      <c r="T203">
        <v>0</v>
      </c>
      <c r="U203">
        <v>0</v>
      </c>
      <c r="V203">
        <v>0</v>
      </c>
      <c r="W203">
        <v>15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f>SUM(L203:AH203)</f>
        <v>100</v>
      </c>
      <c r="AJ203" t="s">
        <v>10</v>
      </c>
      <c r="AK203">
        <f>0.35*M203</f>
        <v>28</v>
      </c>
    </row>
    <row r="204" spans="1:37" x14ac:dyDescent="0.35">
      <c r="A204" t="s">
        <v>585</v>
      </c>
      <c r="B204">
        <v>142</v>
      </c>
      <c r="C204" t="s">
        <v>940</v>
      </c>
      <c r="D204" s="2">
        <v>38593</v>
      </c>
      <c r="E204" t="s">
        <v>33</v>
      </c>
      <c r="F204" s="3">
        <v>0.55833333333333335</v>
      </c>
      <c r="G204" s="3">
        <v>0.56874999999999998</v>
      </c>
      <c r="H204">
        <v>23.7</v>
      </c>
      <c r="I204">
        <v>55</v>
      </c>
      <c r="J204">
        <v>2</v>
      </c>
      <c r="K204">
        <v>3</v>
      </c>
      <c r="L204">
        <v>18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25</v>
      </c>
      <c r="T204">
        <v>55</v>
      </c>
      <c r="U204">
        <v>0</v>
      </c>
      <c r="V204">
        <v>2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f>SUM(L204:AH204)</f>
        <v>100</v>
      </c>
      <c r="AJ204" t="s">
        <v>14</v>
      </c>
      <c r="AK204">
        <f>0.35*S204</f>
        <v>8.75</v>
      </c>
    </row>
    <row r="205" spans="1:37" x14ac:dyDescent="0.35">
      <c r="A205" t="s">
        <v>585</v>
      </c>
      <c r="B205">
        <v>142</v>
      </c>
      <c r="C205" t="s">
        <v>940</v>
      </c>
      <c r="D205" s="2">
        <v>38593</v>
      </c>
      <c r="E205" t="s">
        <v>33</v>
      </c>
      <c r="F205" s="3">
        <v>0.55833333333333335</v>
      </c>
      <c r="G205" s="3">
        <v>0.56874999999999998</v>
      </c>
      <c r="H205">
        <v>23.7</v>
      </c>
      <c r="I205">
        <v>55</v>
      </c>
      <c r="J205">
        <v>2</v>
      </c>
      <c r="K205">
        <v>3</v>
      </c>
      <c r="L205">
        <v>18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25</v>
      </c>
      <c r="T205">
        <v>55</v>
      </c>
      <c r="U205">
        <v>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f>SUM(L205:AH205)</f>
        <v>100</v>
      </c>
      <c r="AJ205" t="s">
        <v>15</v>
      </c>
      <c r="AK205">
        <f>0.05*T205</f>
        <v>2.75</v>
      </c>
    </row>
    <row r="206" spans="1:37" x14ac:dyDescent="0.35">
      <c r="A206" t="s">
        <v>585</v>
      </c>
      <c r="B206">
        <v>143</v>
      </c>
      <c r="C206" t="s">
        <v>941</v>
      </c>
      <c r="D206" s="2">
        <v>38593</v>
      </c>
      <c r="E206" t="s">
        <v>31</v>
      </c>
      <c r="F206" s="3">
        <v>0.57708333333333328</v>
      </c>
      <c r="G206" s="3">
        <v>0.58750000000000002</v>
      </c>
      <c r="H206">
        <v>21.7</v>
      </c>
      <c r="I206">
        <v>58</v>
      </c>
      <c r="J206">
        <v>3</v>
      </c>
      <c r="K206">
        <v>3</v>
      </c>
      <c r="L206">
        <v>20</v>
      </c>
      <c r="M206">
        <v>20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50</v>
      </c>
      <c r="T206">
        <v>0</v>
      </c>
      <c r="U206">
        <v>0</v>
      </c>
      <c r="V206">
        <v>0</v>
      </c>
      <c r="W206">
        <v>10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f>SUM(L206:AH206)</f>
        <v>100</v>
      </c>
      <c r="AJ206" t="s">
        <v>14</v>
      </c>
      <c r="AK206">
        <f>0.5*S206</f>
        <v>25</v>
      </c>
    </row>
    <row r="207" spans="1:37" x14ac:dyDescent="0.35">
      <c r="A207" t="s">
        <v>585</v>
      </c>
      <c r="B207">
        <v>144</v>
      </c>
      <c r="C207" t="s">
        <v>942</v>
      </c>
      <c r="D207" s="2">
        <v>38595</v>
      </c>
      <c r="E207">
        <v>0</v>
      </c>
      <c r="F207" s="3">
        <v>0.48194444444444445</v>
      </c>
      <c r="G207" s="3">
        <v>0.49236111111111108</v>
      </c>
      <c r="H207">
        <v>21</v>
      </c>
      <c r="I207">
        <v>57</v>
      </c>
      <c r="J207">
        <v>1</v>
      </c>
      <c r="K207">
        <v>2</v>
      </c>
      <c r="L207">
        <v>0</v>
      </c>
      <c r="M207">
        <v>15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60</v>
      </c>
      <c r="T207">
        <v>0</v>
      </c>
      <c r="U207">
        <v>0</v>
      </c>
      <c r="V207">
        <v>0</v>
      </c>
      <c r="W207">
        <v>25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f>SUM(L207:AH207)</f>
        <v>100</v>
      </c>
      <c r="AJ207" t="s">
        <v>14</v>
      </c>
      <c r="AK207">
        <f>0.6*S207</f>
        <v>36</v>
      </c>
    </row>
    <row r="208" spans="1:37" x14ac:dyDescent="0.35">
      <c r="A208" t="s">
        <v>585</v>
      </c>
      <c r="B208">
        <v>145</v>
      </c>
      <c r="C208" t="s">
        <v>943</v>
      </c>
      <c r="D208" s="2">
        <v>38595</v>
      </c>
      <c r="E208" t="s">
        <v>53</v>
      </c>
      <c r="F208" s="3">
        <v>0.50347222222222221</v>
      </c>
      <c r="G208" s="3">
        <v>0.51388888888888895</v>
      </c>
      <c r="H208">
        <v>23</v>
      </c>
      <c r="I208">
        <v>53</v>
      </c>
      <c r="J208">
        <v>2</v>
      </c>
      <c r="K208">
        <v>2</v>
      </c>
      <c r="L208">
        <v>0</v>
      </c>
      <c r="M208">
        <v>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20</v>
      </c>
      <c r="T208">
        <v>0</v>
      </c>
      <c r="U208">
        <v>0</v>
      </c>
      <c r="V208">
        <v>0</v>
      </c>
      <c r="W208">
        <v>20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>SUM(L208:AH208)</f>
        <v>100</v>
      </c>
      <c r="AJ208" t="s">
        <v>14</v>
      </c>
      <c r="AK208">
        <f>0.6*S208</f>
        <v>12</v>
      </c>
    </row>
    <row r="209" spans="1:37" x14ac:dyDescent="0.35">
      <c r="A209" t="s">
        <v>585</v>
      </c>
      <c r="B209">
        <v>145</v>
      </c>
      <c r="C209" t="s">
        <v>943</v>
      </c>
      <c r="D209" s="2">
        <v>38595</v>
      </c>
      <c r="E209" t="s">
        <v>53</v>
      </c>
      <c r="F209" s="3">
        <v>0.50347222222222221</v>
      </c>
      <c r="G209" s="3">
        <v>0.51388888888888895</v>
      </c>
      <c r="H209">
        <v>23</v>
      </c>
      <c r="I209">
        <v>53</v>
      </c>
      <c r="J209">
        <v>2</v>
      </c>
      <c r="K209">
        <v>2</v>
      </c>
      <c r="L209">
        <v>0</v>
      </c>
      <c r="M209">
        <v>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20</v>
      </c>
      <c r="T209">
        <v>0</v>
      </c>
      <c r="U209">
        <v>0</v>
      </c>
      <c r="V209">
        <v>0</v>
      </c>
      <c r="W209">
        <v>20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f>SUM(L209:AH209)</f>
        <v>100</v>
      </c>
      <c r="AJ209" t="s">
        <v>10</v>
      </c>
      <c r="AK209">
        <f>0.15*M209</f>
        <v>9</v>
      </c>
    </row>
    <row r="210" spans="1:37" x14ac:dyDescent="0.35">
      <c r="A210" t="s">
        <v>585</v>
      </c>
      <c r="B210">
        <v>146</v>
      </c>
      <c r="C210" t="s">
        <v>944</v>
      </c>
      <c r="D210" s="2">
        <v>38595</v>
      </c>
      <c r="E210" t="s">
        <v>53</v>
      </c>
      <c r="F210" s="3">
        <v>0.51875000000000004</v>
      </c>
      <c r="G210" s="3">
        <v>0.52916666666666667</v>
      </c>
      <c r="H210">
        <v>23.3</v>
      </c>
      <c r="I210">
        <v>51</v>
      </c>
      <c r="J210">
        <v>1</v>
      </c>
      <c r="K210">
        <v>2</v>
      </c>
      <c r="L210">
        <v>0</v>
      </c>
      <c r="M210">
        <v>55</v>
      </c>
      <c r="N210">
        <v>3</v>
      </c>
      <c r="O210">
        <v>0</v>
      </c>
      <c r="P210">
        <v>0</v>
      </c>
      <c r="Q210">
        <v>0</v>
      </c>
      <c r="R210">
        <v>0</v>
      </c>
      <c r="S210">
        <v>20</v>
      </c>
      <c r="T210">
        <v>0</v>
      </c>
      <c r="U210">
        <v>0</v>
      </c>
      <c r="V210">
        <v>2</v>
      </c>
      <c r="W210">
        <v>20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f>SUM(L210:AH210)</f>
        <v>100</v>
      </c>
      <c r="AJ210" t="s">
        <v>14</v>
      </c>
      <c r="AK210">
        <f>0.6*S210</f>
        <v>12</v>
      </c>
    </row>
    <row r="211" spans="1:37" x14ac:dyDescent="0.35">
      <c r="A211" t="s">
        <v>585</v>
      </c>
      <c r="B211">
        <v>146</v>
      </c>
      <c r="C211" t="s">
        <v>944</v>
      </c>
      <c r="D211" s="2">
        <v>38595</v>
      </c>
      <c r="E211" t="s">
        <v>53</v>
      </c>
      <c r="F211" s="3">
        <v>0.51875000000000004</v>
      </c>
      <c r="G211" s="3">
        <v>0.52916666666666667</v>
      </c>
      <c r="H211">
        <v>23.3</v>
      </c>
      <c r="I211">
        <v>51</v>
      </c>
      <c r="J211">
        <v>1</v>
      </c>
      <c r="K211">
        <v>2</v>
      </c>
      <c r="L211">
        <v>0</v>
      </c>
      <c r="M211">
        <v>55</v>
      </c>
      <c r="N211">
        <v>3</v>
      </c>
      <c r="O211">
        <v>0</v>
      </c>
      <c r="P211">
        <v>0</v>
      </c>
      <c r="Q211">
        <v>0</v>
      </c>
      <c r="R211">
        <v>0</v>
      </c>
      <c r="S211">
        <v>20</v>
      </c>
      <c r="T211">
        <v>0</v>
      </c>
      <c r="U211">
        <v>0</v>
      </c>
      <c r="V211">
        <v>2</v>
      </c>
      <c r="W211">
        <v>20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f>SUM(L211:AH211)</f>
        <v>100</v>
      </c>
      <c r="AJ211" t="s">
        <v>10</v>
      </c>
      <c r="AK211">
        <f>0.1*M211</f>
        <v>5.5</v>
      </c>
    </row>
    <row r="212" spans="1:37" x14ac:dyDescent="0.35">
      <c r="A212" t="s">
        <v>585</v>
      </c>
      <c r="B212">
        <v>147</v>
      </c>
      <c r="C212" t="s">
        <v>945</v>
      </c>
      <c r="D212" s="2">
        <v>38595</v>
      </c>
      <c r="E212" t="s">
        <v>36</v>
      </c>
      <c r="F212" s="3">
        <v>0.53611111111111109</v>
      </c>
      <c r="G212" s="3">
        <v>0.54652777777777783</v>
      </c>
      <c r="H212">
        <v>24.7</v>
      </c>
      <c r="I212">
        <v>45</v>
      </c>
      <c r="J212">
        <v>1</v>
      </c>
      <c r="K212">
        <v>3</v>
      </c>
      <c r="L212">
        <v>0</v>
      </c>
      <c r="M212">
        <v>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</v>
      </c>
      <c r="W212">
        <v>25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5</v>
      </c>
      <c r="AG212">
        <v>0</v>
      </c>
      <c r="AH212">
        <v>0</v>
      </c>
      <c r="AI212">
        <f>SUM(L212:AH212)</f>
        <v>100</v>
      </c>
      <c r="AJ212" t="s">
        <v>10</v>
      </c>
      <c r="AK212">
        <f>0.15*M212</f>
        <v>9</v>
      </c>
    </row>
    <row r="213" spans="1:37" x14ac:dyDescent="0.35">
      <c r="A213" t="s">
        <v>585</v>
      </c>
      <c r="B213">
        <v>148</v>
      </c>
      <c r="C213" t="s">
        <v>946</v>
      </c>
      <c r="D213" s="2">
        <v>38595</v>
      </c>
      <c r="E213">
        <v>0</v>
      </c>
      <c r="F213" s="3">
        <v>0.56041666666666667</v>
      </c>
      <c r="G213" s="3">
        <v>0.5708333333333333</v>
      </c>
      <c r="H213">
        <v>23.1</v>
      </c>
      <c r="I213">
        <v>42</v>
      </c>
      <c r="J213">
        <v>1</v>
      </c>
      <c r="K213">
        <v>3</v>
      </c>
      <c r="L213">
        <v>0</v>
      </c>
      <c r="M213">
        <v>45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50</v>
      </c>
      <c r="U213">
        <v>0</v>
      </c>
      <c r="V213">
        <v>2</v>
      </c>
      <c r="W213">
        <v>3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f>SUM(L213:AH213)</f>
        <v>100</v>
      </c>
      <c r="AJ213" t="s">
        <v>15</v>
      </c>
      <c r="AK213">
        <f>0.1*T213</f>
        <v>5</v>
      </c>
    </row>
    <row r="214" spans="1:37" x14ac:dyDescent="0.35">
      <c r="A214" t="s">
        <v>585</v>
      </c>
      <c r="B214">
        <v>149</v>
      </c>
      <c r="C214" t="s">
        <v>947</v>
      </c>
      <c r="D214" s="2">
        <v>38595</v>
      </c>
      <c r="E214" t="s">
        <v>49</v>
      </c>
      <c r="F214" s="3">
        <v>0.58263888888888882</v>
      </c>
      <c r="G214" s="3">
        <v>0.59305555555555556</v>
      </c>
      <c r="H214">
        <v>22.6</v>
      </c>
      <c r="I214">
        <v>50</v>
      </c>
      <c r="J214">
        <v>1</v>
      </c>
      <c r="K214">
        <v>3</v>
      </c>
      <c r="L214">
        <v>37</v>
      </c>
      <c r="M214">
        <v>3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50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8</v>
      </c>
      <c r="AG214">
        <v>0</v>
      </c>
      <c r="AH214">
        <v>0</v>
      </c>
      <c r="AI214">
        <f>SUM(L214:AH214)</f>
        <v>100</v>
      </c>
      <c r="AJ214" t="s">
        <v>14</v>
      </c>
      <c r="AK214">
        <f>0.7*S214</f>
        <v>35</v>
      </c>
    </row>
    <row r="215" spans="1:37" x14ac:dyDescent="0.35">
      <c r="A215" t="s">
        <v>585</v>
      </c>
      <c r="B215">
        <v>150</v>
      </c>
      <c r="C215" t="s">
        <v>948</v>
      </c>
      <c r="D215" s="2">
        <v>38595</v>
      </c>
      <c r="E215" t="s">
        <v>53</v>
      </c>
      <c r="F215" s="3">
        <v>0.59791666666666665</v>
      </c>
      <c r="G215" s="3">
        <v>0.60833333333333328</v>
      </c>
      <c r="H215">
        <v>23.5</v>
      </c>
      <c r="I215">
        <v>48</v>
      </c>
      <c r="J215">
        <v>0</v>
      </c>
      <c r="K215">
        <v>2</v>
      </c>
      <c r="L215">
        <v>0</v>
      </c>
      <c r="M215">
        <v>70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f>SUM(L215:AH215)</f>
        <v>100</v>
      </c>
      <c r="AJ215" t="s">
        <v>14</v>
      </c>
      <c r="AK215">
        <f>0.2*M215</f>
        <v>14</v>
      </c>
    </row>
    <row r="216" spans="1:37" x14ac:dyDescent="0.35">
      <c r="A216" t="s">
        <v>585</v>
      </c>
      <c r="B216">
        <v>151</v>
      </c>
      <c r="C216" t="s">
        <v>949</v>
      </c>
      <c r="D216" s="2">
        <v>38595</v>
      </c>
      <c r="E216" t="s">
        <v>54</v>
      </c>
      <c r="F216" s="3">
        <v>0.61527777777777781</v>
      </c>
      <c r="G216" s="3">
        <v>0.62569444444444444</v>
      </c>
      <c r="H216">
        <v>22.9</v>
      </c>
      <c r="I216">
        <v>46</v>
      </c>
      <c r="J216">
        <v>0</v>
      </c>
      <c r="K216">
        <v>2</v>
      </c>
      <c r="L216">
        <v>0</v>
      </c>
      <c r="M216">
        <v>10</v>
      </c>
      <c r="N216">
        <v>25</v>
      </c>
      <c r="O216">
        <v>1</v>
      </c>
      <c r="P216">
        <v>0</v>
      </c>
      <c r="Q216">
        <v>0</v>
      </c>
      <c r="R216">
        <v>0</v>
      </c>
      <c r="S216">
        <v>50</v>
      </c>
      <c r="T216">
        <v>0</v>
      </c>
      <c r="U216">
        <v>0</v>
      </c>
      <c r="V216">
        <v>0</v>
      </c>
      <c r="W216">
        <v>11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3</v>
      </c>
      <c r="AG216">
        <v>0</v>
      </c>
      <c r="AH216">
        <v>0</v>
      </c>
      <c r="AI216">
        <f>SUM(L216:AH216)</f>
        <v>100</v>
      </c>
      <c r="AJ216" t="s">
        <v>14</v>
      </c>
      <c r="AK216">
        <f>0.2*M216</f>
        <v>2</v>
      </c>
    </row>
    <row r="217" spans="1:37" x14ac:dyDescent="0.35">
      <c r="A217" t="s">
        <v>585</v>
      </c>
      <c r="B217">
        <v>152</v>
      </c>
      <c r="C217" t="s">
        <v>950</v>
      </c>
      <c r="D217" s="2">
        <v>38597</v>
      </c>
      <c r="E217" t="s">
        <v>49</v>
      </c>
      <c r="F217" s="3">
        <v>0.59583333333333333</v>
      </c>
      <c r="G217" s="3">
        <v>0.60624999999999996</v>
      </c>
      <c r="H217">
        <v>19.3</v>
      </c>
      <c r="I217">
        <v>67</v>
      </c>
      <c r="J217">
        <v>3</v>
      </c>
      <c r="K217">
        <v>2</v>
      </c>
      <c r="L217">
        <v>17</v>
      </c>
      <c r="M217">
        <v>6</v>
      </c>
      <c r="N217">
        <v>2</v>
      </c>
      <c r="O217">
        <v>0</v>
      </c>
      <c r="P217">
        <v>0</v>
      </c>
      <c r="Q217">
        <v>0</v>
      </c>
      <c r="R217">
        <v>0</v>
      </c>
      <c r="S217">
        <v>65</v>
      </c>
      <c r="T217">
        <v>0</v>
      </c>
      <c r="U217">
        <v>0</v>
      </c>
      <c r="V217">
        <v>0</v>
      </c>
      <c r="W217">
        <v>10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f>SUM(L217:AH217)</f>
        <v>100</v>
      </c>
      <c r="AJ217" t="s">
        <v>14</v>
      </c>
      <c r="AK217">
        <f>0.6*S217</f>
        <v>39</v>
      </c>
    </row>
    <row r="218" spans="1:37" x14ac:dyDescent="0.35">
      <c r="A218" t="s">
        <v>585</v>
      </c>
      <c r="B218">
        <v>153</v>
      </c>
      <c r="C218" t="s">
        <v>951</v>
      </c>
      <c r="D218" s="2">
        <v>38597</v>
      </c>
      <c r="E218" t="s">
        <v>54</v>
      </c>
      <c r="F218" s="3">
        <v>0.61041666666666672</v>
      </c>
      <c r="G218" s="3">
        <v>0.62083333333333335</v>
      </c>
      <c r="H218">
        <v>20.3</v>
      </c>
      <c r="I218">
        <v>69</v>
      </c>
      <c r="J218">
        <v>3</v>
      </c>
      <c r="K218">
        <v>2</v>
      </c>
      <c r="L218">
        <v>0</v>
      </c>
      <c r="M218">
        <v>20</v>
      </c>
      <c r="N218">
        <v>6</v>
      </c>
      <c r="O218">
        <v>0</v>
      </c>
      <c r="P218">
        <v>0</v>
      </c>
      <c r="Q218">
        <v>0</v>
      </c>
      <c r="R218">
        <v>0</v>
      </c>
      <c r="S218">
        <v>50</v>
      </c>
      <c r="T218">
        <v>0</v>
      </c>
      <c r="U218">
        <v>0</v>
      </c>
      <c r="V218">
        <v>18</v>
      </c>
      <c r="W218">
        <v>6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f>SUM(L218:AH218)</f>
        <v>100</v>
      </c>
      <c r="AJ218" t="s">
        <v>14</v>
      </c>
      <c r="AK218">
        <f>0.5*S218</f>
        <v>25</v>
      </c>
    </row>
    <row r="219" spans="1:37" x14ac:dyDescent="0.35">
      <c r="A219" t="s">
        <v>585</v>
      </c>
      <c r="B219">
        <v>153</v>
      </c>
      <c r="C219" t="s">
        <v>951</v>
      </c>
      <c r="D219" s="2">
        <v>38597</v>
      </c>
      <c r="E219" t="s">
        <v>54</v>
      </c>
      <c r="F219" s="3">
        <v>0.61041666666666672</v>
      </c>
      <c r="G219" s="3">
        <v>0.62083333333333335</v>
      </c>
      <c r="H219">
        <v>20.3</v>
      </c>
      <c r="I219">
        <v>69</v>
      </c>
      <c r="J219">
        <v>3</v>
      </c>
      <c r="K219">
        <v>2</v>
      </c>
      <c r="L219">
        <v>0</v>
      </c>
      <c r="M219">
        <v>20</v>
      </c>
      <c r="N219">
        <v>6</v>
      </c>
      <c r="O219">
        <v>0</v>
      </c>
      <c r="P219">
        <v>0</v>
      </c>
      <c r="Q219">
        <v>0</v>
      </c>
      <c r="R219">
        <v>0</v>
      </c>
      <c r="S219">
        <v>50</v>
      </c>
      <c r="T219">
        <v>0</v>
      </c>
      <c r="U219">
        <v>0</v>
      </c>
      <c r="V219">
        <v>18</v>
      </c>
      <c r="W219">
        <v>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f>SUM(L219:AH219)</f>
        <v>100</v>
      </c>
      <c r="AJ219" t="s">
        <v>10</v>
      </c>
      <c r="AK219">
        <f>0.15*M219</f>
        <v>3</v>
      </c>
    </row>
    <row r="220" spans="1:37" x14ac:dyDescent="0.35">
      <c r="A220" t="s">
        <v>585</v>
      </c>
      <c r="B220">
        <v>154</v>
      </c>
      <c r="C220" t="s">
        <v>952</v>
      </c>
      <c r="D220" s="2">
        <v>38597</v>
      </c>
      <c r="E220" t="s">
        <v>54</v>
      </c>
      <c r="F220" s="3">
        <v>0.62569444444444444</v>
      </c>
      <c r="G220" s="3">
        <v>0.63611111111111118</v>
      </c>
      <c r="H220">
        <v>22.8</v>
      </c>
      <c r="I220">
        <v>50</v>
      </c>
      <c r="J220">
        <v>2</v>
      </c>
      <c r="K220">
        <v>2</v>
      </c>
      <c r="L220">
        <v>0</v>
      </c>
      <c r="M220">
        <v>2</v>
      </c>
      <c r="N220">
        <v>0</v>
      </c>
      <c r="O220">
        <v>20</v>
      </c>
      <c r="P220">
        <v>0</v>
      </c>
      <c r="Q220">
        <v>0</v>
      </c>
      <c r="R220">
        <v>0</v>
      </c>
      <c r="S220">
        <v>70</v>
      </c>
      <c r="T220">
        <v>0</v>
      </c>
      <c r="U220">
        <v>0</v>
      </c>
      <c r="V220">
        <v>0</v>
      </c>
      <c r="W220">
        <v>7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f>SUM(L220:AH220)</f>
        <v>100</v>
      </c>
      <c r="AJ220" t="s">
        <v>14</v>
      </c>
      <c r="AK220">
        <f>0.6*S220</f>
        <v>42</v>
      </c>
    </row>
    <row r="221" spans="1:37" x14ac:dyDescent="0.35">
      <c r="A221" t="s">
        <v>585</v>
      </c>
      <c r="B221">
        <v>154</v>
      </c>
      <c r="C221" t="s">
        <v>952</v>
      </c>
      <c r="D221" s="2">
        <v>38597</v>
      </c>
      <c r="E221" t="s">
        <v>54</v>
      </c>
      <c r="F221" s="3">
        <v>0.62569444444444444</v>
      </c>
      <c r="G221" s="3">
        <v>0.63611111111111118</v>
      </c>
      <c r="H221">
        <v>22.8</v>
      </c>
      <c r="I221">
        <v>50</v>
      </c>
      <c r="J221">
        <v>2</v>
      </c>
      <c r="K221">
        <v>2</v>
      </c>
      <c r="L221">
        <v>0</v>
      </c>
      <c r="M221">
        <v>2</v>
      </c>
      <c r="N221">
        <v>0</v>
      </c>
      <c r="O221">
        <v>20</v>
      </c>
      <c r="P221">
        <v>0</v>
      </c>
      <c r="Q221">
        <v>0</v>
      </c>
      <c r="R221">
        <v>0</v>
      </c>
      <c r="S221">
        <v>70</v>
      </c>
      <c r="T221">
        <v>0</v>
      </c>
      <c r="U221">
        <v>0</v>
      </c>
      <c r="V221">
        <v>0</v>
      </c>
      <c r="W221">
        <v>7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0</v>
      </c>
      <c r="AH221">
        <v>0</v>
      </c>
      <c r="AI221">
        <f>SUM(L221:AH221)</f>
        <v>100</v>
      </c>
      <c r="AJ221" t="s">
        <v>589</v>
      </c>
      <c r="AK221">
        <f>0.01*O221</f>
        <v>0.2</v>
      </c>
    </row>
    <row r="222" spans="1:37" x14ac:dyDescent="0.35">
      <c r="A222" t="s">
        <v>585</v>
      </c>
      <c r="B222">
        <v>155</v>
      </c>
      <c r="C222" t="s">
        <v>953</v>
      </c>
      <c r="D222" s="2">
        <v>38597</v>
      </c>
      <c r="E222" t="s">
        <v>53</v>
      </c>
      <c r="F222" s="3">
        <v>0.64236111111111105</v>
      </c>
      <c r="G222" s="3">
        <v>0.65277777777777779</v>
      </c>
      <c r="H222">
        <v>20.100000000000001</v>
      </c>
      <c r="I222">
        <v>55</v>
      </c>
      <c r="J222">
        <v>2</v>
      </c>
      <c r="K222">
        <v>2</v>
      </c>
      <c r="L222">
        <v>0</v>
      </c>
      <c r="M222">
        <v>35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30</v>
      </c>
      <c r="T222">
        <v>0</v>
      </c>
      <c r="U222">
        <v>0</v>
      </c>
      <c r="V222">
        <v>5</v>
      </c>
      <c r="W222">
        <v>20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10</v>
      </c>
      <c r="AG222">
        <v>0</v>
      </c>
      <c r="AH222">
        <v>0</v>
      </c>
      <c r="AI222">
        <f>SUM(L222:AH222)</f>
        <v>100</v>
      </c>
      <c r="AJ222" t="s">
        <v>14</v>
      </c>
      <c r="AK222">
        <f>0.3*S222</f>
        <v>9</v>
      </c>
    </row>
    <row r="223" spans="1:37" x14ac:dyDescent="0.35">
      <c r="A223" t="s">
        <v>585</v>
      </c>
      <c r="B223">
        <v>155</v>
      </c>
      <c r="C223" t="s">
        <v>953</v>
      </c>
      <c r="D223" s="2">
        <v>38597</v>
      </c>
      <c r="E223" t="s">
        <v>53</v>
      </c>
      <c r="F223" s="3">
        <v>0.64236111111111105</v>
      </c>
      <c r="G223" s="3">
        <v>0.65277777777777779</v>
      </c>
      <c r="H223">
        <v>20.100000000000001</v>
      </c>
      <c r="I223">
        <v>55</v>
      </c>
      <c r="J223">
        <v>2</v>
      </c>
      <c r="K223">
        <v>2</v>
      </c>
      <c r="L223">
        <v>0</v>
      </c>
      <c r="M223">
        <v>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30</v>
      </c>
      <c r="T223">
        <v>0</v>
      </c>
      <c r="U223">
        <v>0</v>
      </c>
      <c r="V223">
        <v>5</v>
      </c>
      <c r="W223">
        <v>20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10</v>
      </c>
      <c r="AG223">
        <v>0</v>
      </c>
      <c r="AH223">
        <v>0</v>
      </c>
      <c r="AI223">
        <f>SUM(L223:AH223)</f>
        <v>100</v>
      </c>
      <c r="AJ223" t="s">
        <v>10</v>
      </c>
      <c r="AK223">
        <f>0.15*M223</f>
        <v>5.25</v>
      </c>
    </row>
    <row r="224" spans="1:37" x14ac:dyDescent="0.35">
      <c r="A224" t="s">
        <v>585</v>
      </c>
      <c r="B224">
        <v>156</v>
      </c>
      <c r="C224" t="s">
        <v>954</v>
      </c>
      <c r="D224" s="2">
        <v>38597</v>
      </c>
      <c r="E224" t="s">
        <v>53</v>
      </c>
      <c r="F224" s="3">
        <v>0.65625</v>
      </c>
      <c r="G224" s="3">
        <v>0.66666666666666663</v>
      </c>
      <c r="H224">
        <v>20.100000000000001</v>
      </c>
      <c r="I224">
        <v>58</v>
      </c>
      <c r="J224">
        <v>2</v>
      </c>
      <c r="K224">
        <v>1</v>
      </c>
      <c r="L224">
        <v>0</v>
      </c>
      <c r="M224">
        <v>75</v>
      </c>
      <c r="N224">
        <v>5</v>
      </c>
      <c r="O224">
        <v>0</v>
      </c>
      <c r="P224">
        <v>0</v>
      </c>
      <c r="Q224">
        <v>0</v>
      </c>
      <c r="R224">
        <v>0</v>
      </c>
      <c r="S224">
        <v>2</v>
      </c>
      <c r="T224">
        <v>0</v>
      </c>
      <c r="U224">
        <v>0</v>
      </c>
      <c r="V224">
        <v>13</v>
      </c>
      <c r="W224">
        <v>4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</v>
      </c>
      <c r="AG224">
        <v>0</v>
      </c>
      <c r="AH224">
        <v>0</v>
      </c>
      <c r="AI224">
        <f>SUM(L224:AH224)</f>
        <v>100</v>
      </c>
      <c r="AJ224" t="s">
        <v>14</v>
      </c>
      <c r="AK224">
        <f>0.5*S224</f>
        <v>1</v>
      </c>
    </row>
    <row r="225" spans="1:37" x14ac:dyDescent="0.35">
      <c r="A225" t="s">
        <v>585</v>
      </c>
      <c r="B225">
        <v>156</v>
      </c>
      <c r="C225" t="s">
        <v>954</v>
      </c>
      <c r="D225" s="2">
        <v>38597</v>
      </c>
      <c r="E225" t="s">
        <v>53</v>
      </c>
      <c r="F225" s="3">
        <v>0.65625</v>
      </c>
      <c r="G225" s="3">
        <v>0.66666666666666663</v>
      </c>
      <c r="H225">
        <v>20.100000000000001</v>
      </c>
      <c r="I225">
        <v>58</v>
      </c>
      <c r="J225">
        <v>2</v>
      </c>
      <c r="K225">
        <v>1</v>
      </c>
      <c r="L225">
        <v>0</v>
      </c>
      <c r="M225">
        <v>75</v>
      </c>
      <c r="N225">
        <v>5</v>
      </c>
      <c r="O225">
        <v>0</v>
      </c>
      <c r="P225">
        <v>0</v>
      </c>
      <c r="Q225">
        <v>0</v>
      </c>
      <c r="R225">
        <v>0</v>
      </c>
      <c r="S225">
        <v>2</v>
      </c>
      <c r="T225">
        <v>0</v>
      </c>
      <c r="U225">
        <v>0</v>
      </c>
      <c r="V225">
        <v>13</v>
      </c>
      <c r="W225">
        <v>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  <c r="AI225">
        <f>SUM(L225:AH225)</f>
        <v>100</v>
      </c>
      <c r="AJ225" t="s">
        <v>10</v>
      </c>
      <c r="AK225">
        <f>0.15*M225</f>
        <v>11.25</v>
      </c>
    </row>
    <row r="226" spans="1:37" x14ac:dyDescent="0.35">
      <c r="A226" t="s">
        <v>585</v>
      </c>
      <c r="B226">
        <v>157</v>
      </c>
      <c r="C226" t="s">
        <v>955</v>
      </c>
      <c r="D226" s="2">
        <v>38601</v>
      </c>
      <c r="E226" t="s">
        <v>49</v>
      </c>
      <c r="F226" s="3">
        <v>0.64236111111111105</v>
      </c>
      <c r="G226" s="3">
        <v>0.65277777777777779</v>
      </c>
      <c r="H226">
        <v>26.9</v>
      </c>
      <c r="I226">
        <v>45</v>
      </c>
      <c r="J226">
        <v>0</v>
      </c>
      <c r="K226">
        <v>2</v>
      </c>
      <c r="L226">
        <v>0</v>
      </c>
      <c r="M226">
        <v>35</v>
      </c>
      <c r="N226">
        <v>15</v>
      </c>
      <c r="O226">
        <v>0</v>
      </c>
      <c r="P226">
        <v>0</v>
      </c>
      <c r="Q226">
        <v>0</v>
      </c>
      <c r="R226">
        <v>0</v>
      </c>
      <c r="S226">
        <v>10</v>
      </c>
      <c r="T226">
        <v>0</v>
      </c>
      <c r="U226">
        <v>0</v>
      </c>
      <c r="V226">
        <v>0</v>
      </c>
      <c r="W226">
        <v>37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3</v>
      </c>
      <c r="AG226">
        <v>0</v>
      </c>
      <c r="AH226">
        <v>0</v>
      </c>
      <c r="AI226">
        <f>SUM(L226:AH226)</f>
        <v>100</v>
      </c>
      <c r="AJ226" t="s">
        <v>14</v>
      </c>
      <c r="AK226">
        <f>0.15*S226</f>
        <v>1.5</v>
      </c>
    </row>
    <row r="227" spans="1:37" x14ac:dyDescent="0.35">
      <c r="A227" t="s">
        <v>585</v>
      </c>
      <c r="B227">
        <v>157</v>
      </c>
      <c r="C227" t="s">
        <v>955</v>
      </c>
      <c r="D227" s="2">
        <v>38601</v>
      </c>
      <c r="E227" t="s">
        <v>49</v>
      </c>
      <c r="F227" s="3">
        <v>0.64236111111111105</v>
      </c>
      <c r="G227" s="3">
        <v>0.65277777777777779</v>
      </c>
      <c r="H227">
        <v>26.9</v>
      </c>
      <c r="I227">
        <v>45</v>
      </c>
      <c r="J227">
        <v>0</v>
      </c>
      <c r="K227">
        <v>2</v>
      </c>
      <c r="L227">
        <v>0</v>
      </c>
      <c r="M227">
        <v>35</v>
      </c>
      <c r="N227">
        <v>15</v>
      </c>
      <c r="O227">
        <v>0</v>
      </c>
      <c r="P227">
        <v>0</v>
      </c>
      <c r="Q227">
        <v>0</v>
      </c>
      <c r="R227">
        <v>0</v>
      </c>
      <c r="S227">
        <v>10</v>
      </c>
      <c r="T227">
        <v>0</v>
      </c>
      <c r="U227">
        <v>0</v>
      </c>
      <c r="V227">
        <v>0</v>
      </c>
      <c r="W227">
        <v>37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3</v>
      </c>
      <c r="AG227">
        <v>0</v>
      </c>
      <c r="AH227">
        <v>0</v>
      </c>
      <c r="AI227">
        <f>SUM(L227:AH227)</f>
        <v>100</v>
      </c>
      <c r="AJ227" t="s">
        <v>10</v>
      </c>
      <c r="AK227">
        <f>0.1*M227</f>
        <v>3.5</v>
      </c>
    </row>
    <row r="228" spans="1:37" x14ac:dyDescent="0.35">
      <c r="A228" t="s">
        <v>585</v>
      </c>
      <c r="B228">
        <v>158</v>
      </c>
      <c r="C228" t="s">
        <v>956</v>
      </c>
      <c r="D228" s="2">
        <v>38601</v>
      </c>
      <c r="E228" t="s">
        <v>54</v>
      </c>
      <c r="F228" s="3">
        <v>0.65763888888888888</v>
      </c>
      <c r="G228" s="3">
        <v>0.66805555555555562</v>
      </c>
      <c r="H228">
        <v>26.8</v>
      </c>
      <c r="I228">
        <v>30</v>
      </c>
      <c r="J228">
        <v>0</v>
      </c>
      <c r="K228">
        <v>2</v>
      </c>
      <c r="L228">
        <v>0</v>
      </c>
      <c r="M228">
        <v>10</v>
      </c>
      <c r="N228">
        <v>15</v>
      </c>
      <c r="O228">
        <v>1</v>
      </c>
      <c r="P228">
        <v>0</v>
      </c>
      <c r="Q228">
        <v>0</v>
      </c>
      <c r="R228">
        <v>0</v>
      </c>
      <c r="S228">
        <v>56</v>
      </c>
      <c r="T228">
        <v>0</v>
      </c>
      <c r="U228">
        <v>0</v>
      </c>
      <c r="V228">
        <v>0</v>
      </c>
      <c r="W228">
        <v>15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f>SUM(L228:AH228)</f>
        <v>100</v>
      </c>
      <c r="AJ228" t="s">
        <v>14</v>
      </c>
      <c r="AK228">
        <f>0.5*S228</f>
        <v>28</v>
      </c>
    </row>
    <row r="229" spans="1:37" x14ac:dyDescent="0.35">
      <c r="A229" t="s">
        <v>585</v>
      </c>
      <c r="B229">
        <v>159</v>
      </c>
      <c r="C229" t="s">
        <v>957</v>
      </c>
      <c r="D229" s="2">
        <v>38604</v>
      </c>
      <c r="E229">
        <v>0</v>
      </c>
      <c r="F229" s="3">
        <v>0.4770833333333333</v>
      </c>
      <c r="G229" s="3">
        <v>0.48749999999999999</v>
      </c>
      <c r="H229">
        <v>18.600000000000001</v>
      </c>
      <c r="I229">
        <v>53</v>
      </c>
      <c r="J229">
        <v>1</v>
      </c>
      <c r="K229">
        <v>2</v>
      </c>
      <c r="L229">
        <v>0</v>
      </c>
      <c r="M229">
        <v>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90</v>
      </c>
      <c r="T229">
        <v>0</v>
      </c>
      <c r="U229">
        <v>0</v>
      </c>
      <c r="V229">
        <v>0</v>
      </c>
      <c r="W229">
        <v>6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f>SUM(L229:AH229)</f>
        <v>100</v>
      </c>
      <c r="AJ229" t="s">
        <v>14</v>
      </c>
      <c r="AK229">
        <f>0.25*S229</f>
        <v>22.5</v>
      </c>
    </row>
    <row r="230" spans="1:37" x14ac:dyDescent="0.35">
      <c r="A230" t="s">
        <v>585</v>
      </c>
      <c r="B230">
        <v>160</v>
      </c>
      <c r="C230" t="s">
        <v>958</v>
      </c>
      <c r="D230" s="2">
        <v>38604</v>
      </c>
      <c r="E230" t="s">
        <v>31</v>
      </c>
      <c r="F230" s="3">
        <v>0.49305555555555558</v>
      </c>
      <c r="G230" s="3">
        <v>0.50347222222222221</v>
      </c>
      <c r="H230">
        <v>19.8</v>
      </c>
      <c r="I230">
        <v>51</v>
      </c>
      <c r="J230">
        <v>1</v>
      </c>
      <c r="K230">
        <v>2</v>
      </c>
      <c r="L230">
        <v>10</v>
      </c>
      <c r="M230">
        <v>2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73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7</v>
      </c>
      <c r="AG230">
        <v>0</v>
      </c>
      <c r="AH230">
        <v>0</v>
      </c>
      <c r="AI230">
        <f>SUM(L230:AH230)</f>
        <v>100</v>
      </c>
      <c r="AJ230" t="s">
        <v>14</v>
      </c>
      <c r="AK230">
        <f>0.25*S230</f>
        <v>18.25</v>
      </c>
    </row>
    <row r="231" spans="1:37" x14ac:dyDescent="0.35">
      <c r="A231" t="s">
        <v>585</v>
      </c>
      <c r="B231">
        <v>161</v>
      </c>
      <c r="C231" t="s">
        <v>959</v>
      </c>
      <c r="D231" s="2">
        <v>38604</v>
      </c>
      <c r="E231" t="s">
        <v>53</v>
      </c>
      <c r="F231" s="3">
        <v>0.51527777777777783</v>
      </c>
      <c r="G231" s="3">
        <v>0.52569444444444446</v>
      </c>
      <c r="H231">
        <v>22.3</v>
      </c>
      <c r="I231">
        <v>39</v>
      </c>
      <c r="J231">
        <v>1</v>
      </c>
      <c r="K231">
        <v>1</v>
      </c>
      <c r="L231">
        <v>0</v>
      </c>
      <c r="M231">
        <v>75</v>
      </c>
      <c r="N231">
        <v>10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5</v>
      </c>
      <c r="W231">
        <v>8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</v>
      </c>
      <c r="AG231">
        <v>0</v>
      </c>
      <c r="AH231">
        <v>0</v>
      </c>
      <c r="AI231">
        <f>SUM(L231:AH231)</f>
        <v>100</v>
      </c>
      <c r="AJ231" t="s">
        <v>10</v>
      </c>
      <c r="AK231">
        <f>0.2*M231</f>
        <v>15</v>
      </c>
    </row>
    <row r="232" spans="1:37" x14ac:dyDescent="0.35">
      <c r="A232" t="s">
        <v>585</v>
      </c>
      <c r="B232">
        <v>162</v>
      </c>
      <c r="C232" t="s">
        <v>960</v>
      </c>
      <c r="D232" s="2">
        <v>38604</v>
      </c>
      <c r="E232" t="s">
        <v>53</v>
      </c>
      <c r="F232" s="3">
        <v>0.52916666666666667</v>
      </c>
      <c r="G232" s="3">
        <v>0.5395833333333333</v>
      </c>
      <c r="H232">
        <v>22.4</v>
      </c>
      <c r="I232">
        <v>37</v>
      </c>
      <c r="J232">
        <v>0</v>
      </c>
      <c r="K232">
        <v>1</v>
      </c>
      <c r="L232">
        <v>0</v>
      </c>
      <c r="M232">
        <v>55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30</v>
      </c>
      <c r="T232">
        <v>0</v>
      </c>
      <c r="U232">
        <v>0</v>
      </c>
      <c r="V232">
        <v>0</v>
      </c>
      <c r="W232">
        <v>15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>SUM(L232:AH232)</f>
        <v>100</v>
      </c>
      <c r="AJ232" t="s">
        <v>14</v>
      </c>
      <c r="AK232">
        <f>0.4*S232</f>
        <v>12</v>
      </c>
    </row>
    <row r="233" spans="1:37" x14ac:dyDescent="0.35">
      <c r="A233" t="s">
        <v>585</v>
      </c>
      <c r="B233">
        <v>162</v>
      </c>
      <c r="C233" t="s">
        <v>960</v>
      </c>
      <c r="D233" s="2">
        <v>38604</v>
      </c>
      <c r="E233" t="s">
        <v>53</v>
      </c>
      <c r="F233" s="3">
        <v>0.52916666666666667</v>
      </c>
      <c r="G233" s="3">
        <v>0.5395833333333333</v>
      </c>
      <c r="H233">
        <v>22.4</v>
      </c>
      <c r="I233">
        <v>37</v>
      </c>
      <c r="J233">
        <v>0</v>
      </c>
      <c r="K233">
        <v>1</v>
      </c>
      <c r="L233">
        <v>0</v>
      </c>
      <c r="M233">
        <v>55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30</v>
      </c>
      <c r="T233">
        <v>0</v>
      </c>
      <c r="U233">
        <v>0</v>
      </c>
      <c r="V233">
        <v>0</v>
      </c>
      <c r="W233">
        <v>15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f>SUM(L233:AH233)</f>
        <v>100</v>
      </c>
      <c r="AJ233" t="s">
        <v>10</v>
      </c>
      <c r="AK233">
        <f>0.15*M233</f>
        <v>8.25</v>
      </c>
    </row>
    <row r="234" spans="1:37" x14ac:dyDescent="0.35">
      <c r="A234" t="s">
        <v>585</v>
      </c>
      <c r="B234">
        <v>163</v>
      </c>
      <c r="C234" t="s">
        <v>961</v>
      </c>
      <c r="D234" s="2">
        <v>38604</v>
      </c>
      <c r="E234" t="s">
        <v>34</v>
      </c>
      <c r="F234" s="3">
        <v>0.5493055555555556</v>
      </c>
      <c r="G234" s="3">
        <v>0.55972222222222223</v>
      </c>
      <c r="H234">
        <v>20.9</v>
      </c>
      <c r="I234">
        <v>39</v>
      </c>
      <c r="J234">
        <v>0</v>
      </c>
      <c r="K234">
        <v>2</v>
      </c>
      <c r="L234">
        <v>0</v>
      </c>
      <c r="M234">
        <v>30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60</v>
      </c>
      <c r="T234">
        <v>0</v>
      </c>
      <c r="U234">
        <v>0</v>
      </c>
      <c r="V234">
        <v>3</v>
      </c>
      <c r="W234">
        <v>7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f>SUM(L234:AH234)</f>
        <v>100</v>
      </c>
      <c r="AJ234" t="s">
        <v>14</v>
      </c>
      <c r="AK234">
        <f>0.6*S234</f>
        <v>36</v>
      </c>
    </row>
    <row r="235" spans="1:37" x14ac:dyDescent="0.35">
      <c r="A235" t="s">
        <v>585</v>
      </c>
      <c r="B235">
        <v>163</v>
      </c>
      <c r="C235" t="s">
        <v>961</v>
      </c>
      <c r="D235" s="2">
        <v>38604</v>
      </c>
      <c r="E235" t="s">
        <v>34</v>
      </c>
      <c r="F235" s="3">
        <v>0.5493055555555556</v>
      </c>
      <c r="G235" s="3">
        <v>0.55972222222222223</v>
      </c>
      <c r="H235">
        <v>20.9</v>
      </c>
      <c r="I235">
        <v>39</v>
      </c>
      <c r="J235">
        <v>0</v>
      </c>
      <c r="K235">
        <v>2</v>
      </c>
      <c r="L235">
        <v>0</v>
      </c>
      <c r="M235">
        <v>30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60</v>
      </c>
      <c r="T235">
        <v>0</v>
      </c>
      <c r="U235">
        <v>0</v>
      </c>
      <c r="V235">
        <v>3</v>
      </c>
      <c r="W235">
        <v>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f>SUM(L235:AH235)</f>
        <v>100</v>
      </c>
      <c r="AJ235" t="s">
        <v>10</v>
      </c>
      <c r="AK235">
        <f>0.01*M235</f>
        <v>0.3</v>
      </c>
    </row>
    <row r="236" spans="1:37" x14ac:dyDescent="0.35">
      <c r="A236" t="s">
        <v>585</v>
      </c>
      <c r="B236">
        <v>164</v>
      </c>
      <c r="C236" t="s">
        <v>962</v>
      </c>
      <c r="D236" s="2">
        <v>38604</v>
      </c>
      <c r="E236">
        <v>0</v>
      </c>
      <c r="F236" s="3">
        <v>0.56874999999999998</v>
      </c>
      <c r="G236" s="3">
        <v>0.57916666666666672</v>
      </c>
      <c r="H236">
        <v>20.399999999999999</v>
      </c>
      <c r="I236">
        <v>40</v>
      </c>
      <c r="J236">
        <v>1</v>
      </c>
      <c r="K236">
        <v>2</v>
      </c>
      <c r="L236">
        <v>0</v>
      </c>
      <c r="M236">
        <v>40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50</v>
      </c>
      <c r="U236">
        <v>0</v>
      </c>
      <c r="V236">
        <v>3</v>
      </c>
      <c r="W236">
        <v>7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f>SUM(L236:AH236)</f>
        <v>100</v>
      </c>
      <c r="AJ236" t="s">
        <v>15</v>
      </c>
      <c r="AK236">
        <f>0.02*T236</f>
        <v>1</v>
      </c>
    </row>
    <row r="237" spans="1:37" x14ac:dyDescent="0.35">
      <c r="A237" t="s">
        <v>585</v>
      </c>
      <c r="B237">
        <v>164</v>
      </c>
      <c r="C237" t="s">
        <v>962</v>
      </c>
      <c r="D237" s="2">
        <v>38604</v>
      </c>
      <c r="E237">
        <v>0</v>
      </c>
      <c r="F237" s="3">
        <v>0.56874999999999998</v>
      </c>
      <c r="G237" s="3">
        <v>0.57916666666666672</v>
      </c>
      <c r="H237">
        <v>20.399999999999999</v>
      </c>
      <c r="I237">
        <v>40</v>
      </c>
      <c r="J237">
        <v>1</v>
      </c>
      <c r="K237">
        <v>2</v>
      </c>
      <c r="L237">
        <v>0</v>
      </c>
      <c r="M237">
        <v>40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50</v>
      </c>
      <c r="U237">
        <v>0</v>
      </c>
      <c r="V237">
        <v>3</v>
      </c>
      <c r="W237">
        <v>7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f>SUM(L237:AH237)</f>
        <v>100</v>
      </c>
      <c r="AJ237" t="s">
        <v>10</v>
      </c>
      <c r="AK237">
        <f>0.005*M237</f>
        <v>0.2</v>
      </c>
    </row>
    <row r="238" spans="1:37" x14ac:dyDescent="0.35">
      <c r="A238" t="s">
        <v>585</v>
      </c>
      <c r="B238">
        <v>165</v>
      </c>
      <c r="C238" t="s">
        <v>963</v>
      </c>
      <c r="D238" s="2">
        <v>38604</v>
      </c>
      <c r="E238" t="s">
        <v>33</v>
      </c>
      <c r="F238" s="3">
        <v>0.58819444444444446</v>
      </c>
      <c r="G238" s="3">
        <v>0.59861111111111109</v>
      </c>
      <c r="H238">
        <v>21</v>
      </c>
      <c r="I238">
        <v>33</v>
      </c>
      <c r="J238">
        <v>0</v>
      </c>
      <c r="K238">
        <v>2</v>
      </c>
      <c r="L238">
        <v>0</v>
      </c>
      <c r="M238">
        <v>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90</v>
      </c>
      <c r="T238">
        <v>0</v>
      </c>
      <c r="U238">
        <v>0</v>
      </c>
      <c r="V238">
        <v>0</v>
      </c>
      <c r="W238">
        <v>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f>SUM(L238:AH238)</f>
        <v>100</v>
      </c>
      <c r="AJ238" t="s">
        <v>14</v>
      </c>
      <c r="AK238">
        <f>0.35*S238</f>
        <v>31.499999999999996</v>
      </c>
    </row>
    <row r="239" spans="1:37" x14ac:dyDescent="0.35">
      <c r="A239" t="s">
        <v>585</v>
      </c>
      <c r="B239">
        <v>166</v>
      </c>
      <c r="C239" t="s">
        <v>964</v>
      </c>
      <c r="D239" s="2">
        <v>38604</v>
      </c>
      <c r="E239" t="s">
        <v>53</v>
      </c>
      <c r="F239" s="3">
        <v>0.60763888888888895</v>
      </c>
      <c r="G239" s="3">
        <v>0.61805555555555558</v>
      </c>
      <c r="H239">
        <v>22</v>
      </c>
      <c r="I239">
        <v>42</v>
      </c>
      <c r="J239">
        <v>0</v>
      </c>
      <c r="K239">
        <v>1</v>
      </c>
      <c r="L239">
        <v>0</v>
      </c>
      <c r="M239">
        <v>70</v>
      </c>
      <c r="N239">
        <v>25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f>SUM(L239:AH239)</f>
        <v>100</v>
      </c>
      <c r="AJ239" t="s">
        <v>10</v>
      </c>
      <c r="AK239">
        <f>0.12*M239</f>
        <v>8.4</v>
      </c>
    </row>
    <row r="240" spans="1:37" x14ac:dyDescent="0.35">
      <c r="A240" t="s">
        <v>585</v>
      </c>
      <c r="B240">
        <v>167</v>
      </c>
      <c r="C240" t="s">
        <v>965</v>
      </c>
      <c r="D240" s="2">
        <v>38604</v>
      </c>
      <c r="E240" t="s">
        <v>54</v>
      </c>
      <c r="F240" s="3">
        <v>0.63055555555555554</v>
      </c>
      <c r="G240" s="3">
        <v>0.64097222222222217</v>
      </c>
      <c r="H240">
        <v>21.4</v>
      </c>
      <c r="I240">
        <v>41</v>
      </c>
      <c r="J240">
        <v>1</v>
      </c>
      <c r="K240">
        <v>2</v>
      </c>
      <c r="L240">
        <v>0</v>
      </c>
      <c r="M240">
        <v>1</v>
      </c>
      <c r="N240">
        <v>0</v>
      </c>
      <c r="O240">
        <v>5</v>
      </c>
      <c r="P240">
        <v>0</v>
      </c>
      <c r="Q240">
        <v>0</v>
      </c>
      <c r="R240">
        <v>0</v>
      </c>
      <c r="S240">
        <v>82</v>
      </c>
      <c r="T240">
        <v>0</v>
      </c>
      <c r="U240">
        <v>0</v>
      </c>
      <c r="V240">
        <v>12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f>SUM(L240:AH240)</f>
        <v>100</v>
      </c>
      <c r="AJ240" t="s">
        <v>14</v>
      </c>
      <c r="AK240">
        <f>0.3*S240</f>
        <v>24.599999999999998</v>
      </c>
    </row>
    <row r="241" spans="1:37" x14ac:dyDescent="0.35">
      <c r="A241" t="s">
        <v>585</v>
      </c>
      <c r="B241">
        <v>168</v>
      </c>
      <c r="C241" t="s">
        <v>966</v>
      </c>
      <c r="D241" s="2">
        <v>38608</v>
      </c>
      <c r="E241">
        <v>0</v>
      </c>
      <c r="F241" s="3">
        <v>0.55902777777777779</v>
      </c>
      <c r="G241" s="3">
        <v>0.56944444444444442</v>
      </c>
      <c r="H241">
        <v>18.5</v>
      </c>
      <c r="I241">
        <v>66</v>
      </c>
      <c r="J241">
        <v>4</v>
      </c>
      <c r="K241">
        <v>1</v>
      </c>
      <c r="L241">
        <v>3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95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f>SUM(L241:AH241)</f>
        <v>100</v>
      </c>
      <c r="AJ241" t="s">
        <v>14</v>
      </c>
      <c r="AK241">
        <f>0.25*S241</f>
        <v>23.75</v>
      </c>
    </row>
    <row r="242" spans="1:37" x14ac:dyDescent="0.35">
      <c r="A242" t="s">
        <v>585</v>
      </c>
      <c r="B242">
        <v>169</v>
      </c>
      <c r="C242" t="s">
        <v>967</v>
      </c>
      <c r="D242" s="2">
        <v>38608</v>
      </c>
      <c r="E242" t="s">
        <v>36</v>
      </c>
      <c r="F242" s="3">
        <v>0.57777777777777783</v>
      </c>
      <c r="G242" s="3">
        <v>0.58819444444444446</v>
      </c>
      <c r="H242">
        <v>20.9</v>
      </c>
      <c r="I242">
        <v>62</v>
      </c>
      <c r="J242">
        <v>2</v>
      </c>
      <c r="K242">
        <v>1</v>
      </c>
      <c r="L242">
        <v>0</v>
      </c>
      <c r="M242">
        <v>50</v>
      </c>
      <c r="N242">
        <v>25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5</v>
      </c>
      <c r="W242">
        <v>20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f>SUM(L242:AH242)</f>
        <v>100</v>
      </c>
      <c r="AJ242" t="s">
        <v>10</v>
      </c>
      <c r="AK242">
        <f>0.1*M242</f>
        <v>5</v>
      </c>
    </row>
    <row r="243" spans="1:37" x14ac:dyDescent="0.35">
      <c r="A243" t="s">
        <v>585</v>
      </c>
      <c r="B243">
        <v>170</v>
      </c>
      <c r="C243" t="s">
        <v>968</v>
      </c>
      <c r="D243" s="2">
        <v>38608</v>
      </c>
      <c r="E243">
        <v>0</v>
      </c>
      <c r="F243" s="3">
        <v>0.59930555555555554</v>
      </c>
      <c r="G243" s="3">
        <v>0.60972222222222217</v>
      </c>
      <c r="H243">
        <v>20.100000000000001</v>
      </c>
      <c r="I243">
        <v>55</v>
      </c>
      <c r="J243">
        <v>1</v>
      </c>
      <c r="K243">
        <v>1</v>
      </c>
      <c r="L243">
        <v>0</v>
      </c>
      <c r="M243">
        <v>52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40</v>
      </c>
      <c r="T243">
        <v>0</v>
      </c>
      <c r="U243">
        <v>0</v>
      </c>
      <c r="V243">
        <v>0</v>
      </c>
      <c r="W243">
        <v>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f>SUM(L243:AH243)</f>
        <v>100</v>
      </c>
      <c r="AJ243" t="s">
        <v>14</v>
      </c>
      <c r="AK243">
        <f>0.5*S243</f>
        <v>20</v>
      </c>
    </row>
    <row r="244" spans="1:37" x14ac:dyDescent="0.35">
      <c r="A244" t="s">
        <v>585</v>
      </c>
      <c r="B244">
        <v>171</v>
      </c>
      <c r="C244" t="s">
        <v>969</v>
      </c>
      <c r="D244" s="2">
        <v>38608</v>
      </c>
      <c r="E244" t="s">
        <v>53</v>
      </c>
      <c r="F244" s="3">
        <v>0.6166666666666667</v>
      </c>
      <c r="G244" s="3">
        <v>0.62708333333333333</v>
      </c>
      <c r="H244">
        <v>21</v>
      </c>
      <c r="I244">
        <v>51</v>
      </c>
      <c r="J244">
        <v>0</v>
      </c>
      <c r="K244">
        <v>1</v>
      </c>
      <c r="L244">
        <v>0</v>
      </c>
      <c r="M244">
        <v>80</v>
      </c>
      <c r="N244">
        <v>13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5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0</v>
      </c>
      <c r="AI244">
        <f>SUM(L244:AH244)</f>
        <v>100</v>
      </c>
      <c r="AJ244" t="s">
        <v>10</v>
      </c>
      <c r="AK244">
        <f>0.04*M244</f>
        <v>3.2</v>
      </c>
    </row>
    <row r="245" spans="1:37" x14ac:dyDescent="0.35">
      <c r="A245" t="s">
        <v>585</v>
      </c>
      <c r="B245">
        <v>172</v>
      </c>
      <c r="C245" t="s">
        <v>970</v>
      </c>
      <c r="D245" s="2">
        <v>38608</v>
      </c>
      <c r="E245" t="s">
        <v>33</v>
      </c>
      <c r="F245" s="3">
        <v>0.63055555555555554</v>
      </c>
      <c r="G245" s="3">
        <v>0.64097222222222217</v>
      </c>
      <c r="H245">
        <v>19.5</v>
      </c>
      <c r="I245">
        <v>55</v>
      </c>
      <c r="J245">
        <v>0</v>
      </c>
      <c r="K245">
        <v>1</v>
      </c>
      <c r="L245">
        <v>0</v>
      </c>
      <c r="M245">
        <v>1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80</v>
      </c>
      <c r="T245">
        <v>0</v>
      </c>
      <c r="U245">
        <v>0</v>
      </c>
      <c r="V245">
        <v>0</v>
      </c>
      <c r="W245">
        <v>18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f>SUM(L245:AH245)</f>
        <v>100</v>
      </c>
      <c r="AJ245" t="s">
        <v>14</v>
      </c>
      <c r="AK245">
        <f>0.3*S245</f>
        <v>24</v>
      </c>
    </row>
    <row r="246" spans="1:37" x14ac:dyDescent="0.35">
      <c r="A246" t="s">
        <v>585</v>
      </c>
      <c r="B246">
        <v>173</v>
      </c>
      <c r="C246" t="s">
        <v>971</v>
      </c>
      <c r="D246" s="2">
        <v>38616</v>
      </c>
      <c r="E246" t="s">
        <v>33</v>
      </c>
      <c r="F246" s="3">
        <v>0.60069444444444442</v>
      </c>
      <c r="G246" s="3">
        <v>0.61111111111111105</v>
      </c>
      <c r="H246">
        <v>18.399999999999999</v>
      </c>
      <c r="I246">
        <v>71</v>
      </c>
      <c r="J246">
        <v>2</v>
      </c>
      <c r="K246">
        <v>1</v>
      </c>
      <c r="L246">
        <v>0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80</v>
      </c>
      <c r="T246">
        <v>0</v>
      </c>
      <c r="U246">
        <v>0</v>
      </c>
      <c r="V246">
        <v>0</v>
      </c>
      <c r="W246">
        <v>18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f>SUM(L246:AH246)</f>
        <v>100</v>
      </c>
      <c r="AJ246" t="s">
        <v>14</v>
      </c>
      <c r="AK246">
        <f>0.1*S246</f>
        <v>8</v>
      </c>
    </row>
    <row r="247" spans="1:37" x14ac:dyDescent="0.35">
      <c r="A247" t="s">
        <v>585</v>
      </c>
      <c r="B247">
        <v>174</v>
      </c>
      <c r="C247" t="s">
        <v>972</v>
      </c>
      <c r="D247" s="2">
        <v>38616</v>
      </c>
      <c r="E247" t="s">
        <v>53</v>
      </c>
      <c r="F247" s="3">
        <v>0.61736111111111114</v>
      </c>
      <c r="G247" s="3">
        <v>0.62777777777777777</v>
      </c>
      <c r="H247">
        <v>18.8</v>
      </c>
      <c r="I247">
        <v>59</v>
      </c>
      <c r="J247">
        <v>1</v>
      </c>
      <c r="K247">
        <v>1</v>
      </c>
      <c r="L247">
        <v>0</v>
      </c>
      <c r="M247">
        <v>85</v>
      </c>
      <c r="N247">
        <v>5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5</v>
      </c>
      <c r="W247">
        <v>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f>SUM(L247:AH247)</f>
        <v>100</v>
      </c>
      <c r="AJ247" t="s">
        <v>10</v>
      </c>
      <c r="AK247">
        <f>0.02*M247</f>
        <v>1.7</v>
      </c>
    </row>
    <row r="248" spans="1:37" x14ac:dyDescent="0.35">
      <c r="A248" t="s">
        <v>585</v>
      </c>
      <c r="B248">
        <v>175</v>
      </c>
      <c r="C248" t="s">
        <v>973</v>
      </c>
      <c r="D248" s="2">
        <v>38616</v>
      </c>
      <c r="E248" t="s">
        <v>33</v>
      </c>
      <c r="F248" s="3">
        <v>0.64097222222222217</v>
      </c>
      <c r="G248" s="3">
        <v>0.65138888888888891</v>
      </c>
      <c r="H248">
        <v>18.899999999999999</v>
      </c>
      <c r="I248">
        <v>53</v>
      </c>
      <c r="J248">
        <v>2</v>
      </c>
      <c r="K248">
        <v>1</v>
      </c>
      <c r="L248">
        <v>0</v>
      </c>
      <c r="M248">
        <v>60</v>
      </c>
      <c r="N248">
        <v>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8</v>
      </c>
      <c r="W248">
        <v>25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f>SUM(L248:AH248)</f>
        <v>100</v>
      </c>
      <c r="AJ248" t="s">
        <v>10</v>
      </c>
      <c r="AK248">
        <f>0.05*M248</f>
        <v>3</v>
      </c>
    </row>
    <row r="249" spans="1:37" x14ac:dyDescent="0.35">
      <c r="A249" t="s">
        <v>585</v>
      </c>
      <c r="B249">
        <v>176</v>
      </c>
      <c r="C249" t="s">
        <v>974</v>
      </c>
      <c r="D249" s="2">
        <v>38616</v>
      </c>
      <c r="E249" t="s">
        <v>54</v>
      </c>
      <c r="F249" s="3">
        <v>0.65555555555555556</v>
      </c>
      <c r="G249" s="3">
        <v>0.66597222222222219</v>
      </c>
      <c r="H249">
        <v>19.3</v>
      </c>
      <c r="I249">
        <v>55</v>
      </c>
      <c r="J249">
        <v>2</v>
      </c>
      <c r="K249">
        <v>0</v>
      </c>
      <c r="L249">
        <v>0</v>
      </c>
      <c r="M249">
        <v>20</v>
      </c>
      <c r="N249">
        <v>0</v>
      </c>
      <c r="O249">
        <v>0</v>
      </c>
      <c r="P249">
        <v>0</v>
      </c>
      <c r="Q249">
        <v>0</v>
      </c>
      <c r="R249">
        <v>3</v>
      </c>
      <c r="S249">
        <v>60</v>
      </c>
      <c r="T249">
        <v>0</v>
      </c>
      <c r="U249">
        <v>0</v>
      </c>
      <c r="V249">
        <v>5</v>
      </c>
      <c r="W249">
        <v>10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</v>
      </c>
      <c r="AG249">
        <v>0</v>
      </c>
      <c r="AH249">
        <v>0</v>
      </c>
      <c r="AI249">
        <f>SUM(L249:AH249)</f>
        <v>100</v>
      </c>
      <c r="AJ249" t="s">
        <v>14</v>
      </c>
      <c r="AK249">
        <f>0.1*S249</f>
        <v>6</v>
      </c>
    </row>
  </sheetData>
  <sortState ref="A2:AJ249">
    <sortCondition ref="B2:B249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IB2004</vt:lpstr>
      <vt:lpstr>SO2004</vt:lpstr>
      <vt:lpstr>IB2005</vt:lpstr>
      <vt:lpstr>HL2005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Luise Dupont</dc:creator>
  <cp:lastModifiedBy>Yoko Luise Dupont</cp:lastModifiedBy>
  <dcterms:created xsi:type="dcterms:W3CDTF">2022-05-24T07:49:53Z</dcterms:created>
  <dcterms:modified xsi:type="dcterms:W3CDTF">2022-05-29T21:12:11Z</dcterms:modified>
</cp:coreProperties>
</file>