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FEPI\"/>
    </mc:Choice>
  </mc:AlternateContent>
  <xr:revisionPtr revIDLastSave="0" documentId="13_ncr:1_{538854EF-C9D4-411C-8F7C-134594E30AF5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Gastos" sheetId="2" r:id="rId1"/>
    <sheet name="Inversion" sheetId="6" r:id="rId2"/>
    <sheet name="Ingresos" sheetId="7" r:id="rId3"/>
    <sheet name="IngresosvsGastos" sheetId="8" r:id="rId4"/>
    <sheet name="Sheet4" sheetId="10" r:id="rId5"/>
    <sheet name="Sheet5" sheetId="11" r:id="rId6"/>
  </sheets>
  <definedNames>
    <definedName name="LastCol" localSheetId="0">COUNTA(Gastos!$4:$4)+1</definedName>
    <definedName name="LastCol">COUNTA(#REF!)+1</definedName>
    <definedName name="PrintArea_SET" localSheetId="0">OFFSET(Gastos!$C$2,,,MATCH(REPT("z",255),Gastos!$C:$C),Gastos!LastCol)</definedName>
    <definedName name="PrintArea_SET">OFFSET(#REF!,,,MATCH(REPT("z",255),#REF!),Gastos!LastCol)</definedName>
  </definedNames>
  <calcPr calcId="191028"/>
  <pivotCaches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0" l="1" a="1"/>
  <c r="C5" i="10" s="1"/>
  <c r="O79" i="8"/>
  <c r="N79" i="8"/>
  <c r="M79" i="8"/>
  <c r="L79" i="8"/>
  <c r="K79" i="8"/>
  <c r="J79" i="8"/>
  <c r="I79" i="8"/>
  <c r="H79" i="8"/>
  <c r="G79" i="8"/>
  <c r="E79" i="8"/>
  <c r="D79" i="8"/>
  <c r="R78" i="8"/>
  <c r="Q78" i="8"/>
  <c r="P78" i="8"/>
  <c r="F78" i="8"/>
  <c r="S78" i="8" s="1"/>
  <c r="C78" i="8"/>
  <c r="R77" i="8"/>
  <c r="Q77" i="8"/>
  <c r="P77" i="8"/>
  <c r="F77" i="8"/>
  <c r="S77" i="8" s="1"/>
  <c r="C77" i="8"/>
  <c r="Q76" i="8"/>
  <c r="R76" i="8" s="1"/>
  <c r="S76" i="8" s="1"/>
  <c r="P76" i="8"/>
  <c r="F76" i="8"/>
  <c r="C76" i="8"/>
  <c r="Q75" i="8"/>
  <c r="R75" i="8" s="1"/>
  <c r="P75" i="8"/>
  <c r="F75" i="8"/>
  <c r="S75" i="8" s="1"/>
  <c r="C75" i="8"/>
  <c r="Q74" i="8"/>
  <c r="R74" i="8" s="1"/>
  <c r="P74" i="8"/>
  <c r="F74" i="8"/>
  <c r="C74" i="8"/>
  <c r="R73" i="8"/>
  <c r="Q73" i="8"/>
  <c r="P73" i="8"/>
  <c r="F73" i="8"/>
  <c r="S73" i="8" s="1"/>
  <c r="C73" i="8"/>
  <c r="Q72" i="8"/>
  <c r="R72" i="8" s="1"/>
  <c r="P72" i="8"/>
  <c r="F72" i="8"/>
  <c r="C72" i="8"/>
  <c r="Q71" i="8"/>
  <c r="R71" i="8" s="1"/>
  <c r="P71" i="8"/>
  <c r="F71" i="8"/>
  <c r="S71" i="8" s="1"/>
  <c r="C71" i="8"/>
  <c r="Q70" i="8"/>
  <c r="R70" i="8" s="1"/>
  <c r="P70" i="8"/>
  <c r="F70" i="8"/>
  <c r="C70" i="8"/>
  <c r="S69" i="8"/>
  <c r="R69" i="8"/>
  <c r="Q69" i="8"/>
  <c r="P69" i="8"/>
  <c r="F69" i="8"/>
  <c r="C69" i="8"/>
  <c r="Q68" i="8"/>
  <c r="R68" i="8" s="1"/>
  <c r="P68" i="8"/>
  <c r="F68" i="8"/>
  <c r="C68" i="8"/>
  <c r="Q67" i="8"/>
  <c r="Q79" i="8" s="1"/>
  <c r="P67" i="8"/>
  <c r="P79" i="8" s="1"/>
  <c r="F67" i="8"/>
  <c r="C67" i="8"/>
  <c r="C79" i="8" s="1"/>
  <c r="O63" i="8"/>
  <c r="N63" i="8"/>
  <c r="M63" i="8"/>
  <c r="L63" i="8"/>
  <c r="K63" i="8"/>
  <c r="J63" i="8"/>
  <c r="I63" i="8"/>
  <c r="H63" i="8"/>
  <c r="G63" i="8"/>
  <c r="E63" i="8"/>
  <c r="D63" i="8"/>
  <c r="R62" i="8"/>
  <c r="Q62" i="8"/>
  <c r="P62" i="8"/>
  <c r="F62" i="8"/>
  <c r="S62" i="8" s="1"/>
  <c r="C62" i="8"/>
  <c r="Q61" i="8"/>
  <c r="R61" i="8" s="1"/>
  <c r="P61" i="8"/>
  <c r="F61" i="8"/>
  <c r="C61" i="8"/>
  <c r="Q60" i="8"/>
  <c r="R60" i="8" s="1"/>
  <c r="P60" i="8"/>
  <c r="F60" i="8"/>
  <c r="S60" i="8" s="1"/>
  <c r="C60" i="8"/>
  <c r="Q59" i="8"/>
  <c r="R59" i="8" s="1"/>
  <c r="P59" i="8"/>
  <c r="F59" i="8"/>
  <c r="S59" i="8" s="1"/>
  <c r="C59" i="8"/>
  <c r="R58" i="8"/>
  <c r="Q58" i="8"/>
  <c r="P58" i="8"/>
  <c r="F58" i="8"/>
  <c r="C58" i="8"/>
  <c r="Q57" i="8"/>
  <c r="R57" i="8" s="1"/>
  <c r="S57" i="8" s="1"/>
  <c r="P57" i="8"/>
  <c r="F57" i="8"/>
  <c r="C57" i="8"/>
  <c r="Q56" i="8"/>
  <c r="R56" i="8" s="1"/>
  <c r="P56" i="8"/>
  <c r="F56" i="8"/>
  <c r="C56" i="8"/>
  <c r="Q55" i="8"/>
  <c r="R55" i="8" s="1"/>
  <c r="P55" i="8"/>
  <c r="F55" i="8"/>
  <c r="C55" i="8"/>
  <c r="R54" i="8"/>
  <c r="Q54" i="8"/>
  <c r="P54" i="8"/>
  <c r="F54" i="8"/>
  <c r="C54" i="8"/>
  <c r="Q53" i="8"/>
  <c r="R53" i="8" s="1"/>
  <c r="S53" i="8" s="1"/>
  <c r="P53" i="8"/>
  <c r="F53" i="8"/>
  <c r="C53" i="8"/>
  <c r="Q52" i="8"/>
  <c r="R52" i="8" s="1"/>
  <c r="P52" i="8"/>
  <c r="F52" i="8"/>
  <c r="S52" i="8" s="1"/>
  <c r="C52" i="8"/>
  <c r="Q51" i="8"/>
  <c r="Q63" i="8" s="1"/>
  <c r="P51" i="8"/>
  <c r="P63" i="8" s="1"/>
  <c r="F51" i="8"/>
  <c r="C51" i="8"/>
  <c r="C63" i="8" s="1"/>
  <c r="F43" i="8"/>
  <c r="S43" i="8" s="1"/>
  <c r="F41" i="8"/>
  <c r="F39" i="8"/>
  <c r="F37" i="8"/>
  <c r="E47" i="8"/>
  <c r="D47" i="8"/>
  <c r="O47" i="8"/>
  <c r="N47" i="8"/>
  <c r="M47" i="8"/>
  <c r="L47" i="8"/>
  <c r="K47" i="8"/>
  <c r="J47" i="8"/>
  <c r="I47" i="8"/>
  <c r="H47" i="8"/>
  <c r="G47" i="8"/>
  <c r="R46" i="8"/>
  <c r="Q46" i="8"/>
  <c r="P46" i="8"/>
  <c r="F46" i="8"/>
  <c r="C46" i="8"/>
  <c r="Q45" i="8"/>
  <c r="R45" i="8" s="1"/>
  <c r="P45" i="8"/>
  <c r="F45" i="8"/>
  <c r="C45" i="8"/>
  <c r="Q44" i="8"/>
  <c r="R44" i="8" s="1"/>
  <c r="P44" i="8"/>
  <c r="F44" i="8"/>
  <c r="S44" i="8" s="1"/>
  <c r="C44" i="8"/>
  <c r="Q43" i="8"/>
  <c r="R43" i="8" s="1"/>
  <c r="P43" i="8"/>
  <c r="C43" i="8"/>
  <c r="R42" i="8"/>
  <c r="Q42" i="8"/>
  <c r="P42" i="8"/>
  <c r="F42" i="8"/>
  <c r="C42" i="8"/>
  <c r="Q41" i="8"/>
  <c r="R41" i="8" s="1"/>
  <c r="P41" i="8"/>
  <c r="C41" i="8"/>
  <c r="Q40" i="8"/>
  <c r="R40" i="8" s="1"/>
  <c r="P40" i="8"/>
  <c r="F40" i="8"/>
  <c r="C40" i="8"/>
  <c r="Q39" i="8"/>
  <c r="R39" i="8" s="1"/>
  <c r="P39" i="8"/>
  <c r="C39" i="8"/>
  <c r="R38" i="8"/>
  <c r="Q38" i="8"/>
  <c r="P38" i="8"/>
  <c r="F38" i="8"/>
  <c r="C38" i="8"/>
  <c r="Q37" i="8"/>
  <c r="R37" i="8" s="1"/>
  <c r="P37" i="8"/>
  <c r="C37" i="8"/>
  <c r="Q36" i="8"/>
  <c r="R36" i="8" s="1"/>
  <c r="P36" i="8"/>
  <c r="F36" i="8"/>
  <c r="S36" i="8" s="1"/>
  <c r="C36" i="8"/>
  <c r="Q35" i="8"/>
  <c r="Q47" i="8" s="1"/>
  <c r="P35" i="8"/>
  <c r="P47" i="8" s="1"/>
  <c r="C35" i="8"/>
  <c r="C47" i="8" s="1"/>
  <c r="S31" i="8"/>
  <c r="S20" i="8"/>
  <c r="S21" i="8"/>
  <c r="S24" i="8"/>
  <c r="S26" i="8"/>
  <c r="S27" i="8"/>
  <c r="S28" i="8"/>
  <c r="S29" i="8"/>
  <c r="O31" i="8"/>
  <c r="N31" i="8"/>
  <c r="M31" i="8"/>
  <c r="L31" i="8"/>
  <c r="K31" i="8"/>
  <c r="J31" i="8"/>
  <c r="I31" i="8"/>
  <c r="H31" i="8"/>
  <c r="G31" i="8"/>
  <c r="E31" i="8"/>
  <c r="D31" i="8"/>
  <c r="R30" i="8"/>
  <c r="Q30" i="8"/>
  <c r="P30" i="8"/>
  <c r="F30" i="8"/>
  <c r="S30" i="8" s="1"/>
  <c r="C30" i="8"/>
  <c r="Q29" i="8"/>
  <c r="R29" i="8" s="1"/>
  <c r="P29" i="8"/>
  <c r="F29" i="8"/>
  <c r="C29" i="8"/>
  <c r="Q28" i="8"/>
  <c r="R28" i="8" s="1"/>
  <c r="P28" i="8"/>
  <c r="F28" i="8"/>
  <c r="C28" i="8"/>
  <c r="Q27" i="8"/>
  <c r="R27" i="8" s="1"/>
  <c r="P27" i="8"/>
  <c r="F27" i="8"/>
  <c r="C27" i="8"/>
  <c r="R26" i="8"/>
  <c r="Q26" i="8"/>
  <c r="P26" i="8"/>
  <c r="F26" i="8"/>
  <c r="C26" i="8"/>
  <c r="Q25" i="8"/>
  <c r="R25" i="8" s="1"/>
  <c r="P25" i="8"/>
  <c r="F25" i="8"/>
  <c r="S25" i="8" s="1"/>
  <c r="C25" i="8"/>
  <c r="Q24" i="8"/>
  <c r="R24" i="8" s="1"/>
  <c r="P24" i="8"/>
  <c r="F24" i="8"/>
  <c r="C24" i="8"/>
  <c r="Q23" i="8"/>
  <c r="R23" i="8" s="1"/>
  <c r="P23" i="8"/>
  <c r="F23" i="8"/>
  <c r="S23" i="8" s="1"/>
  <c r="C23" i="8"/>
  <c r="R22" i="8"/>
  <c r="Q22" i="8"/>
  <c r="P22" i="8"/>
  <c r="F22" i="8"/>
  <c r="S22" i="8" s="1"/>
  <c r="C22" i="8"/>
  <c r="Q21" i="8"/>
  <c r="R21" i="8" s="1"/>
  <c r="P21" i="8"/>
  <c r="F21" i="8"/>
  <c r="C21" i="8"/>
  <c r="Q20" i="8"/>
  <c r="R20" i="8" s="1"/>
  <c r="P20" i="8"/>
  <c r="F20" i="8"/>
  <c r="C20" i="8"/>
  <c r="Q19" i="8"/>
  <c r="Q31" i="8" s="1"/>
  <c r="P19" i="8"/>
  <c r="P31" i="8" s="1"/>
  <c r="F19" i="8"/>
  <c r="S19" i="8" s="1"/>
  <c r="C19" i="8"/>
  <c r="C31" i="8" s="1"/>
  <c r="S15" i="8"/>
  <c r="H15" i="8"/>
  <c r="I15" i="8"/>
  <c r="J15" i="8"/>
  <c r="K15" i="8"/>
  <c r="L15" i="8"/>
  <c r="M15" i="8"/>
  <c r="N15" i="8"/>
  <c r="O15" i="8"/>
  <c r="P15" i="8"/>
  <c r="Q15" i="8"/>
  <c r="R15" i="8"/>
  <c r="D15" i="8"/>
  <c r="E15" i="8"/>
  <c r="F15" i="8"/>
  <c r="G15" i="8"/>
  <c r="C15" i="8"/>
  <c r="Q3" i="8"/>
  <c r="R3" i="8" s="1"/>
  <c r="Q4" i="8"/>
  <c r="Q5" i="8"/>
  <c r="Q6" i="8"/>
  <c r="Q7" i="8"/>
  <c r="Q8" i="8"/>
  <c r="Q9" i="8"/>
  <c r="Q10" i="8"/>
  <c r="R10" i="8" s="1"/>
  <c r="Q11" i="8"/>
  <c r="Q12" i="8"/>
  <c r="Q13" i="8"/>
  <c r="Q14" i="8"/>
  <c r="P3" i="8"/>
  <c r="P4" i="8"/>
  <c r="P5" i="8"/>
  <c r="R5" i="8" s="1"/>
  <c r="P6" i="8"/>
  <c r="P7" i="8"/>
  <c r="P8" i="8"/>
  <c r="P9" i="8"/>
  <c r="P10" i="8"/>
  <c r="P11" i="8"/>
  <c r="P12" i="8"/>
  <c r="P13" i="8"/>
  <c r="P14" i="8"/>
  <c r="R9" i="8"/>
  <c r="R6" i="8"/>
  <c r="R13" i="8"/>
  <c r="R14" i="8"/>
  <c r="R7" i="8"/>
  <c r="R8" i="8"/>
  <c r="F4" i="8"/>
  <c r="F5" i="8"/>
  <c r="F6" i="8"/>
  <c r="F7" i="8"/>
  <c r="F8" i="8"/>
  <c r="F9" i="8"/>
  <c r="F10" i="8"/>
  <c r="F11" i="8"/>
  <c r="F12" i="8"/>
  <c r="F13" i="8"/>
  <c r="F14" i="8"/>
  <c r="F3" i="8"/>
  <c r="C4" i="8"/>
  <c r="C5" i="8"/>
  <c r="C6" i="8"/>
  <c r="C7" i="8"/>
  <c r="C8" i="8"/>
  <c r="C9" i="8"/>
  <c r="C10" i="8"/>
  <c r="C11" i="8"/>
  <c r="C12" i="8"/>
  <c r="C13" i="8"/>
  <c r="C14" i="8"/>
  <c r="C3" i="8"/>
  <c r="C19" i="6"/>
  <c r="F4" i="6"/>
  <c r="F5" i="6"/>
  <c r="F7" i="6"/>
  <c r="F8" i="6"/>
  <c r="F10" i="6"/>
  <c r="F11" i="6"/>
  <c r="F12" i="6"/>
  <c r="F13" i="6"/>
  <c r="F14" i="6"/>
  <c r="F15" i="6"/>
  <c r="E4" i="6"/>
  <c r="E5" i="6"/>
  <c r="E6" i="6"/>
  <c r="E7" i="6"/>
  <c r="E8" i="6"/>
  <c r="E10" i="6"/>
  <c r="E11" i="6"/>
  <c r="E12" i="6"/>
  <c r="E13" i="6"/>
  <c r="E14" i="6"/>
  <c r="E15" i="6"/>
  <c r="E16" i="6"/>
  <c r="E18" i="6"/>
  <c r="D4" i="6"/>
  <c r="D5" i="6"/>
  <c r="D6" i="6"/>
  <c r="D7" i="6"/>
  <c r="D8" i="6"/>
  <c r="D10" i="6"/>
  <c r="D11" i="6"/>
  <c r="D12" i="6"/>
  <c r="D13" i="6"/>
  <c r="D14" i="6"/>
  <c r="D15" i="6"/>
  <c r="D16" i="6"/>
  <c r="D18" i="6"/>
  <c r="E3" i="6"/>
  <c r="D3" i="6"/>
  <c r="F3" i="6" s="1"/>
  <c r="H77" i="7"/>
  <c r="G77" i="7"/>
  <c r="H76" i="7"/>
  <c r="G76" i="7"/>
  <c r="H75" i="7"/>
  <c r="G75" i="7"/>
  <c r="I75" i="7" s="1"/>
  <c r="H74" i="7"/>
  <c r="G74" i="7"/>
  <c r="I74" i="7" s="1"/>
  <c r="H73" i="7"/>
  <c r="G73" i="7"/>
  <c r="H72" i="7"/>
  <c r="G72" i="7"/>
  <c r="H71" i="7"/>
  <c r="G71" i="7"/>
  <c r="I71" i="7" s="1"/>
  <c r="H70" i="7"/>
  <c r="G70" i="7"/>
  <c r="I70" i="7" s="1"/>
  <c r="H69" i="7"/>
  <c r="G69" i="7"/>
  <c r="H68" i="7"/>
  <c r="G68" i="7"/>
  <c r="H67" i="7"/>
  <c r="G67" i="7"/>
  <c r="I67" i="7" s="1"/>
  <c r="H66" i="7"/>
  <c r="G66" i="7"/>
  <c r="I66" i="7" s="1"/>
  <c r="H60" i="7"/>
  <c r="G60" i="7"/>
  <c r="I60" i="7" s="1"/>
  <c r="H59" i="7"/>
  <c r="G59" i="7"/>
  <c r="H58" i="7"/>
  <c r="G58" i="7"/>
  <c r="H57" i="7"/>
  <c r="G57" i="7"/>
  <c r="H56" i="7"/>
  <c r="G56" i="7"/>
  <c r="I56" i="7" s="1"/>
  <c r="H55" i="7"/>
  <c r="G55" i="7"/>
  <c r="H54" i="7"/>
  <c r="G54" i="7"/>
  <c r="H53" i="7"/>
  <c r="G53" i="7"/>
  <c r="I53" i="7" s="1"/>
  <c r="H52" i="7"/>
  <c r="G52" i="7"/>
  <c r="I52" i="7" s="1"/>
  <c r="H51" i="7"/>
  <c r="H62" i="7" s="1"/>
  <c r="G51" i="7"/>
  <c r="H50" i="7"/>
  <c r="G50" i="7"/>
  <c r="H49" i="7"/>
  <c r="I49" i="7" s="1"/>
  <c r="G49" i="7"/>
  <c r="H43" i="7"/>
  <c r="G43" i="7"/>
  <c r="H42" i="7"/>
  <c r="G42" i="7"/>
  <c r="H41" i="7"/>
  <c r="G41" i="7"/>
  <c r="I41" i="7" s="1"/>
  <c r="H40" i="7"/>
  <c r="G40" i="7"/>
  <c r="I40" i="7" s="1"/>
  <c r="H39" i="7"/>
  <c r="G39" i="7"/>
  <c r="I39" i="7" s="1"/>
  <c r="H38" i="7"/>
  <c r="I38" i="7" s="1"/>
  <c r="G38" i="7"/>
  <c r="H37" i="7"/>
  <c r="G37" i="7"/>
  <c r="I37" i="7" s="1"/>
  <c r="H36" i="7"/>
  <c r="G36" i="7"/>
  <c r="I36" i="7" s="1"/>
  <c r="H35" i="7"/>
  <c r="G35" i="7"/>
  <c r="I35" i="7" s="1"/>
  <c r="H34" i="7"/>
  <c r="H45" i="7" s="1"/>
  <c r="G34" i="7"/>
  <c r="H33" i="7"/>
  <c r="G33" i="7"/>
  <c r="I33" i="7" s="1"/>
  <c r="H32" i="7"/>
  <c r="G32" i="7"/>
  <c r="I32" i="7" s="1"/>
  <c r="I22" i="7"/>
  <c r="H15" i="7"/>
  <c r="H16" i="7"/>
  <c r="G22" i="7"/>
  <c r="G23" i="7"/>
  <c r="H22" i="7"/>
  <c r="H23" i="7"/>
  <c r="G15" i="7"/>
  <c r="G16" i="7"/>
  <c r="H26" i="7"/>
  <c r="G26" i="7"/>
  <c r="H25" i="7"/>
  <c r="G25" i="7"/>
  <c r="H24" i="7"/>
  <c r="G24" i="7"/>
  <c r="H21" i="7"/>
  <c r="G21" i="7"/>
  <c r="H20" i="7"/>
  <c r="G20" i="7"/>
  <c r="H19" i="7"/>
  <c r="G19" i="7"/>
  <c r="H18" i="7"/>
  <c r="G18" i="7"/>
  <c r="H17" i="7"/>
  <c r="G17" i="7"/>
  <c r="H4" i="7"/>
  <c r="H5" i="7"/>
  <c r="H6" i="7"/>
  <c r="H7" i="7"/>
  <c r="H8" i="7"/>
  <c r="H9" i="7"/>
  <c r="H10" i="7"/>
  <c r="H3" i="7"/>
  <c r="G4" i="7"/>
  <c r="I4" i="7" s="1"/>
  <c r="G5" i="7"/>
  <c r="I5" i="7" s="1"/>
  <c r="G6" i="7"/>
  <c r="I6" i="7" s="1"/>
  <c r="G7" i="7"/>
  <c r="I7" i="7" s="1"/>
  <c r="G8" i="7"/>
  <c r="I8" i="7" s="1"/>
  <c r="G9" i="7"/>
  <c r="I9" i="7" s="1"/>
  <c r="G10" i="7"/>
  <c r="I10" i="7" s="1"/>
  <c r="G3" i="7"/>
  <c r="F140" i="2"/>
  <c r="F163" i="2"/>
  <c r="F162" i="2"/>
  <c r="F161" i="2"/>
  <c r="F160" i="2"/>
  <c r="F159" i="2"/>
  <c r="F150" i="2"/>
  <c r="F151" i="2"/>
  <c r="F152" i="2"/>
  <c r="F153" i="2"/>
  <c r="F149" i="2"/>
  <c r="F148" i="2"/>
  <c r="F147" i="2"/>
  <c r="F146" i="2"/>
  <c r="F141" i="2"/>
  <c r="E137" i="2"/>
  <c r="F137" i="2" s="1"/>
  <c r="F133" i="2"/>
  <c r="F132" i="2"/>
  <c r="F131" i="2"/>
  <c r="F125" i="2"/>
  <c r="F124" i="2"/>
  <c r="F126" i="2"/>
  <c r="G113" i="2"/>
  <c r="H113" i="2"/>
  <c r="I113" i="2"/>
  <c r="G114" i="2"/>
  <c r="G115" i="2" s="1"/>
  <c r="H114" i="2"/>
  <c r="H115" i="2" s="1"/>
  <c r="F114" i="2"/>
  <c r="F113" i="2"/>
  <c r="G107" i="2"/>
  <c r="H107" i="2"/>
  <c r="H106" i="2"/>
  <c r="G106" i="2"/>
  <c r="G108" i="2" s="1"/>
  <c r="G99" i="2"/>
  <c r="G101" i="2" s="1"/>
  <c r="H99" i="2"/>
  <c r="I99" i="2"/>
  <c r="I101" i="2" s="1"/>
  <c r="J99" i="2"/>
  <c r="K99" i="2"/>
  <c r="G100" i="2"/>
  <c r="H100" i="2"/>
  <c r="I100" i="2"/>
  <c r="J100" i="2"/>
  <c r="P100" i="2" s="1"/>
  <c r="K100" i="2"/>
  <c r="K101" i="2" s="1"/>
  <c r="H91" i="2"/>
  <c r="I91" i="2"/>
  <c r="E92" i="2"/>
  <c r="F92" i="2"/>
  <c r="G92" i="2"/>
  <c r="H92" i="2"/>
  <c r="I92" i="2"/>
  <c r="I94" i="2" s="1"/>
  <c r="J92" i="2"/>
  <c r="J94" i="2" s="1"/>
  <c r="K92" i="2"/>
  <c r="L92" i="2"/>
  <c r="M92" i="2"/>
  <c r="N92" i="2"/>
  <c r="O92" i="2"/>
  <c r="L93" i="2"/>
  <c r="M93" i="2"/>
  <c r="P93" i="2" s="1"/>
  <c r="N93" i="2"/>
  <c r="O93" i="2"/>
  <c r="D92" i="2"/>
  <c r="E83" i="2"/>
  <c r="F83" i="2"/>
  <c r="G83" i="2"/>
  <c r="H83" i="2"/>
  <c r="I83" i="2"/>
  <c r="I86" i="2" s="1"/>
  <c r="J83" i="2"/>
  <c r="J86" i="2" s="1"/>
  <c r="K83" i="2"/>
  <c r="L83" i="2"/>
  <c r="M83" i="2"/>
  <c r="N83" i="2"/>
  <c r="O83" i="2"/>
  <c r="E84" i="2"/>
  <c r="F84" i="2"/>
  <c r="P84" i="2" s="1"/>
  <c r="G84" i="2"/>
  <c r="H84" i="2"/>
  <c r="I84" i="2"/>
  <c r="J84" i="2"/>
  <c r="K84" i="2"/>
  <c r="L84" i="2"/>
  <c r="M84" i="2"/>
  <c r="N84" i="2"/>
  <c r="O84" i="2"/>
  <c r="E85" i="2"/>
  <c r="F85" i="2"/>
  <c r="G85" i="2"/>
  <c r="H85" i="2"/>
  <c r="I85" i="2"/>
  <c r="J85" i="2"/>
  <c r="K85" i="2"/>
  <c r="K86" i="2" s="1"/>
  <c r="L85" i="2"/>
  <c r="M85" i="2"/>
  <c r="N85" i="2"/>
  <c r="O85" i="2"/>
  <c r="D84" i="2"/>
  <c r="D85" i="2"/>
  <c r="D83" i="2"/>
  <c r="J76" i="2"/>
  <c r="J78" i="2" s="1"/>
  <c r="J77" i="2"/>
  <c r="N77" i="2"/>
  <c r="N75" i="2"/>
  <c r="J75" i="2"/>
  <c r="G76" i="2"/>
  <c r="H76" i="2"/>
  <c r="I76" i="2"/>
  <c r="G77" i="2"/>
  <c r="G78" i="2" s="1"/>
  <c r="H77" i="2"/>
  <c r="H78" i="2" s="1"/>
  <c r="I77" i="2"/>
  <c r="H75" i="2"/>
  <c r="I75" i="2"/>
  <c r="G75" i="2"/>
  <c r="F67" i="2"/>
  <c r="F70" i="2" s="1"/>
  <c r="G67" i="2"/>
  <c r="H67" i="2"/>
  <c r="I67" i="2"/>
  <c r="I70" i="2" s="1"/>
  <c r="J67" i="2"/>
  <c r="K67" i="2"/>
  <c r="M67" i="2"/>
  <c r="N67" i="2"/>
  <c r="F68" i="2"/>
  <c r="G68" i="2"/>
  <c r="H68" i="2"/>
  <c r="J68" i="2"/>
  <c r="K68" i="2"/>
  <c r="G69" i="2"/>
  <c r="H69" i="2"/>
  <c r="I69" i="2"/>
  <c r="M69" i="2"/>
  <c r="J58" i="2"/>
  <c r="K58" i="2"/>
  <c r="L58" i="2"/>
  <c r="L62" i="2" s="1"/>
  <c r="M58" i="2"/>
  <c r="N58" i="2"/>
  <c r="O58" i="2"/>
  <c r="J59" i="2"/>
  <c r="K59" i="2"/>
  <c r="L59" i="2"/>
  <c r="M59" i="2"/>
  <c r="M62" i="2" s="1"/>
  <c r="N59" i="2"/>
  <c r="N62" i="2" s="1"/>
  <c r="O59" i="2"/>
  <c r="J60" i="2"/>
  <c r="K60" i="2"/>
  <c r="L60" i="2"/>
  <c r="M60" i="2"/>
  <c r="N60" i="2"/>
  <c r="O60" i="2"/>
  <c r="O62" i="2" s="1"/>
  <c r="D59" i="2"/>
  <c r="P59" i="2" s="1"/>
  <c r="E59" i="2"/>
  <c r="F59" i="2"/>
  <c r="G59" i="2"/>
  <c r="H59" i="2"/>
  <c r="I59" i="2"/>
  <c r="D60" i="2"/>
  <c r="E60" i="2"/>
  <c r="E62" i="2" s="1"/>
  <c r="F60" i="2"/>
  <c r="F62" i="2" s="1"/>
  <c r="G60" i="2"/>
  <c r="H60" i="2"/>
  <c r="I60" i="2"/>
  <c r="D61" i="2"/>
  <c r="E61" i="2"/>
  <c r="F61" i="2"/>
  <c r="G61" i="2"/>
  <c r="G62" i="2" s="1"/>
  <c r="H61" i="2"/>
  <c r="H62" i="2" s="1"/>
  <c r="I61" i="2"/>
  <c r="E58" i="2"/>
  <c r="F58" i="2"/>
  <c r="G58" i="2"/>
  <c r="H58" i="2"/>
  <c r="I58" i="2"/>
  <c r="D58" i="2"/>
  <c r="E50" i="2"/>
  <c r="E53" i="2" s="1"/>
  <c r="D44" i="2"/>
  <c r="D50" i="2"/>
  <c r="O108" i="2"/>
  <c r="N108" i="2"/>
  <c r="M108" i="2"/>
  <c r="L108" i="2"/>
  <c r="K108" i="2"/>
  <c r="J108" i="2"/>
  <c r="I108" i="2"/>
  <c r="H108" i="2"/>
  <c r="F108" i="2"/>
  <c r="E108" i="2"/>
  <c r="D108" i="2"/>
  <c r="P107" i="2"/>
  <c r="P106" i="2"/>
  <c r="P108" i="2" s="1"/>
  <c r="H51" i="2"/>
  <c r="H53" i="2" s="1"/>
  <c r="G51" i="2"/>
  <c r="G53" i="2" s="1"/>
  <c r="G52" i="2"/>
  <c r="F50" i="2"/>
  <c r="E51" i="2"/>
  <c r="F51" i="2"/>
  <c r="E52" i="2"/>
  <c r="F52" i="2"/>
  <c r="F53" i="2" s="1"/>
  <c r="D51" i="2"/>
  <c r="D53" i="2" s="1"/>
  <c r="D52" i="2"/>
  <c r="H44" i="2"/>
  <c r="E44" i="2"/>
  <c r="F44" i="2"/>
  <c r="G42" i="2"/>
  <c r="H42" i="2"/>
  <c r="I42" i="2"/>
  <c r="J42" i="2"/>
  <c r="K42" i="2"/>
  <c r="K45" i="2" s="1"/>
  <c r="L42" i="2"/>
  <c r="M42" i="2"/>
  <c r="N42" i="2"/>
  <c r="O42" i="2"/>
  <c r="G43" i="2"/>
  <c r="G45" i="2" s="1"/>
  <c r="H43" i="2"/>
  <c r="H45" i="2" s="1"/>
  <c r="I43" i="2"/>
  <c r="J43" i="2"/>
  <c r="K43" i="2"/>
  <c r="L43" i="2"/>
  <c r="M43" i="2"/>
  <c r="N43" i="2"/>
  <c r="O43" i="2"/>
  <c r="O45" i="2" s="1"/>
  <c r="E43" i="2"/>
  <c r="F43" i="2"/>
  <c r="F45" i="2" s="1"/>
  <c r="E42" i="2"/>
  <c r="F42" i="2"/>
  <c r="D42" i="2"/>
  <c r="D43" i="2"/>
  <c r="D45" i="2" s="1"/>
  <c r="P34" i="2"/>
  <c r="P13" i="2"/>
  <c r="P14" i="2"/>
  <c r="P15" i="2"/>
  <c r="P16" i="2"/>
  <c r="P17" i="2"/>
  <c r="P18" i="2"/>
  <c r="P19" i="2"/>
  <c r="P20" i="2"/>
  <c r="P21" i="2"/>
  <c r="P22" i="2"/>
  <c r="P23" i="2"/>
  <c r="P9" i="2"/>
  <c r="P10" i="2"/>
  <c r="P11" i="2"/>
  <c r="P12" i="2"/>
  <c r="P24" i="2"/>
  <c r="P25" i="2"/>
  <c r="P26" i="2"/>
  <c r="P27" i="2"/>
  <c r="P28" i="2"/>
  <c r="P29" i="2"/>
  <c r="O115" i="2"/>
  <c r="N115" i="2"/>
  <c r="M115" i="2"/>
  <c r="L115" i="2"/>
  <c r="K115" i="2"/>
  <c r="J115" i="2"/>
  <c r="I115" i="2"/>
  <c r="F115" i="2"/>
  <c r="E115" i="2"/>
  <c r="D115" i="2"/>
  <c r="P114" i="2"/>
  <c r="P113" i="2"/>
  <c r="P115" i="2" s="1"/>
  <c r="O101" i="2"/>
  <c r="N101" i="2"/>
  <c r="M101" i="2"/>
  <c r="L101" i="2"/>
  <c r="J101" i="2"/>
  <c r="H101" i="2"/>
  <c r="F101" i="2"/>
  <c r="E101" i="2"/>
  <c r="D101" i="2"/>
  <c r="O94" i="2"/>
  <c r="N94" i="2"/>
  <c r="M94" i="2"/>
  <c r="L94" i="2"/>
  <c r="K94" i="2"/>
  <c r="H94" i="2"/>
  <c r="G94" i="2"/>
  <c r="F94" i="2"/>
  <c r="E94" i="2"/>
  <c r="D94" i="2"/>
  <c r="P91" i="2"/>
  <c r="O86" i="2"/>
  <c r="N86" i="2"/>
  <c r="M86" i="2"/>
  <c r="L86" i="2"/>
  <c r="H86" i="2"/>
  <c r="G86" i="2"/>
  <c r="F86" i="2"/>
  <c r="E86" i="2"/>
  <c r="D86" i="2"/>
  <c r="O78" i="2"/>
  <c r="N78" i="2"/>
  <c r="M78" i="2"/>
  <c r="L78" i="2"/>
  <c r="K78" i="2"/>
  <c r="I78" i="2"/>
  <c r="F78" i="2"/>
  <c r="E78" i="2"/>
  <c r="D78" i="2"/>
  <c r="P77" i="2"/>
  <c r="P75" i="2"/>
  <c r="O70" i="2"/>
  <c r="N70" i="2"/>
  <c r="M70" i="2"/>
  <c r="L70" i="2"/>
  <c r="K70" i="2"/>
  <c r="J70" i="2"/>
  <c r="G70" i="2"/>
  <c r="E70" i="2"/>
  <c r="D70" i="2"/>
  <c r="P69" i="2"/>
  <c r="P68" i="2"/>
  <c r="K62" i="2"/>
  <c r="J62" i="2"/>
  <c r="I62" i="2"/>
  <c r="P61" i="2"/>
  <c r="P60" i="2"/>
  <c r="O53" i="2"/>
  <c r="N53" i="2"/>
  <c r="M53" i="2"/>
  <c r="L53" i="2"/>
  <c r="K53" i="2"/>
  <c r="J53" i="2"/>
  <c r="I53" i="2"/>
  <c r="P50" i="2"/>
  <c r="N45" i="2"/>
  <c r="M45" i="2"/>
  <c r="L45" i="2"/>
  <c r="I45" i="2"/>
  <c r="P44" i="2"/>
  <c r="P35" i="2"/>
  <c r="P33" i="2"/>
  <c r="P32" i="2"/>
  <c r="P31" i="2"/>
  <c r="P30" i="2"/>
  <c r="S68" i="8" l="1"/>
  <c r="S72" i="8"/>
  <c r="S70" i="8"/>
  <c r="S74" i="8"/>
  <c r="F79" i="8"/>
  <c r="R67" i="8"/>
  <c r="R79" i="8" s="1"/>
  <c r="S54" i="8"/>
  <c r="S58" i="8"/>
  <c r="S61" i="8"/>
  <c r="S56" i="8"/>
  <c r="S51" i="8"/>
  <c r="S55" i="8"/>
  <c r="F63" i="8"/>
  <c r="R51" i="8"/>
  <c r="R63" i="8" s="1"/>
  <c r="S38" i="8"/>
  <c r="F35" i="8"/>
  <c r="S35" i="8" s="1"/>
  <c r="S42" i="8"/>
  <c r="S46" i="8"/>
  <c r="S37" i="8"/>
  <c r="S41" i="8"/>
  <c r="S45" i="8"/>
  <c r="S40" i="8"/>
  <c r="S39" i="8"/>
  <c r="F47" i="8"/>
  <c r="R35" i="8"/>
  <c r="R47" i="8" s="1"/>
  <c r="F31" i="8"/>
  <c r="R19" i="8"/>
  <c r="R31" i="8" s="1"/>
  <c r="R12" i="8"/>
  <c r="R4" i="8"/>
  <c r="S4" i="8" s="1"/>
  <c r="R11" i="8"/>
  <c r="S11" i="8" s="1"/>
  <c r="S13" i="8"/>
  <c r="S5" i="8"/>
  <c r="S9" i="8"/>
  <c r="S14" i="8"/>
  <c r="S6" i="8"/>
  <c r="S12" i="8"/>
  <c r="S10" i="8"/>
  <c r="S8" i="8"/>
  <c r="S7" i="8"/>
  <c r="S3" i="8"/>
  <c r="F16" i="6"/>
  <c r="F18" i="6"/>
  <c r="D19" i="6"/>
  <c r="E19" i="6"/>
  <c r="F6" i="6"/>
  <c r="I72" i="7"/>
  <c r="I76" i="7"/>
  <c r="H79" i="7"/>
  <c r="I69" i="7"/>
  <c r="I77" i="7"/>
  <c r="G79" i="7"/>
  <c r="I73" i="7"/>
  <c r="I68" i="7"/>
  <c r="I54" i="7"/>
  <c r="I51" i="7"/>
  <c r="I55" i="7"/>
  <c r="I59" i="7"/>
  <c r="I57" i="7"/>
  <c r="I62" i="7" s="1"/>
  <c r="I58" i="7"/>
  <c r="I50" i="7"/>
  <c r="G62" i="7"/>
  <c r="I42" i="7"/>
  <c r="I43" i="7"/>
  <c r="G45" i="7"/>
  <c r="I34" i="7"/>
  <c r="I16" i="7"/>
  <c r="I23" i="7"/>
  <c r="I15" i="7"/>
  <c r="I20" i="7"/>
  <c r="I18" i="7"/>
  <c r="G12" i="7"/>
  <c r="H12" i="7"/>
  <c r="I3" i="7"/>
  <c r="I25" i="7"/>
  <c r="H28" i="7"/>
  <c r="G28" i="7"/>
  <c r="I26" i="7"/>
  <c r="I24" i="7"/>
  <c r="I19" i="7"/>
  <c r="I17" i="7"/>
  <c r="I21" i="7"/>
  <c r="I12" i="7"/>
  <c r="P99" i="2"/>
  <c r="P101" i="2" s="1"/>
  <c r="P67" i="2"/>
  <c r="P70" i="2" s="1"/>
  <c r="P58" i="2"/>
  <c r="P62" i="2" s="1"/>
  <c r="D62" i="2"/>
  <c r="D119" i="2" s="1"/>
  <c r="P52" i="2"/>
  <c r="P53" i="2" s="1"/>
  <c r="J45" i="2"/>
  <c r="J119" i="2" s="1"/>
  <c r="P42" i="2"/>
  <c r="P51" i="2"/>
  <c r="E45" i="2"/>
  <c r="E119" i="2" s="1"/>
  <c r="P83" i="2"/>
  <c r="P92" i="2"/>
  <c r="P43" i="2"/>
  <c r="H70" i="2"/>
  <c r="H119" i="2" s="1"/>
  <c r="P78" i="2"/>
  <c r="P76" i="2"/>
  <c r="P85" i="2"/>
  <c r="F134" i="2"/>
  <c r="P94" i="2"/>
  <c r="F154" i="2"/>
  <c r="F127" i="2"/>
  <c r="F119" i="2"/>
  <c r="G119" i="2"/>
  <c r="I119" i="2"/>
  <c r="K119" i="2"/>
  <c r="L119" i="2"/>
  <c r="M119" i="2"/>
  <c r="N119" i="2"/>
  <c r="O119" i="2"/>
  <c r="P8" i="2"/>
  <c r="S79" i="8" l="1"/>
  <c r="S67" i="8"/>
  <c r="S63" i="8"/>
  <c r="S47" i="8"/>
  <c r="F19" i="6"/>
  <c r="I79" i="7"/>
  <c r="I45" i="7"/>
  <c r="I28" i="7"/>
  <c r="P45" i="2"/>
  <c r="P86" i="2"/>
  <c r="P1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<sst xmlns="http://schemas.openxmlformats.org/spreadsheetml/2006/main" count="776" uniqueCount="182">
  <si>
    <t>SUELDOS</t>
  </si>
  <si>
    <t>ENE</t>
  </si>
  <si>
    <t>FEB</t>
  </si>
  <si>
    <t>MAR</t>
  </si>
  <si>
    <t>ABR</t>
  </si>
  <si>
    <t>MAYO</t>
  </si>
  <si>
    <t>JUN</t>
  </si>
  <si>
    <t>JUL</t>
  </si>
  <si>
    <t>AGO</t>
  </si>
  <si>
    <t>SEP</t>
  </si>
  <si>
    <t>OCT</t>
  </si>
  <si>
    <t>NOV</t>
  </si>
  <si>
    <t>DIC</t>
  </si>
  <si>
    <t>AÑO</t>
  </si>
  <si>
    <t>NUM</t>
  </si>
  <si>
    <t>PERSONAL</t>
  </si>
  <si>
    <t>Vida diaria</t>
  </si>
  <si>
    <t>Ene</t>
  </si>
  <si>
    <t>Feb</t>
  </si>
  <si>
    <t>Marzo</t>
  </si>
  <si>
    <t>Abril</t>
  </si>
  <si>
    <t>Mayo</t>
  </si>
  <si>
    <t>Junio</t>
  </si>
  <si>
    <t>Julio</t>
  </si>
  <si>
    <t>Ago</t>
  </si>
  <si>
    <t>Sept</t>
  </si>
  <si>
    <t>Oct</t>
  </si>
  <si>
    <t>Nov</t>
  </si>
  <si>
    <t>Dic</t>
  </si>
  <si>
    <t>Año</t>
  </si>
  <si>
    <t>Columna1</t>
  </si>
  <si>
    <t>Project Manager (PM)</t>
  </si>
  <si>
    <t>Product Owner (PO)</t>
  </si>
  <si>
    <t>Analista de Negocios</t>
  </si>
  <si>
    <t>Arquitecto de Software</t>
  </si>
  <si>
    <t>UI/UX Designer</t>
  </si>
  <si>
    <t>Diseñador Visual</t>
  </si>
  <si>
    <t>Desarrollador Backend</t>
  </si>
  <si>
    <t>Desarrollador Frontend</t>
  </si>
  <si>
    <t>Desarrollador Full-Stack</t>
  </si>
  <si>
    <t>DevOps Engineer</t>
  </si>
  <si>
    <t>QA (Quality Assurance)</t>
  </si>
  <si>
    <t>Tester</t>
  </si>
  <si>
    <t>Automated Test Engineer</t>
  </si>
  <si>
    <t>Ingeniero de Seguridad</t>
  </si>
  <si>
    <t>Especialista en Cumplimiento Normativo</t>
  </si>
  <si>
    <t>Analista de Riesgos de Seguridad</t>
  </si>
  <si>
    <t>Administrador de Sistemas</t>
  </si>
  <si>
    <t>Administrador de Bases de Datos (DBA)</t>
  </si>
  <si>
    <t>Cloud Engineer</t>
  </si>
  <si>
    <t>Soporte Técnico</t>
  </si>
  <si>
    <t>Administrador de Sistemas en Producción</t>
  </si>
  <si>
    <t>Mantenimiento de Software</t>
  </si>
  <si>
    <t>Data Scientist / Data Analyst</t>
  </si>
  <si>
    <t>Ingeniero de Datos</t>
  </si>
  <si>
    <t>Consultor Técnico</t>
  </si>
  <si>
    <t>Consultor de Negocios</t>
  </si>
  <si>
    <t>Especialista en Usabilidad</t>
  </si>
  <si>
    <t>Researcher (Investigador de Usuario)</t>
  </si>
  <si>
    <t>MESES DE DESARROLLO</t>
  </si>
  <si>
    <t xml:space="preserve"> Gestión del Proyecto</t>
  </si>
  <si>
    <t>Transporte</t>
  </si>
  <si>
    <t>Total</t>
  </si>
  <si>
    <t xml:space="preserve"> Arquitectura y Diseño</t>
  </si>
  <si>
    <t>Entretenimiento</t>
  </si>
  <si>
    <t>Desarrollo de Software</t>
  </si>
  <si>
    <t>Salud</t>
  </si>
  <si>
    <t xml:space="preserve">Gestión de la Calidad </t>
  </si>
  <si>
    <t>Vacaciones</t>
  </si>
  <si>
    <t xml:space="preserve"> Ciberseguridad</t>
  </si>
  <si>
    <t>Ocio</t>
  </si>
  <si>
    <t>Infraestructura y Operaciones</t>
  </si>
  <si>
    <t>Cuotas y suscripciones</t>
  </si>
  <si>
    <t>Soporte y Mantenimiento</t>
  </si>
  <si>
    <t>Personal</t>
  </si>
  <si>
    <t>Gestión de Datos y Análisis</t>
  </si>
  <si>
    <t>Obligaciones financieras</t>
  </si>
  <si>
    <t>Consultoría y Estrategia</t>
  </si>
  <si>
    <t>Pagos varios</t>
  </si>
  <si>
    <t>Gestión de la Experiencia del Usuario</t>
  </si>
  <si>
    <t>TOTALES</t>
  </si>
  <si>
    <t xml:space="preserve"> </t>
  </si>
  <si>
    <t>Gastos totales</t>
  </si>
  <si>
    <t>HARDWARE</t>
  </si>
  <si>
    <t>Cámaras de seguridad</t>
  </si>
  <si>
    <t>Precio Unitario</t>
  </si>
  <si>
    <t>Cantidad</t>
  </si>
  <si>
    <t>Precio total</t>
  </si>
  <si>
    <t>Cámaras avanzadas</t>
  </si>
  <si>
    <t>Sistemas de grabación (DVR/NVR)</t>
  </si>
  <si>
    <t>Instalación y configuración</t>
  </si>
  <si>
    <t>Dispositivos biométricos</t>
  </si>
  <si>
    <t>Lector de huellas</t>
  </si>
  <si>
    <t>Chequeo por Tarjeta Modulo</t>
  </si>
  <si>
    <t>Tarjeta de Chequeo</t>
  </si>
  <si>
    <t>Equipos de cómputo</t>
  </si>
  <si>
    <t>HP Pavilion Desktop</t>
  </si>
  <si>
    <t>PLATAFORMAS CLOUD</t>
  </si>
  <si>
    <t>Precio/mes</t>
  </si>
  <si>
    <t>Cantidad de meses</t>
  </si>
  <si>
    <t>AWS (30 TB al mes)</t>
  </si>
  <si>
    <t>Instalaciones</t>
  </si>
  <si>
    <t>Servicios</t>
  </si>
  <si>
    <t>Precio Por Mes</t>
  </si>
  <si>
    <t>Renta de Instalaciones</t>
  </si>
  <si>
    <t>Luz</t>
  </si>
  <si>
    <t>Agua</t>
  </si>
  <si>
    <t>Internet</t>
  </si>
  <si>
    <t>Personal de Limpieza</t>
  </si>
  <si>
    <t>Personal de Seguridad en Instalaciones</t>
  </si>
  <si>
    <t>Personal de Cocina</t>
  </si>
  <si>
    <t>Marketing</t>
  </si>
  <si>
    <t>Publicidad</t>
  </si>
  <si>
    <t>Clics y Equipos</t>
  </si>
  <si>
    <t>Equipo de publicidad</t>
  </si>
  <si>
    <t>Publicidad en Facebook</t>
  </si>
  <si>
    <t>Publicidad en Instagram</t>
  </si>
  <si>
    <t>Publicidad en Google</t>
  </si>
  <si>
    <t>servidor Fisico</t>
  </si>
  <si>
    <t>Tipo de inversión</t>
  </si>
  <si>
    <t>SOCIOS</t>
  </si>
  <si>
    <t>BANCOS</t>
  </si>
  <si>
    <t>GOBIERNO FEDERAL</t>
  </si>
  <si>
    <t>TOTAL</t>
  </si>
  <si>
    <t>Fija</t>
  </si>
  <si>
    <t>Subestación eléctrica</t>
  </si>
  <si>
    <t>Mobiliario y eq. oficina</t>
  </si>
  <si>
    <t>Sistemas de cómputo</t>
  </si>
  <si>
    <t>Otros equipos</t>
  </si>
  <si>
    <t>Papelería</t>
  </si>
  <si>
    <t>Diferida</t>
  </si>
  <si>
    <t>Gastos de organización</t>
  </si>
  <si>
    <t>Contratos varios</t>
  </si>
  <si>
    <t>Permisos varios</t>
  </si>
  <si>
    <t>Capacitación preoperativa</t>
  </si>
  <si>
    <t>Pruebas y arranque operativo</t>
  </si>
  <si>
    <t>Publicidad preoperativa</t>
  </si>
  <si>
    <t>Otros gastos preoperativos</t>
  </si>
  <si>
    <t>Circulante</t>
  </si>
  <si>
    <t>Capital de trabajo</t>
  </si>
  <si>
    <t>SUMA</t>
  </si>
  <si>
    <t>Período</t>
  </si>
  <si>
    <t>BANCO (%)</t>
  </si>
  <si>
    <t>GOBIERNO FEDERAL (%)</t>
  </si>
  <si>
    <t>Año 1</t>
  </si>
  <si>
    <t>Año 2</t>
  </si>
  <si>
    <t>Año 3</t>
  </si>
  <si>
    <t>Año 4</t>
  </si>
  <si>
    <t>Año 5</t>
  </si>
  <si>
    <t>Mes</t>
  </si>
  <si>
    <t>Usuarios Gratis</t>
  </si>
  <si>
    <t>Usuarios Premium</t>
  </si>
  <si>
    <t>Empresas con datos vendidos</t>
  </si>
  <si>
    <t>Ingreso Premium (149 c/u)</t>
  </si>
  <si>
    <t>Ingreso por venta de datos</t>
  </si>
  <si>
    <t>Ingreso Total</t>
  </si>
  <si>
    <t>Total Año 1</t>
  </si>
  <si>
    <t>Diciembre</t>
  </si>
  <si>
    <t>Noviembre</t>
  </si>
  <si>
    <t>Enero</t>
  </si>
  <si>
    <t>Febrero</t>
  </si>
  <si>
    <t>Agosto</t>
  </si>
  <si>
    <t>Septiembre</t>
  </si>
  <si>
    <t>Octubre</t>
  </si>
  <si>
    <t>Total Año 2</t>
  </si>
  <si>
    <t>Total Año 3</t>
  </si>
  <si>
    <t>Total Año 4</t>
  </si>
  <si>
    <t>Total Año 5</t>
  </si>
  <si>
    <t>Sueldo</t>
  </si>
  <si>
    <t>Total Ingresos</t>
  </si>
  <si>
    <t>Renta</t>
  </si>
  <si>
    <t>Total Egresos</t>
  </si>
  <si>
    <t>Diferencia (Ingreso - Egreso)</t>
  </si>
  <si>
    <t>Personal de Seguridad de Instalaciones</t>
  </si>
  <si>
    <t>Servidores</t>
  </si>
  <si>
    <t>Prestamo Bancario</t>
  </si>
  <si>
    <t>Prestamo Gobierno</t>
  </si>
  <si>
    <t>Distinct count of 'Mes'</t>
  </si>
  <si>
    <t>Distinct Count of Mes</t>
  </si>
  <si>
    <t>Sum of Empresas con datos vendidos</t>
  </si>
  <si>
    <t>Sum of Total Ingresos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</si>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</sst>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&quot;$&quot;#,##0;[Red]\-&quot;$&quot;#,##0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  <numFmt numFmtId="170" formatCode="#,##0.00\ &quot;€&quot;"/>
    <numFmt numFmtId="171" formatCode="_-[$$-80A]* #,##0.00_-;\-[$$-80A]* #,##0.00_-;_-[$$-80A]* &quot;-&quot;??_-;_-@_-"/>
    <numFmt numFmtId="185" formatCode="_-[$$-80A]* #,##0_-;\-[$$-80A]* #,##0_-;_-[$$-80A]* &quot;-&quot;??_-;_-@_-"/>
  </numFmts>
  <fonts count="36" x14ac:knownFonts="1">
    <font>
      <sz val="10"/>
      <color theme="1" tint="0.14993743705557422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0"/>
      <color theme="1" tint="0.14990691854609822"/>
      <name val="Gill Sans MT"/>
      <family val="2"/>
      <scheme val="major"/>
    </font>
    <font>
      <sz val="11"/>
      <color theme="1" tint="0.14993743705557422"/>
      <name val="Gill Sans MT"/>
      <family val="2"/>
      <scheme val="major"/>
    </font>
    <font>
      <sz val="22"/>
      <color theme="1" tint="0.14993743705557422"/>
      <name val="Gill Sans MT"/>
      <family val="2"/>
      <scheme val="major"/>
    </font>
    <font>
      <sz val="24"/>
      <color theme="1" tint="0.14993743705557422"/>
      <name val="Gill Sans MT"/>
      <family val="1"/>
      <scheme val="major"/>
    </font>
    <font>
      <sz val="11"/>
      <color theme="1" tint="0.34998626667073579"/>
      <name val="Gill Sans MT"/>
      <family val="2"/>
      <scheme val="major"/>
    </font>
    <font>
      <b/>
      <sz val="10"/>
      <color theme="4"/>
      <name val="Gill Sans MT"/>
      <family val="2"/>
      <scheme val="major"/>
    </font>
    <font>
      <sz val="10"/>
      <color theme="0"/>
      <name val="verdana"/>
      <family val="2"/>
      <scheme val="minor"/>
    </font>
    <font>
      <b/>
      <sz val="10"/>
      <color theme="5"/>
      <name val="Gill Sans MT"/>
      <family val="2"/>
      <scheme val="major"/>
    </font>
    <font>
      <b/>
      <sz val="10"/>
      <color theme="0"/>
      <name val="Gill Sans MT"/>
      <family val="2"/>
      <scheme val="major"/>
    </font>
    <font>
      <b/>
      <sz val="10"/>
      <color theme="4"/>
      <name val="verdana"/>
      <family val="2"/>
      <scheme val="minor"/>
    </font>
    <font>
      <b/>
      <sz val="10"/>
      <color theme="5"/>
      <name val="verdana"/>
      <family val="2"/>
      <scheme val="minor"/>
    </font>
    <font>
      <sz val="10"/>
      <color theme="1" tint="0.14993743705557422"/>
      <name val="verdana"/>
      <family val="2"/>
      <scheme val="minor"/>
    </font>
    <font>
      <sz val="18"/>
      <color theme="3"/>
      <name val="Gill Sans MT"/>
      <family val="2"/>
      <scheme val="maj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9"/>
      <color theme="5"/>
      <name val="Gill Sans MT"/>
      <family val="2"/>
      <scheme val="major"/>
    </font>
    <font>
      <b/>
      <sz val="9"/>
      <color theme="5"/>
      <name val="verdana"/>
      <family val="2"/>
      <scheme val="minor"/>
    </font>
    <font>
      <sz val="9"/>
      <color theme="3" tint="-0.24994659260841701"/>
      <name val="Gill Sans MT"/>
      <family val="2"/>
      <scheme val="major"/>
    </font>
    <font>
      <sz val="11"/>
      <color rgb="FF000000"/>
      <name val="Calibri"/>
    </font>
    <font>
      <sz val="11"/>
      <color theme="1" tint="0.34998626667073579"/>
      <name val="Gill Sans MT"/>
      <scheme val="major"/>
    </font>
    <font>
      <b/>
      <sz val="10"/>
      <color theme="4"/>
      <name val="Gill Sans MT"/>
      <scheme val="major"/>
    </font>
    <font>
      <b/>
      <sz val="10"/>
      <color theme="1" tint="0.14993743705557422"/>
      <name val="verdana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verdana"/>
      <family val="2"/>
      <scheme val="minor"/>
    </font>
  </fonts>
  <fills count="49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4472C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thick">
        <color theme="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5"/>
      </bottom>
      <diagonal/>
    </border>
  </borders>
  <cellStyleXfs count="51">
    <xf numFmtId="0" fontId="0" fillId="14" borderId="0">
      <alignment vertical="center"/>
    </xf>
    <xf numFmtId="0" fontId="4" fillId="0" borderId="0" applyNumberFormat="0" applyFill="0" applyProtection="0">
      <alignment vertical="center"/>
    </xf>
    <xf numFmtId="0" fontId="3" fillId="0" borderId="1" applyNumberFormat="0" applyFill="0" applyProtection="0">
      <alignment vertical="center"/>
    </xf>
    <xf numFmtId="0" fontId="2" fillId="6" borderId="0" applyNumberFormat="0" applyProtection="0">
      <alignment horizontal="left" vertical="center" indent="1"/>
    </xf>
    <xf numFmtId="0" fontId="2" fillId="2" borderId="0" applyNumberFormat="0" applyProtection="0">
      <alignment vertical="center"/>
    </xf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8" applyNumberFormat="0" applyAlignment="0" applyProtection="0"/>
    <xf numFmtId="0" fontId="19" fillId="19" borderId="9" applyNumberFormat="0" applyAlignment="0" applyProtection="0"/>
    <xf numFmtId="0" fontId="20" fillId="19" borderId="8" applyNumberFormat="0" applyAlignment="0" applyProtection="0"/>
    <xf numFmtId="0" fontId="21" fillId="0" borderId="10" applyNumberFormat="0" applyFill="0" applyAlignment="0" applyProtection="0"/>
    <xf numFmtId="0" fontId="22" fillId="20" borderId="11" applyNumberFormat="0" applyAlignment="0" applyProtection="0"/>
    <xf numFmtId="0" fontId="23" fillId="0" borderId="0" applyNumberFormat="0" applyFill="0" applyBorder="0" applyAlignment="0" applyProtection="0"/>
    <xf numFmtId="0" fontId="13" fillId="21" borderId="12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Border="0" applyProtection="0"/>
    <xf numFmtId="0" fontId="28" fillId="46" borderId="14"/>
    <xf numFmtId="0" fontId="29" fillId="0" borderId="0" applyFill="0" applyBorder="0"/>
    <xf numFmtId="0" fontId="29" fillId="4" borderId="0" applyNumberFormat="0" applyFont="0" applyFill="0" applyBorder="0" applyAlignment="0" applyProtection="0"/>
  </cellStyleXfs>
  <cellXfs count="72">
    <xf numFmtId="0" fontId="0" fillId="14" borderId="0" xfId="0">
      <alignment vertical="center"/>
    </xf>
    <xf numFmtId="0" fontId="0" fillId="14" borderId="0" xfId="0" applyAlignment="1">
      <alignment horizontal="right" vertical="center"/>
    </xf>
    <xf numFmtId="0" fontId="0" fillId="14" borderId="0" xfId="0" applyAlignment="1"/>
    <xf numFmtId="0" fontId="0" fillId="14" borderId="3" xfId="0" applyBorder="1" applyAlignment="1">
      <alignment horizontal="right" vertical="center"/>
    </xf>
    <xf numFmtId="0" fontId="0" fillId="14" borderId="3" xfId="0" applyBorder="1">
      <alignment vertical="center"/>
    </xf>
    <xf numFmtId="0" fontId="0" fillId="0" borderId="0" xfId="0" applyFill="1" applyAlignment="1">
      <alignment horizontal="right" vertical="center"/>
    </xf>
    <xf numFmtId="0" fontId="6" fillId="0" borderId="0" xfId="2" applyFont="1" applyFill="1" applyBorder="1" applyAlignment="1">
      <alignment horizontal="left" vertical="center" indent="1"/>
    </xf>
    <xf numFmtId="0" fontId="6" fillId="0" borderId="0" xfId="2" applyFont="1" applyFill="1" applyBorder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0" fillId="5" borderId="0" xfId="0" applyFill="1">
      <alignment vertical="center"/>
    </xf>
    <xf numFmtId="0" fontId="0" fillId="14" borderId="4" xfId="0" applyBorder="1">
      <alignment vertical="center"/>
    </xf>
    <xf numFmtId="0" fontId="0" fillId="14" borderId="5" xfId="0" applyBorder="1">
      <alignment vertical="center"/>
    </xf>
    <xf numFmtId="0" fontId="7" fillId="12" borderId="0" xfId="0" applyFont="1" applyFill="1" applyAlignment="1">
      <alignment horizontal="left" vertical="center" indent="1"/>
    </xf>
    <xf numFmtId="0" fontId="5" fillId="14" borderId="3" xfId="1" applyFont="1" applyFill="1" applyBorder="1" applyAlignment="1"/>
    <xf numFmtId="0" fontId="0" fillId="14" borderId="2" xfId="0" applyBorder="1" applyAlignment="1">
      <alignment horizontal="right" vertical="center"/>
    </xf>
    <xf numFmtId="170" fontId="0" fillId="12" borderId="0" xfId="0" applyNumberFormat="1" applyFill="1" applyAlignment="1">
      <alignment horizontal="right" vertical="center"/>
    </xf>
    <xf numFmtId="170" fontId="0" fillId="7" borderId="0" xfId="0" applyNumberFormat="1" applyFill="1" applyAlignment="1">
      <alignment horizontal="right" vertical="center"/>
    </xf>
    <xf numFmtId="170" fontId="0" fillId="0" borderId="0" xfId="0" applyNumberFormat="1" applyFill="1" applyAlignment="1">
      <alignment horizontal="right" vertical="center"/>
    </xf>
    <xf numFmtId="171" fontId="0" fillId="3" borderId="0" xfId="0" applyNumberFormat="1" applyFill="1" applyAlignment="1">
      <alignment horizontal="right" vertical="center"/>
    </xf>
    <xf numFmtId="171" fontId="0" fillId="0" borderId="0" xfId="0" applyNumberFormat="1" applyFill="1" applyAlignment="1">
      <alignment horizontal="right" vertical="center"/>
    </xf>
    <xf numFmtId="171" fontId="0" fillId="14" borderId="0" xfId="0" applyNumberFormat="1">
      <alignment vertical="center"/>
    </xf>
    <xf numFmtId="171" fontId="0" fillId="12" borderId="0" xfId="0" applyNumberFormat="1" applyFill="1" applyAlignment="1">
      <alignment horizontal="right" vertical="center"/>
    </xf>
    <xf numFmtId="171" fontId="0" fillId="8" borderId="0" xfId="0" applyNumberFormat="1" applyFill="1" applyAlignment="1">
      <alignment horizontal="right" vertical="center"/>
    </xf>
    <xf numFmtId="171" fontId="0" fillId="7" borderId="0" xfId="0" applyNumberFormat="1" applyFill="1" applyAlignment="1">
      <alignment horizontal="right" vertical="center"/>
    </xf>
    <xf numFmtId="171" fontId="9" fillId="0" borderId="0" xfId="0" applyNumberFormat="1" applyFont="1" applyFill="1" applyAlignment="1">
      <alignment horizontal="left" vertical="center" indent="1"/>
    </xf>
    <xf numFmtId="171" fontId="0" fillId="9" borderId="0" xfId="0" applyNumberFormat="1" applyFill="1" applyAlignment="1">
      <alignment horizontal="right" vertical="center"/>
    </xf>
    <xf numFmtId="171" fontId="0" fillId="7" borderId="6" xfId="0" applyNumberFormat="1" applyFill="1" applyBorder="1" applyAlignment="1">
      <alignment horizontal="left" vertical="center" indent="1"/>
    </xf>
    <xf numFmtId="171" fontId="0" fillId="13" borderId="0" xfId="0" applyNumberFormat="1" applyFill="1" applyAlignment="1">
      <alignment horizontal="right" vertical="center"/>
    </xf>
    <xf numFmtId="171" fontId="0" fillId="7" borderId="0" xfId="0" applyNumberFormat="1" applyFill="1" applyAlignment="1">
      <alignment horizontal="left" vertical="center" indent="1"/>
    </xf>
    <xf numFmtId="171" fontId="7" fillId="0" borderId="0" xfId="0" applyNumberFormat="1" applyFont="1" applyFill="1" applyAlignment="1">
      <alignment horizontal="left" vertical="center" indent="1"/>
    </xf>
    <xf numFmtId="171" fontId="11" fillId="0" borderId="0" xfId="0" applyNumberFormat="1" applyFont="1" applyFill="1" applyAlignment="1">
      <alignment horizontal="left" vertical="center" indent="1"/>
    </xf>
    <xf numFmtId="171" fontId="12" fillId="0" borderId="0" xfId="0" applyNumberFormat="1" applyFont="1" applyFill="1" applyAlignment="1">
      <alignment horizontal="left" vertical="center" indent="1"/>
    </xf>
    <xf numFmtId="171" fontId="0" fillId="7" borderId="7" xfId="0" applyNumberFormat="1" applyFill="1" applyBorder="1" applyAlignment="1">
      <alignment horizontal="left" vertical="center" indent="1"/>
    </xf>
    <xf numFmtId="171" fontId="10" fillId="10" borderId="0" xfId="3" applyNumberFormat="1" applyFont="1" applyFill="1">
      <alignment horizontal="left" vertical="center" indent="1"/>
    </xf>
    <xf numFmtId="171" fontId="10" fillId="11" borderId="0" xfId="3" applyNumberFormat="1" applyFont="1" applyFill="1" applyAlignment="1">
      <alignment horizontal="right" vertical="center"/>
    </xf>
    <xf numFmtId="171" fontId="10" fillId="10" borderId="0" xfId="3" applyNumberFormat="1" applyFont="1" applyFill="1" applyAlignment="1">
      <alignment horizontal="right" vertical="center"/>
    </xf>
    <xf numFmtId="171" fontId="8" fillId="10" borderId="0" xfId="0" applyNumberFormat="1" applyFont="1" applyFill="1" applyAlignment="1">
      <alignment horizontal="left" vertical="center" indent="1"/>
    </xf>
    <xf numFmtId="171" fontId="8" fillId="11" borderId="0" xfId="0" applyNumberFormat="1" applyFont="1" applyFill="1" applyAlignment="1">
      <alignment horizontal="right" vertical="center"/>
    </xf>
    <xf numFmtId="171" fontId="8" fillId="10" borderId="0" xfId="0" applyNumberFormat="1" applyFont="1" applyFill="1">
      <alignment vertical="center"/>
    </xf>
    <xf numFmtId="171" fontId="8" fillId="11" borderId="0" xfId="0" applyNumberFormat="1" applyFont="1" applyFill="1">
      <alignment vertical="center"/>
    </xf>
    <xf numFmtId="171" fontId="8" fillId="11" borderId="0" xfId="0" applyNumberFormat="1" applyFont="1" applyFill="1" applyAlignment="1">
      <alignment horizontal="right" vertical="center" wrapText="1"/>
    </xf>
    <xf numFmtId="0" fontId="30" fillId="47" borderId="0" xfId="0" applyFont="1" applyFill="1">
      <alignment vertical="center"/>
    </xf>
    <xf numFmtId="0" fontId="30" fillId="14" borderId="0" xfId="0" applyFont="1">
      <alignment vertical="center"/>
    </xf>
    <xf numFmtId="0" fontId="31" fillId="0" borderId="0" xfId="2" applyFont="1" applyFill="1" applyBorder="1" applyAlignment="1">
      <alignment horizontal="left" vertical="center" indent="1"/>
    </xf>
    <xf numFmtId="0" fontId="32" fillId="12" borderId="0" xfId="0" applyFont="1" applyFill="1" applyAlignment="1">
      <alignment horizontal="left" vertical="center" indent="1"/>
    </xf>
    <xf numFmtId="164" fontId="30" fillId="14" borderId="0" xfId="0" applyNumberFormat="1" applyFont="1" applyAlignment="1">
      <alignment vertical="center" wrapText="1"/>
    </xf>
    <xf numFmtId="0" fontId="30" fillId="0" borderId="0" xfId="0" applyFont="1" applyFill="1">
      <alignment vertical="center"/>
    </xf>
    <xf numFmtId="0" fontId="30" fillId="0" borderId="0" xfId="0" applyFont="1" applyFill="1" applyAlignment="1">
      <alignment vertical="center" wrapText="1"/>
    </xf>
    <xf numFmtId="166" fontId="30" fillId="0" borderId="0" xfId="0" applyNumberFormat="1" applyFont="1" applyFill="1">
      <alignment vertical="center"/>
    </xf>
    <xf numFmtId="171" fontId="0" fillId="14" borderId="0" xfId="0" applyNumberFormat="1">
      <alignment vertical="center"/>
    </xf>
    <xf numFmtId="171" fontId="0" fillId="12" borderId="0" xfId="0" applyNumberFormat="1" applyFill="1" applyAlignment="1">
      <alignment horizontal="center" vertical="center"/>
    </xf>
    <xf numFmtId="171" fontId="0" fillId="12" borderId="7" xfId="0" applyNumberFormat="1" applyFill="1" applyBorder="1" applyAlignment="1">
      <alignment horizontal="center" vertical="center"/>
    </xf>
    <xf numFmtId="0" fontId="5" fillId="14" borderId="0" xfId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4" borderId="0" xfId="0">
      <alignment vertical="center"/>
    </xf>
    <xf numFmtId="171" fontId="0" fillId="12" borderId="6" xfId="0" applyNumberFormat="1" applyFill="1" applyBorder="1" applyAlignment="1">
      <alignment horizontal="center" vertical="center"/>
    </xf>
    <xf numFmtId="0" fontId="33" fillId="14" borderId="0" xfId="0" applyFont="1" applyAlignment="1">
      <alignment horizontal="center" vertical="center" wrapText="1"/>
    </xf>
    <xf numFmtId="0" fontId="0" fillId="14" borderId="0" xfId="0" applyAlignment="1">
      <alignment vertical="center" wrapText="1"/>
    </xf>
    <xf numFmtId="0" fontId="33" fillId="14" borderId="0" xfId="0" applyFont="1" applyAlignment="1">
      <alignment vertical="center" wrapText="1"/>
    </xf>
    <xf numFmtId="6" fontId="0" fillId="14" borderId="0" xfId="0" applyNumberFormat="1">
      <alignment vertical="center"/>
    </xf>
    <xf numFmtId="6" fontId="0" fillId="14" borderId="0" xfId="0" applyNumberFormat="1" applyAlignment="1">
      <alignment vertical="center" wrapText="1"/>
    </xf>
    <xf numFmtId="6" fontId="33" fillId="14" borderId="0" xfId="0" applyNumberFormat="1" applyFont="1" applyAlignment="1">
      <alignment vertical="center" wrapText="1"/>
    </xf>
    <xf numFmtId="16" fontId="0" fillId="14" borderId="0" xfId="0" applyNumberFormat="1" applyAlignment="1">
      <alignment vertical="center" wrapText="1"/>
    </xf>
    <xf numFmtId="3" fontId="0" fillId="14" borderId="0" xfId="0" applyNumberFormat="1" applyAlignment="1">
      <alignment vertical="center" wrapText="1"/>
    </xf>
    <xf numFmtId="1" fontId="0" fillId="14" borderId="0" xfId="0" applyNumberFormat="1" applyAlignment="1">
      <alignment vertical="center" wrapText="1"/>
    </xf>
    <xf numFmtId="171" fontId="0" fillId="14" borderId="0" xfId="0" applyNumberFormat="1" applyAlignment="1">
      <alignment vertical="center" wrapText="1"/>
    </xf>
    <xf numFmtId="185" fontId="0" fillId="14" borderId="0" xfId="0" applyNumberFormat="1" applyAlignment="1">
      <alignment vertical="center" wrapText="1"/>
    </xf>
    <xf numFmtId="0" fontId="34" fillId="14" borderId="0" xfId="0" applyFont="1" applyAlignment="1">
      <alignment horizontal="left" vertical="center"/>
    </xf>
    <xf numFmtId="0" fontId="35" fillId="48" borderId="0" xfId="0" applyFont="1" applyFill="1">
      <alignment vertical="center"/>
    </xf>
    <xf numFmtId="0" fontId="0" fillId="14" borderId="0" xfId="0" pivotButton="1">
      <alignment vertical="center"/>
    </xf>
  </cellXfs>
  <cellStyles count="51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lumna 1 de la tabla" xfId="49" xr:uid="{1E872D0D-6D0E-4325-8BB0-2E7F4165231C}"/>
    <cellStyle name="Comma" xfId="5" builtinId="3" customBuiltin="1"/>
    <cellStyle name="Comma [0]" xfId="6" builtinId="6" customBuiltin="1"/>
    <cellStyle name="Currency" xfId="7" builtinId="4" customBuiltin="1"/>
    <cellStyle name="Currency [0]" xfId="8" builtinId="7" customBuiltin="1"/>
    <cellStyle name="EtiquetasInformaciónEmpleado" xfId="47" xr:uid="{53B0D031-F16F-4798-9BF1-AF25FD7209AC}"/>
    <cellStyle name="Explanatory Text" xfId="21" builtinId="53" customBuiltin="1"/>
    <cellStyle name="Good" xfId="11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 customBuiltin="1"/>
    <cellStyle name="InformaciónEmpleado" xfId="48" xr:uid="{DB0DEE43-57B0-4DF9-8AD8-6B9C8A095BCF}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9" builtinId="5" customBuiltin="1"/>
    <cellStyle name="Title" xfId="10" builtinId="15" customBuiltin="1"/>
    <cellStyle name="Total" xfId="22" builtinId="25" customBuiltin="1"/>
    <cellStyle name="Totales mensuales" xfId="50" xr:uid="{D9829DD1-EC26-4BE2-90A6-32ED8C4A6988}"/>
    <cellStyle name="Warning Text" xfId="19" builtinId="11" customBuiltin="1"/>
  </cellStyles>
  <dxfs count="565"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14993743705557422"/>
        <name val="verdana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numFmt numFmtId="10" formatCode="&quot;$&quot;#,##0;[Red]\-&quot;$&quot;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4"/>
        </left>
        <right/>
        <top/>
        <bottom/>
      </border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 tint="0.34998626667073579"/>
        </patternFill>
      </fill>
      <alignment horizontal="righ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family val="2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Gill Sans MT"/>
        <family val="2"/>
        <scheme val="major"/>
      </font>
      <numFmt numFmtId="171" formatCode="_-[$$-80A]* #,##0.00_-;\-[$$-80A]* #,##0.00_-;_-[$$-80A]* &quot;-&quot;??_-;_-@_-"/>
      <fill>
        <patternFill patternType="solid">
          <fgColor indexed="64"/>
          <bgColor theme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4"/>
        </left>
        <right/>
        <top/>
        <bottom/>
      </border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5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  <alignment horizontal="left" vertical="center" textRotation="0" wrapText="0" relativeIndent="1" justifyLastLine="0" shrinkToFit="0" readingOrder="0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ck">
          <color theme="5"/>
        </left>
        <right/>
        <top/>
        <bottom/>
      </border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numFmt numFmtId="171" formatCode="_-[$$-80A]* #,##0.00_-;\-[$$-80A]* #,##0.00_-;_-[$$-80A]* &quot;-&quot;??_-;_-@_-"/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numFmt numFmtId="171" formatCode="_-[$$-80A]* #,##0.00_-;\-[$$-80A]* #,##0.00_-;_-[$$-80A]* &quot;-&quot;??_-;_-@_-"/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</dxf>
    <dxf>
      <numFmt numFmtId="171" formatCode="_-[$$-80A]* #,##0.00_-;\-[$$-80A]* #,##0.00_-;_-[$$-80A]* &quot;-&quot;??_-;_-@_-"/>
      <fill>
        <patternFill patternType="solid">
          <fgColor indexed="64"/>
          <bgColor theme="4" tint="0.59999389629810485"/>
        </patternFill>
      </fill>
      <alignment horizontal="right" vertical="center" textRotation="0" wrapText="0" indent="0" justifyLastLine="0" shrinkToFit="0" readingOrder="0"/>
    </dxf>
    <dxf>
      <numFmt numFmtId="171" formatCode="_-[$$-80A]* #,##0.00_-;\-[$$-80A]* #,##0.00_-;_-[$$-80A]* &quot;-&quot;??_-;_-@_-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bgColor auto="1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color theme="6" tint="-0.499984740745262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 val="0"/>
        <i val="0"/>
        <color theme="6" tint="-0.499984740745262"/>
      </font>
      <border>
        <top style="thin">
          <color theme="6" tint="-0.24994659260841701"/>
        </top>
      </border>
    </dxf>
    <dxf>
      <font>
        <b val="0"/>
        <i val="0"/>
        <color theme="6" tint="-0.499984740745262"/>
      </font>
      <border>
        <bottom style="thin">
          <color theme="6" tint="-0.24994659260841701"/>
        </bottom>
      </border>
    </dxf>
    <dxf>
      <font>
        <b val="0"/>
        <i val="0"/>
        <color theme="6" tint="-0.499984740745262"/>
      </font>
      <border>
        <top style="thin">
          <color theme="6" tint="-0.24994659260841701"/>
        </top>
        <bottom style="thin">
          <color theme="6" tint="-0.24994659260841701"/>
        </bottom>
      </border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color theme="5" tint="-0.499984740745262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  <color theme="5" tint="-0.499984740745262"/>
      </font>
    </dxf>
    <dxf>
      <font>
        <b val="0"/>
        <i val="0"/>
        <color theme="5" tint="-0.499984740745262"/>
      </font>
      <border>
        <top style="thin">
          <color theme="5" tint="-0.24994659260841701"/>
        </top>
      </border>
    </dxf>
    <dxf>
      <font>
        <b val="0"/>
        <i val="0"/>
        <color theme="5" tint="-0.499984740745262"/>
      </font>
      <border>
        <bottom style="thin">
          <color theme="5" tint="-0.24994659260841701"/>
        </bottom>
      </border>
    </dxf>
    <dxf>
      <font>
        <b val="0"/>
        <i val="0"/>
        <color theme="5" tint="-0.499984740745262"/>
      </font>
      <border>
        <top style="thin">
          <color theme="5" tint="-0.24994659260841701"/>
        </top>
        <bottom style="thin">
          <color theme="5" tint="-0.24994659260841701"/>
        </bottom>
      </border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>
          <bgColor theme="4" tint="0.79998168889431442"/>
        </patternFill>
      </fill>
    </dxf>
    <dxf>
      <font>
        <b val="0"/>
        <i val="0"/>
        <color theme="4" tint="-0.499984740745262"/>
      </font>
      <fill>
        <patternFill patternType="solid">
          <fgColor theme="4" tint="0.79995117038483843"/>
          <bgColor theme="4" tint="0.79998168889431442"/>
        </patternFill>
      </fill>
    </dxf>
    <dxf>
      <font>
        <b/>
        <i val="0"/>
        <color theme="4" tint="-0.499984740745262"/>
      </font>
      <fill>
        <patternFill>
          <bgColor theme="4" tint="0.79998168889431442"/>
        </patternFill>
      </fill>
    </dxf>
    <dxf>
      <font>
        <b/>
        <i val="0"/>
        <color theme="4" tint="-0.499984740745262"/>
      </font>
    </dxf>
    <dxf>
      <font>
        <b val="0"/>
        <i val="0"/>
        <color theme="4" tint="-0.499984740745262"/>
      </font>
      <fill>
        <patternFill patternType="none">
          <bgColor auto="1"/>
        </patternFill>
      </fill>
      <border>
        <top style="thin">
          <color theme="4" tint="-0.24994659260841701"/>
        </top>
      </border>
    </dxf>
    <dxf>
      <border diagonalUp="0" diagonalDown="0">
        <left/>
        <right/>
        <top/>
        <bottom style="thin">
          <color theme="4" tint="-0.499984740745262"/>
        </bottom>
        <vertical/>
        <horizontal/>
      </border>
    </dxf>
    <dxf>
      <font>
        <b val="0"/>
        <i val="0"/>
        <color theme="4" tint="-0.499984740745262"/>
      </font>
      <border>
        <top style="thin">
          <color theme="4" tint="-0.24994659260841701"/>
        </top>
        <bottom style="thin">
          <color theme="4" tint="-0.24994659260841701"/>
        </bottom>
      </border>
    </dxf>
  </dxfs>
  <tableStyles count="3" defaultPivotStyle="PivotStyleLight16">
    <tableStyle name="Presupuesto personal - ingresos" pivot="0" count="9" xr9:uid="{00000000-0011-0000-FFFF-FFFF00000000}">
      <tableStyleElement type="wholeTable" dxfId="564"/>
      <tableStyleElement type="headerRow" dxfId="563"/>
      <tableStyleElement type="totalRow" dxfId="562"/>
      <tableStyleElement type="firstColumn" dxfId="561"/>
      <tableStyleElement type="lastColumn" dxfId="560"/>
      <tableStyleElement type="firstRowStripe" dxfId="559"/>
      <tableStyleElement type="firstColumnStripe" dxfId="558"/>
      <tableStyleElement type="firstTotalCell" dxfId="557"/>
      <tableStyleElement type="lastTotalCell" dxfId="556"/>
    </tableStyle>
    <tableStyle name="Presupuesto personal - gastos" pivot="0" count="9" xr9:uid="{00000000-0011-0000-FFFF-FFFF01000000}">
      <tableStyleElement type="wholeTable" dxfId="555"/>
      <tableStyleElement type="headerRow" dxfId="554"/>
      <tableStyleElement type="totalRow" dxfId="553"/>
      <tableStyleElement type="firstColumn" dxfId="552"/>
      <tableStyleElement type="lastColumn" dxfId="551"/>
      <tableStyleElement type="firstRowStripe" dxfId="550"/>
      <tableStyleElement type="firstColumnStripe" dxfId="549"/>
      <tableStyleElement type="firstTotalCell" dxfId="548"/>
      <tableStyleElement type="lastTotalCell" dxfId="547"/>
    </tableStyle>
    <tableStyle name="Presupuesto personal: total" pivot="0" count="9" xr9:uid="{00000000-0011-0000-FFFF-FFFF02000000}">
      <tableStyleElement type="wholeTable" dxfId="546"/>
      <tableStyleElement type="headerRow" dxfId="545"/>
      <tableStyleElement type="totalRow" dxfId="544"/>
      <tableStyleElement type="firstColumn" dxfId="543"/>
      <tableStyleElement type="lastColumn" dxfId="542"/>
      <tableStyleElement type="firstRowStripe" dxfId="541"/>
      <tableStyleElement type="firstColumnStripe" dxfId="540"/>
      <tableStyleElement type="firstTotalCell" dxfId="539"/>
      <tableStyleElement type="lastTotalCell" dxfId="538"/>
    </tableStyle>
  </tableStyles>
  <colors>
    <mruColors>
      <color rgb="FFF7F7F7"/>
      <color rgb="FFF3F8FF"/>
      <color rgb="FFE6F8FA"/>
      <color rgb="FFEFF5FF"/>
      <color rgb="FFD6E8F6"/>
      <color rgb="FFE6E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1</xdr:row>
      <xdr:rowOff>95250</xdr:rowOff>
    </xdr:from>
    <xdr:to>
      <xdr:col>2</xdr:col>
      <xdr:colOff>3505200</xdr:colOff>
      <xdr:row>2</xdr:row>
      <xdr:rowOff>66675</xdr:rowOff>
    </xdr:to>
    <xdr:sp macro="" textlink="">
      <xdr:nvSpPr>
        <xdr:cNvPr id="6" name="CuadroDeTexto 1">
          <a:extLst>
            <a:ext uri="{FF2B5EF4-FFF2-40B4-BE49-F238E27FC236}">
              <a16:creationId xmlns:a16="http://schemas.microsoft.com/office/drawing/2014/main" id="{AA15BB08-18AE-42C0-B527-69E3FB91AB9D}"/>
            </a:ext>
          </a:extLst>
        </xdr:cNvPr>
        <xdr:cNvSpPr txBox="1"/>
      </xdr:nvSpPr>
      <xdr:spPr>
        <a:xfrm>
          <a:off x="342900" y="257175"/>
          <a:ext cx="3800475" cy="419100"/>
        </a:xfrm>
        <a:prstGeom prst="rect">
          <a:avLst/>
        </a:prstGeom>
        <a:solidFill>
          <a:srgbClr val="F7F7F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2500" b="1">
              <a:solidFill>
                <a:schemeClr val="tx1"/>
              </a:solidFill>
              <a:latin typeface="Gill Sans MT" panose="020B0502020104020203" pitchFamily="34" charset="0"/>
            </a:rPr>
            <a:t>PRESUPUE</a:t>
          </a:r>
          <a:r>
            <a:rPr lang="en-US" sz="2500" b="1" i="0" u="none" strike="noStrike">
              <a:solidFill>
                <a:schemeClr val="tx1"/>
              </a:solidFill>
              <a:latin typeface="Gill Sans MT" panose="020B0502020104020203" pitchFamily="34" charset="0"/>
            </a:rPr>
            <a:t>STO DE FASE 1</a:t>
          </a:r>
        </a:p>
      </xdr:txBody>
    </xdr:sp>
    <xdr:clientData/>
  </xdr:twoCellAnchor>
  <xdr:twoCellAnchor editAs="absolute">
    <xdr:from>
      <xdr:col>13</xdr:col>
      <xdr:colOff>836215</xdr:colOff>
      <xdr:row>1</xdr:row>
      <xdr:rowOff>188141</xdr:rowOff>
    </xdr:from>
    <xdr:to>
      <xdr:col>14</xdr:col>
      <xdr:colOff>702468</xdr:colOff>
      <xdr:row>2</xdr:row>
      <xdr:rowOff>9526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A1EDBFD-97BB-43C2-8762-9C622E1F5ACD}"/>
            </a:ext>
            <a:ext uri="{147F2762-F138-4A5C-976F-8EAC2B608ADB}">
              <a16:predDERef xmlns:a16="http://schemas.microsoft.com/office/drawing/2014/main" pred="{AA15BB08-18AE-42C0-B527-69E3FB91AB9D}"/>
            </a:ext>
          </a:extLst>
        </xdr:cNvPr>
        <xdr:cNvSpPr/>
      </xdr:nvSpPr>
      <xdr:spPr>
        <a:xfrm flipH="1">
          <a:off x="16317515" y="350066"/>
          <a:ext cx="933053" cy="2690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</a:rPr>
            <a:t>20</a:t>
          </a:r>
          <a:r>
            <a:rPr lang="en-US" sz="1200" b="1" i="0" u="none" strike="noStrike">
              <a:solidFill>
                <a:schemeClr val="lt1"/>
              </a:solidFill>
              <a:latin typeface="verdana" panose="020B0604030504040204" pitchFamily="34" charset="0"/>
              <a:ea typeface="verdana" panose="020B0604030504040204" pitchFamily="34" charset="0"/>
            </a:rPr>
            <a:t>25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11.43667210648" createdVersion="8" refreshedVersion="8" minRefreshableVersion="3" recordCount="13" xr:uid="{EC7C05C9-17DC-4FF9-8C6C-309DA5503E0B}">
  <cacheSource type="worksheet">
    <worksheetSource name="Table8"/>
  </cacheSource>
  <cacheFields count="18">
    <cacheField name="Mes" numFmtId="0">
      <sharedItems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s v="Total Año 1"/>
      </sharedItems>
    </cacheField>
    <cacheField name="Sueldo" numFmtId="6">
      <sharedItems containsSemiMixedTypes="0" containsString="0" containsNumber="1" containsInteger="1" minValue="420000" maxValue="5040000"/>
    </cacheField>
    <cacheField name="Usuarios Premium" numFmtId="6">
      <sharedItems containsSemiMixedTypes="0" containsString="0" containsNumber="1" containsInteger="1" minValue="0" maxValue="49021"/>
    </cacheField>
    <cacheField name="Empresas con datos vendidos" numFmtId="6">
      <sharedItems containsSemiMixedTypes="0" containsString="0" containsNumber="1" containsInteger="1" minValue="0" maxValue="2420000"/>
    </cacheField>
    <cacheField name="Total Ingresos" numFmtId="6">
      <sharedItems containsSemiMixedTypes="0" containsString="0" containsNumber="1" containsInteger="1" minValue="0" maxValue="2469021"/>
    </cacheField>
    <cacheField name="Renta" numFmtId="6">
      <sharedItems containsSemiMixedTypes="0" containsString="0" containsNumber="1" containsInteger="1" minValue="25000" maxValue="300000"/>
    </cacheField>
    <cacheField name="Agua" numFmtId="0">
      <sharedItems containsSemiMixedTypes="0" containsString="0" containsNumber="1" containsInteger="1" minValue="12043" maxValue="144516"/>
    </cacheField>
    <cacheField name="Luz" numFmtId="0">
      <sharedItems containsSemiMixedTypes="0" containsString="0" containsNumber="1" containsInteger="1" minValue="17890" maxValue="214680"/>
    </cacheField>
    <cacheField name="Internet" numFmtId="0">
      <sharedItems containsSemiMixedTypes="0" containsString="0" containsNumber="1" containsInteger="1" minValue="1300" maxValue="15600"/>
    </cacheField>
    <cacheField name="Personal de Limpieza" numFmtId="0">
      <sharedItems containsSemiMixedTypes="0" containsString="0" containsNumber="1" containsInteger="1" minValue="28000" maxValue="336000"/>
    </cacheField>
    <cacheField name="Personal de Seguridad de Instalaciones" numFmtId="0">
      <sharedItems containsSemiMixedTypes="0" containsString="0" containsNumber="1" containsInteger="1" minValue="42600" maxValue="511200"/>
    </cacheField>
    <cacheField name="Personal de Cocina" numFmtId="0">
      <sharedItems containsSemiMixedTypes="0" containsString="0" containsNumber="1" containsInteger="1" minValue="14800" maxValue="177600"/>
    </cacheField>
    <cacheField name="Publicidad" numFmtId="6">
      <sharedItems containsSemiMixedTypes="0" containsString="0" containsNumber="1" containsInteger="1" minValue="0" maxValue="240000"/>
    </cacheField>
    <cacheField name="Servidores" numFmtId="6">
      <sharedItems containsSemiMixedTypes="0" containsString="0" containsNumber="1" containsInteger="1" minValue="54000" maxValue="648000"/>
    </cacheField>
    <cacheField name="Prestamo Bancario" numFmtId="6">
      <sharedItems containsSemiMixedTypes="0" containsString="0" containsNumber="1" minValue="17120.383333333335" maxValue="205444.6"/>
    </cacheField>
    <cacheField name="Prestamo Gobierno" numFmtId="6">
      <sharedItems containsSemiMixedTypes="0" containsString="0" containsNumber="1" minValue="68481.53333333334" maxValue="821778.4"/>
    </cacheField>
    <cacheField name="Total Egresos" numFmtId="6">
      <sharedItems containsSemiMixedTypes="0" containsString="0" containsNumber="1" minValue="701234.91666666674" maxValue="8654819.0000000019"/>
    </cacheField>
    <cacheField name="Diferencia (Ingreso - Egreso)" numFmtId="6">
      <sharedItems containsSemiMixedTypes="0" containsString="0" containsNumber="1" minValue="-6185798.0000000019" maxValue="-11334.9166666667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420000"/>
    <n v="0"/>
    <n v="0"/>
    <n v="0"/>
    <n v="25000"/>
    <n v="12043"/>
    <n v="17890"/>
    <n v="1300"/>
    <n v="28000"/>
    <n v="42600"/>
    <n v="14800"/>
    <n v="0"/>
    <n v="54000"/>
    <n v="17120.383333333335"/>
    <n v="68481.53333333334"/>
    <n v="701234.91666666674"/>
    <n v="-701234.91666666674"/>
  </r>
  <r>
    <x v="1"/>
    <n v="420000"/>
    <n v="0"/>
    <n v="0"/>
    <n v="0"/>
    <n v="25000"/>
    <n v="12043"/>
    <n v="17890"/>
    <n v="1300"/>
    <n v="28000"/>
    <n v="42600"/>
    <n v="14800"/>
    <n v="0"/>
    <n v="54000"/>
    <n v="17120.383333333335"/>
    <n v="68481.53333333334"/>
    <n v="701234.91666666674"/>
    <n v="-701234.91666666674"/>
  </r>
  <r>
    <x v="2"/>
    <n v="420000"/>
    <n v="0"/>
    <n v="0"/>
    <n v="0"/>
    <n v="25000"/>
    <n v="12043"/>
    <n v="17890"/>
    <n v="1300"/>
    <n v="28000"/>
    <n v="42600"/>
    <n v="14800"/>
    <n v="0"/>
    <n v="54000"/>
    <n v="17120.383333333335"/>
    <n v="68481.53333333334"/>
    <n v="701234.91666666674"/>
    <n v="-701234.91666666674"/>
  </r>
  <r>
    <x v="3"/>
    <n v="420000"/>
    <n v="0"/>
    <n v="0"/>
    <n v="0"/>
    <n v="25000"/>
    <n v="12043"/>
    <n v="17890"/>
    <n v="1300"/>
    <n v="28000"/>
    <n v="42600"/>
    <n v="14800"/>
    <n v="0"/>
    <n v="54000"/>
    <n v="17120.383333333335"/>
    <n v="68481.53333333334"/>
    <n v="701234.91666666674"/>
    <n v="-701234.91666666674"/>
  </r>
  <r>
    <x v="4"/>
    <n v="420000"/>
    <n v="0"/>
    <n v="0"/>
    <n v="0"/>
    <n v="25000"/>
    <n v="12043"/>
    <n v="17890"/>
    <n v="1300"/>
    <n v="28000"/>
    <n v="42600"/>
    <n v="14800"/>
    <n v="0"/>
    <n v="54000"/>
    <n v="17120.383333333335"/>
    <n v="68481.53333333334"/>
    <n v="701234.91666666674"/>
    <n v="-701234.91666666674"/>
  </r>
  <r>
    <x v="5"/>
    <n v="420000"/>
    <n v="1490"/>
    <n v="55000"/>
    <n v="56490"/>
    <n v="25000"/>
    <n v="12043"/>
    <n v="17890"/>
    <n v="1300"/>
    <n v="28000"/>
    <n v="42600"/>
    <n v="14800"/>
    <n v="0"/>
    <n v="54000"/>
    <n v="17120.383333333335"/>
    <n v="68481.53333333334"/>
    <n v="701234.91666666674"/>
    <n v="-644744.91666666674"/>
  </r>
  <r>
    <x v="6"/>
    <n v="420000"/>
    <n v="3725"/>
    <n v="165000"/>
    <n v="168725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572509.91666666674"/>
  </r>
  <r>
    <x v="7"/>
    <n v="420000"/>
    <n v="4470"/>
    <n v="220000"/>
    <n v="224470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516764.91666666674"/>
  </r>
  <r>
    <x v="8"/>
    <n v="420000"/>
    <n v="6705"/>
    <n v="275000"/>
    <n v="281705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459529.91666666674"/>
  </r>
  <r>
    <x v="9"/>
    <n v="420000"/>
    <n v="7450"/>
    <n v="440000"/>
    <n v="447450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293784.91666666674"/>
  </r>
  <r>
    <x v="10"/>
    <n v="420000"/>
    <n v="10281"/>
    <n v="550000"/>
    <n v="560281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180953.91666666674"/>
  </r>
  <r>
    <x v="11"/>
    <n v="420000"/>
    <n v="14900"/>
    <n v="715000"/>
    <n v="729900"/>
    <n v="25000"/>
    <n v="12043"/>
    <n v="17890"/>
    <n v="1300"/>
    <n v="28000"/>
    <n v="42600"/>
    <n v="14800"/>
    <n v="40000"/>
    <n v="54000"/>
    <n v="17120.383333333335"/>
    <n v="68481.53333333334"/>
    <n v="741234.91666666674"/>
    <n v="-11334.916666666744"/>
  </r>
  <r>
    <x v="12"/>
    <n v="5040000"/>
    <n v="49021"/>
    <n v="2420000"/>
    <n v="2469021"/>
    <n v="300000"/>
    <n v="144516"/>
    <n v="214680"/>
    <n v="15600"/>
    <n v="336000"/>
    <n v="511200"/>
    <n v="177600"/>
    <n v="240000"/>
    <n v="648000"/>
    <n v="205444.6"/>
    <n v="821778.4"/>
    <n v="8654819.0000000019"/>
    <n v="-6185798.0000000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1AF69-5D24-409C-AB68-438B14D22DA5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6" firstHeaderRow="0" firstDataRow="1" firstDataCol="1"/>
  <pivotFields count="18">
    <pivotField axis="axisRow" compact="0" outline="0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6" outline="0" showAll="0"/>
    <pivotField compact="0" numFmtId="6" outline="0" showAll="0"/>
    <pivotField dataField="1" compact="0" numFmtId="6" outline="0" showAll="0"/>
    <pivotField dataField="1" compact="0" numFmtId="6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6" outline="0" showAll="0"/>
    <pivotField compact="0" numFmtId="6" outline="0" showAll="0"/>
    <pivotField compact="0" numFmtId="6" outline="0" showAll="0"/>
    <pivotField compact="0" numFmtId="6" outline="0" showAll="0"/>
    <pivotField compact="0" numFmtId="6" outline="0" showAll="0"/>
  </pivotFields>
  <rowFields count="1">
    <field x="0"/>
  </rowFields>
  <rowItems count="14">
    <i>
      <x v="12"/>
    </i>
    <i>
      <x v="11"/>
    </i>
    <i>
      <x v="10"/>
    </i>
    <i>
      <x v="9"/>
    </i>
    <i>
      <x v="8"/>
    </i>
    <i>
      <x v="7"/>
    </i>
    <i>
      <x v="6"/>
    </i>
    <i>
      <x v="5"/>
    </i>
    <i>
      <x/>
    </i>
    <i>
      <x v="4"/>
    </i>
    <i>
      <x v="2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resas con datos vendidos" fld="3" baseField="0" baseItem="0" numFmtId="6"/>
    <dataField name="Sum of Total Ingresos" fld="4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F3B0F93-86BC-4B0E-8718-47568E29DB14}" name="tblDaily42" displayName="tblDaily42" ref="C7:Q36" totalsRowCount="1" headerRowDxfId="537" dataDxfId="536" totalsRowDxfId="535">
  <autoFilter ref="C7:Q35" xr:uid="{00000000-0009-0000-0100-000003000000}"/>
  <tableColumns count="15">
    <tableColumn id="1" xr3:uid="{702FC22F-766F-4589-9E44-7FB69C241C95}" name="Vida diaria" totalsRowDxfId="534"/>
    <tableColumn id="2" xr3:uid="{1DED8A20-65A0-4034-AEF7-6672FF869B64}" name="Ene" dataDxfId="533" totalsRowDxfId="532"/>
    <tableColumn id="3" xr3:uid="{4C25CE7F-EFD4-4EDF-ACBC-A4C364B8A5F7}" name="Feb" dataDxfId="531" totalsRowDxfId="530"/>
    <tableColumn id="4" xr3:uid="{044EBB2F-5BDF-47F2-BB68-5F9EE4C461AC}" name="Marzo" dataDxfId="529" totalsRowDxfId="528"/>
    <tableColumn id="5" xr3:uid="{2A8C6F2F-E6AA-46A8-A659-80A49945E91A}" name="Abril" dataDxfId="527" totalsRowDxfId="526"/>
    <tableColumn id="6" xr3:uid="{F4894667-D182-4812-86DF-A87B9A211251}" name="Mayo" dataDxfId="525" totalsRowDxfId="524"/>
    <tableColumn id="7" xr3:uid="{1856731F-8332-4585-956F-0F38A0B9E201}" name="Junio" dataDxfId="523" totalsRowDxfId="522"/>
    <tableColumn id="8" xr3:uid="{DC5F6F65-068A-44D1-84C8-B6A0C5AAB10E}" name="Julio" dataDxfId="521" totalsRowDxfId="520"/>
    <tableColumn id="9" xr3:uid="{CFFC25CC-DBF4-4E61-A81C-8FA4EB21B745}" name="Ago" dataDxfId="519" totalsRowDxfId="518"/>
    <tableColumn id="10" xr3:uid="{F760A348-A582-4DCD-8FA5-66872445B66F}" name="Sept" dataDxfId="517" totalsRowDxfId="516"/>
    <tableColumn id="11" xr3:uid="{FDE2F32D-7811-4CBF-95BA-D4935BD26C68}" name="Oct" dataDxfId="515" totalsRowDxfId="514"/>
    <tableColumn id="12" xr3:uid="{60085A64-EAC7-4B39-A90A-71F96CD4ADC6}" name="Nov" dataDxfId="513" totalsRowDxfId="512"/>
    <tableColumn id="13" xr3:uid="{CD55BEF4-C063-4D40-902E-27E27FE82B04}" name="Dic" dataDxfId="511" totalsRowDxfId="510"/>
    <tableColumn id="14" xr3:uid="{8B6505DA-8899-40E4-939A-1FD2D3E9112E}" name="Año" dataDxfId="509" totalsRowDxfId="508">
      <calculatedColumnFormula>SUM(tblDaily42[[#This Row],[Ene]:[Dic]])</calculatedColumnFormula>
    </tableColumn>
    <tableColumn id="15" xr3:uid="{70BC43E9-FA70-4AE0-99D3-75C4DD2C9D3A}" name="Columna1" totalsRowDxfId="507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Daily Living Expenses" altTextSummary="Escriba los gastos diarios para el año, separados por mes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CAD950E-9AC8-4A1D-AEB0-772C14AD1C32}" name="tblTransportation43" displayName="tblTransportation43" ref="C41:Q45" totalsRowCount="1" headerRowDxfId="506" dataDxfId="505" totalsRowDxfId="504">
  <autoFilter ref="C41:Q44" xr:uid="{00000000-0009-0000-0100-000004000000}"/>
  <tableColumns count="15">
    <tableColumn id="1" xr3:uid="{41CAD48D-87C4-461E-A1C2-EF0A13525DC5}" name="Transporte" totalsRowLabel="Total" totalsRowDxfId="503"/>
    <tableColumn id="2" xr3:uid="{54DAE648-8BB1-4D8B-8E5B-35C079BA2420}" name="Ene" totalsRowFunction="sum" dataDxfId="502" totalsRowDxfId="501">
      <calculatedColumnFormula>$D8*$A8</calculatedColumnFormula>
    </tableColumn>
    <tableColumn id="3" xr3:uid="{42C7994A-AA7A-427C-B126-9073D8AC83AE}" name="Feb" totalsRowFunction="sum" dataDxfId="500" totalsRowDxfId="499"/>
    <tableColumn id="4" xr3:uid="{16A5984A-5EEC-4535-965C-D96ACAAC214F}" name="Marzo" totalsRowFunction="sum" dataDxfId="498" totalsRowDxfId="497"/>
    <tableColumn id="5" xr3:uid="{102174FE-46AD-405A-8348-0114E641D6FE}" name="Abril" totalsRowFunction="sum" dataDxfId="496" totalsRowDxfId="495"/>
    <tableColumn id="6" xr3:uid="{489DDFD8-C4E0-4180-BD9A-D360E3AFBAA4}" name="Mayo" totalsRowFunction="sum" dataDxfId="494" totalsRowDxfId="493"/>
    <tableColumn id="7" xr3:uid="{9A7230FB-0280-4F98-BFBC-04522C9A9AA4}" name="Junio" totalsRowFunction="sum" dataDxfId="492" totalsRowDxfId="491"/>
    <tableColumn id="8" xr3:uid="{1D815C96-6870-41A9-BF6F-F8001D9A6A8E}" name="Julio" totalsRowFunction="sum" dataDxfId="490" totalsRowDxfId="489"/>
    <tableColumn id="9" xr3:uid="{EB01C4B2-18EE-4564-BB19-9C77C9B98E7A}" name="Ago" totalsRowFunction="sum" dataDxfId="488" totalsRowDxfId="487"/>
    <tableColumn id="10" xr3:uid="{A071DCF7-5461-435F-B9D8-01D475CDE67D}" name="Sept" totalsRowFunction="sum" dataDxfId="486" totalsRowDxfId="485"/>
    <tableColumn id="11" xr3:uid="{C7CBB897-0F97-41BF-A481-4C3072F40EAC}" name="Oct" totalsRowFunction="sum" dataDxfId="484" totalsRowDxfId="483"/>
    <tableColumn id="12" xr3:uid="{AF861EC3-A6FE-40DF-AA4A-596CBFCAF409}" name="Nov" totalsRowFunction="sum" dataDxfId="482" totalsRowDxfId="481"/>
    <tableColumn id="13" xr3:uid="{38408CF5-9E68-4153-9D12-B9592F30C44F}" name="Dic" totalsRowFunction="sum" dataDxfId="480" totalsRowDxfId="479"/>
    <tableColumn id="14" xr3:uid="{3D3EDEE2-3491-415F-93B2-A466574C25DB}" name="Año" totalsRowFunction="sum" dataDxfId="478" totalsRowDxfId="477">
      <calculatedColumnFormula>SUM(tblTransportation43[[#This Row],[Ene]:[Dic]])</calculatedColumnFormula>
    </tableColumn>
    <tableColumn id="15" xr3:uid="{8A77A918-264A-4717-8738-B429A0C0AD70}" name="Columna1" totalsRowDxfId="476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Transportation expenses" altTextSummary="Escriba los gastos de transporte para el año, separados por mes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7281C35-7AC6-4D62-938A-ADA44646DDBB}" name="tblEntertainment44" displayName="tblEntertainment44" ref="C49:Q53" totalsRowCount="1" headerRowDxfId="475" dataDxfId="474" totalsRowDxfId="473">
  <autoFilter ref="C49:Q52" xr:uid="{00000000-0009-0000-0100-000005000000}"/>
  <tableColumns count="15">
    <tableColumn id="1" xr3:uid="{49128E36-35F1-4290-A803-F8691BAC912E}" name="Entretenimiento" totalsRowLabel="Total" dataDxfId="472" totalsRowDxfId="471"/>
    <tableColumn id="2" xr3:uid="{4EB341A7-00A8-4E4E-9E13-62FC91721D6C}" name="Ene" totalsRowFunction="sum" dataDxfId="470" totalsRowDxfId="469">
      <calculatedColumnFormula>$D11*$A11</calculatedColumnFormula>
    </tableColumn>
    <tableColumn id="3" xr3:uid="{9474340F-0104-48ED-9170-D26CC616B079}" name="Feb" totalsRowFunction="sum" dataDxfId="468" totalsRowDxfId="467">
      <calculatedColumnFormula>$D11*$A11</calculatedColumnFormula>
    </tableColumn>
    <tableColumn id="4" xr3:uid="{192027A2-D037-4358-9BD7-3254530207F4}" name="Marzo" totalsRowFunction="sum" dataDxfId="466" totalsRowDxfId="465">
      <calculatedColumnFormula>$D11*$A11</calculatedColumnFormula>
    </tableColumn>
    <tableColumn id="5" xr3:uid="{12E6B106-73F3-4648-8ACA-CD73801C3AFF}" name="Abril" totalsRowFunction="sum" dataDxfId="464" totalsRowDxfId="463"/>
    <tableColumn id="6" xr3:uid="{7A95D604-E712-4906-8FB3-9C43E9DC2AEF}" name="Mayo" totalsRowFunction="sum" dataDxfId="462" totalsRowDxfId="461"/>
    <tableColumn id="7" xr3:uid="{EBEB1F4F-F373-4738-A7D9-D1D3E75181BB}" name="Junio" totalsRowFunction="sum" dataDxfId="460" totalsRowDxfId="459"/>
    <tableColumn id="8" xr3:uid="{D030A591-0096-4F4A-B4C5-B01059890FDF}" name="Julio" totalsRowFunction="sum" dataDxfId="458" totalsRowDxfId="457"/>
    <tableColumn id="9" xr3:uid="{897F1427-509F-4B5F-9A7B-438D0036E773}" name="Ago" totalsRowFunction="sum" dataDxfId="456" totalsRowDxfId="455"/>
    <tableColumn id="10" xr3:uid="{37D13C67-564E-4D1A-A2EA-73FFF9398A6D}" name="Sept" totalsRowFunction="sum" dataDxfId="454" totalsRowDxfId="453"/>
    <tableColumn id="11" xr3:uid="{217C685C-E33F-4E9B-BF3F-4362BAAC15AD}" name="Oct" totalsRowFunction="sum" dataDxfId="452" totalsRowDxfId="451"/>
    <tableColumn id="12" xr3:uid="{B9AC7926-A8A1-4AE9-B3A4-D0E6A1EA42FD}" name="Nov" totalsRowFunction="sum" dataDxfId="450" totalsRowDxfId="449"/>
    <tableColumn id="13" xr3:uid="{13CE818D-E671-4AFE-A6D9-094DFED6E995}" name="Dic" totalsRowFunction="sum" dataDxfId="448" totalsRowDxfId="447"/>
    <tableColumn id="14" xr3:uid="{AC9CB661-3B6C-4688-A6B4-793E2DC76D86}" name="Año" totalsRowFunction="sum" dataDxfId="446" totalsRowDxfId="445">
      <calculatedColumnFormula>SUM(tblEntertainment44[[#This Row],[Ene]:[Dic]])</calculatedColumnFormula>
    </tableColumn>
    <tableColumn id="15" xr3:uid="{1663AD1D-F7C0-4811-9D4D-459361983EF4}" name="Columna1" dataDxfId="444" totalsRowDxfId="443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Entertainment Expenses" altTextSummary="Escriba los gastos en entretenimiento para el año, separados por meses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ABCF136-7CCC-40BB-A0CA-59505F6952D0}" name="tblHealth45" displayName="tblHealth45" ref="C57:Q62" totalsRowCount="1" headerRowDxfId="442" dataDxfId="441" totalsRowDxfId="440">
  <autoFilter ref="C57:Q61" xr:uid="{00000000-0009-0000-0100-000006000000}"/>
  <tableColumns count="15">
    <tableColumn id="1" xr3:uid="{7E9CC2D5-78A8-48EC-9341-2D8D174E3CDB}" name="Salud" totalsRowLabel="Total" dataDxfId="439" totalsRowDxfId="438"/>
    <tableColumn id="2" xr3:uid="{44C6C938-3E4F-45D3-AF9F-AF8B6DFD354D}" name="Ene" totalsRowFunction="sum" dataDxfId="437" totalsRowDxfId="436">
      <calculatedColumnFormula>$D14*$A14</calculatedColumnFormula>
    </tableColumn>
    <tableColumn id="3" xr3:uid="{1329F775-6F07-4C24-8B90-89870A959149}" name="Feb" totalsRowFunction="sum" dataDxfId="435" totalsRowDxfId="434">
      <calculatedColumnFormula>$D14*$A14</calculatedColumnFormula>
    </tableColumn>
    <tableColumn id="4" xr3:uid="{4267A99B-B79A-405A-9925-F8575CBBCD9C}" name="Marzo" totalsRowFunction="sum" dataDxfId="433" totalsRowDxfId="432">
      <calculatedColumnFormula>$D14*$A14</calculatedColumnFormula>
    </tableColumn>
    <tableColumn id="5" xr3:uid="{192765D8-545F-4E91-98EB-C4B2F378DEE6}" name="Abril" totalsRowFunction="sum" dataDxfId="431" totalsRowDxfId="430">
      <calculatedColumnFormula>$D14*$A14</calculatedColumnFormula>
    </tableColumn>
    <tableColumn id="6" xr3:uid="{68110EB3-209C-49CB-B395-B3E6A03383CB}" name="Mayo" totalsRowFunction="sum" dataDxfId="429" totalsRowDxfId="428">
      <calculatedColumnFormula>$D14*$A14</calculatedColumnFormula>
    </tableColumn>
    <tableColumn id="7" xr3:uid="{A0C8997D-0606-40AA-BA9A-FE31D14E8D80}" name="Junio" totalsRowFunction="sum" dataDxfId="427" totalsRowDxfId="426">
      <calculatedColumnFormula>$D14*$A14</calculatedColumnFormula>
    </tableColumn>
    <tableColumn id="8" xr3:uid="{BB10D582-A399-48BC-B350-54EDA56B2B8C}" name="Julio" totalsRowFunction="sum" dataDxfId="425" totalsRowDxfId="424"/>
    <tableColumn id="9" xr3:uid="{925E0DA4-EEB2-4EC2-A0CC-CF27880AD0D5}" name="Ago" totalsRowFunction="sum" dataDxfId="423" totalsRowDxfId="422"/>
    <tableColumn id="10" xr3:uid="{F0175F6A-EF5D-4F67-A7A4-9B22C12E0970}" name="Sept" totalsRowFunction="sum" dataDxfId="421" totalsRowDxfId="420"/>
    <tableColumn id="11" xr3:uid="{C064A972-E427-4937-B309-D5DAD4045FDB}" name="Oct" totalsRowFunction="sum" dataDxfId="419" totalsRowDxfId="418"/>
    <tableColumn id="12" xr3:uid="{A4297367-2930-485A-8201-015850A261D6}" name="Nov" totalsRowFunction="sum" dataDxfId="417" totalsRowDxfId="416"/>
    <tableColumn id="13" xr3:uid="{50FE4B89-25EE-40C5-A59B-7FB9079CFCC2}" name="Dic" totalsRowFunction="sum" dataDxfId="415" totalsRowDxfId="414"/>
    <tableColumn id="14" xr3:uid="{81C4EB30-C60C-44A0-BFD8-9DD04B71F739}" name="Año" totalsRowFunction="sum" dataDxfId="413" totalsRowDxfId="412">
      <calculatedColumnFormula>SUM(tblHealth45[[#This Row],[Ene]:[Dic]])</calculatedColumnFormula>
    </tableColumn>
    <tableColumn id="15" xr3:uid="{A96718C2-5793-4D1F-9D56-00937F77FDF7}" name="Columna1" dataDxfId="411" totalsRowDxfId="410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Health Expenses" altTextSummary="Escriba los gastos de sanidad para el año, separados por meses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6C99EA9-3325-4FEA-B598-778476C644F8}" name="tblVacations46" displayName="tblVacations46" ref="C66:Q70" totalsRowCount="1" headerRowDxfId="409" dataDxfId="408" totalsRowDxfId="407">
  <autoFilter ref="C66:Q69" xr:uid="{00000000-0009-0000-0100-000007000000}"/>
  <tableColumns count="15">
    <tableColumn id="1" xr3:uid="{1529E922-78B7-429F-ABF1-42B438661632}" name="Vacaciones" totalsRowLabel="Total" dataDxfId="406" totalsRowDxfId="405"/>
    <tableColumn id="2" xr3:uid="{7F83D114-AF4D-4A89-946E-ADF82111EC0B}" name="Ene" totalsRowFunction="sum" dataDxfId="404" totalsRowDxfId="403">
      <calculatedColumnFormula>$D18*$A18</calculatedColumnFormula>
    </tableColumn>
    <tableColumn id="3" xr3:uid="{1985995C-AC99-4BA1-8ED6-D78F075BD5EA}" name="Feb" totalsRowFunction="sum" dataDxfId="402" totalsRowDxfId="401">
      <calculatedColumnFormula>$D18*$A18</calculatedColumnFormula>
    </tableColumn>
    <tableColumn id="4" xr3:uid="{D4F5E771-61F5-4E8F-A870-72011C87CC4E}" name="Marzo" totalsRowFunction="sum" dataDxfId="400" totalsRowDxfId="399">
      <calculatedColumnFormula>$D18*$A18</calculatedColumnFormula>
    </tableColumn>
    <tableColumn id="5" xr3:uid="{2F71545B-E2E5-49CC-BAD7-F081448158ED}" name="Abril" totalsRowFunction="sum" dataDxfId="398" totalsRowDxfId="397">
      <calculatedColumnFormula>$D18*$A18</calculatedColumnFormula>
    </tableColumn>
    <tableColumn id="6" xr3:uid="{B735FD11-C8BD-4FDE-8E5E-5F48F8B2A2D4}" name="Mayo" totalsRowFunction="sum" dataDxfId="396" totalsRowDxfId="395">
      <calculatedColumnFormula>$D18*$A18</calculatedColumnFormula>
    </tableColumn>
    <tableColumn id="7" xr3:uid="{A927B241-12BC-4BC0-8C2F-265E82BC703C}" name="Junio" totalsRowFunction="sum" dataDxfId="394" totalsRowDxfId="393">
      <calculatedColumnFormula>$D18*$A18</calculatedColumnFormula>
    </tableColumn>
    <tableColumn id="8" xr3:uid="{0702AB3D-59E3-42E2-80A5-3A02244CCD07}" name="Julio" totalsRowFunction="sum" dataDxfId="392" totalsRowDxfId="391">
      <calculatedColumnFormula>$D18*$A18</calculatedColumnFormula>
    </tableColumn>
    <tableColumn id="9" xr3:uid="{921E8DD2-3133-4459-8964-EA88F4DCD7C6}" name="Ago" totalsRowFunction="sum" dataDxfId="390" totalsRowDxfId="389">
      <calculatedColumnFormula>$D18*$A18</calculatedColumnFormula>
    </tableColumn>
    <tableColumn id="10" xr3:uid="{9C47A1C9-6715-47EC-AD57-4F94EA7CF66A}" name="Sept" totalsRowFunction="sum" dataDxfId="388" totalsRowDxfId="387">
      <calculatedColumnFormula>$D18*$A18</calculatedColumnFormula>
    </tableColumn>
    <tableColumn id="11" xr3:uid="{43ED25F6-4518-47D0-8151-175F637EF7EC}" name="Oct" totalsRowFunction="sum" dataDxfId="386" totalsRowDxfId="385">
      <calculatedColumnFormula>$D18*$A18</calculatedColumnFormula>
    </tableColumn>
    <tableColumn id="12" xr3:uid="{65AB516F-A101-4E4A-AFBA-BEF89335EA16}" name="Nov" totalsRowFunction="sum" dataDxfId="384" totalsRowDxfId="383">
      <calculatedColumnFormula>$D18*$A18</calculatedColumnFormula>
    </tableColumn>
    <tableColumn id="13" xr3:uid="{E20DAA7E-B6E5-46E5-9CCE-8A66F4419C16}" name="Dic" totalsRowFunction="sum" dataDxfId="382" totalsRowDxfId="381">
      <calculatedColumnFormula>$D18*$A18</calculatedColumnFormula>
    </tableColumn>
    <tableColumn id="14" xr3:uid="{A13EDD05-4A15-4716-A545-B951763D049E}" name="Año" totalsRowFunction="sum" dataDxfId="380" totalsRowDxfId="379">
      <calculatedColumnFormula>SUM(tblVacations46[[#This Row],[Ene]:[Dic]])</calculatedColumnFormula>
    </tableColumn>
    <tableColumn id="15" xr3:uid="{F3DDA947-A63D-4DF0-87B2-4340DE593549}" name="Columna1" dataDxfId="378" totalsRowDxfId="377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Vacation Expenses" altTextSummary="Escriba los gastos de vacaciones para el año, separados por meses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C61D8BE-17FF-4402-80A7-B39E9BA8714B}" name="tblRecreation47" displayName="tblRecreation47" ref="C74:Q78" totalsRowCount="1" headerRowDxfId="376" dataDxfId="375" totalsRowDxfId="374">
  <autoFilter ref="C74:Q77" xr:uid="{00000000-0009-0000-0100-000008000000}"/>
  <tableColumns count="15">
    <tableColumn id="1" xr3:uid="{998CEFBA-C58D-4465-A2DB-9D6C30D0566F}" name="Ocio" totalsRowLabel="Total" dataDxfId="373" totalsRowDxfId="372"/>
    <tableColumn id="2" xr3:uid="{78633BA1-DFB0-42C5-9F71-B4A202D9822C}" name="Ene" totalsRowFunction="sum" dataDxfId="371" totalsRowDxfId="370"/>
    <tableColumn id="3" xr3:uid="{80483F6D-2FB3-49FC-B6D6-A39C7FE22AE3}" name="Feb" totalsRowFunction="sum" dataDxfId="369" totalsRowDxfId="368"/>
    <tableColumn id="4" xr3:uid="{A7D330B5-5843-479F-ACEB-D074AD7D909C}" name="Marzo" totalsRowFunction="sum" dataDxfId="367" totalsRowDxfId="366"/>
    <tableColumn id="5" xr3:uid="{E9C111F9-6822-4980-92B8-15FE1E42BB44}" name="Abril" totalsRowFunction="sum" dataDxfId="365" totalsRowDxfId="364">
      <calculatedColumnFormula>$D21*$A21</calculatedColumnFormula>
    </tableColumn>
    <tableColumn id="6" xr3:uid="{A2DB7226-73A6-41F5-B22C-E07498262017}" name="Mayo" totalsRowFunction="sum" dataDxfId="363" totalsRowDxfId="362">
      <calculatedColumnFormula>$D21*$A21</calculatedColumnFormula>
    </tableColumn>
    <tableColumn id="7" xr3:uid="{F7AB4E3F-0F2E-48C4-BFC4-4DD1C7603E84}" name="Junio" totalsRowFunction="sum" dataDxfId="361" totalsRowDxfId="360">
      <calculatedColumnFormula>$D21*$A21</calculatedColumnFormula>
    </tableColumn>
    <tableColumn id="8" xr3:uid="{1CB6563B-ED17-4BC3-8976-3150F19BCB47}" name="Julio" totalsRowFunction="sum" dataDxfId="359" totalsRowDxfId="358">
      <calculatedColumnFormula>$D21*$A21</calculatedColumnFormula>
    </tableColumn>
    <tableColumn id="9" xr3:uid="{5DD2E288-8386-4675-B2F0-D5593497540E}" name="Ago" totalsRowFunction="sum" dataDxfId="357" totalsRowDxfId="356">
      <calculatedColumnFormula>$D21*$A21</calculatedColumnFormula>
    </tableColumn>
    <tableColumn id="10" xr3:uid="{673D6F98-A501-48F0-B1BD-3B664B4FA9C5}" name="Sept" totalsRowFunction="sum" dataDxfId="355" totalsRowDxfId="354">
      <calculatedColumnFormula>$D21*$A21</calculatedColumnFormula>
    </tableColumn>
    <tableColumn id="11" xr3:uid="{F9C3C7A4-A368-4C36-8A78-9BC92891686D}" name="Oct" totalsRowFunction="sum" dataDxfId="353" totalsRowDxfId="352">
      <calculatedColumnFormula>$D21*$A21</calculatedColumnFormula>
    </tableColumn>
    <tableColumn id="12" xr3:uid="{2984B953-D817-40AB-922C-E8AB49074178}" name="Nov" totalsRowFunction="sum" dataDxfId="351" totalsRowDxfId="350">
      <calculatedColumnFormula>$D21*$A21</calculatedColumnFormula>
    </tableColumn>
    <tableColumn id="13" xr3:uid="{CD5719F0-9FF3-42D7-8CC8-0E4101B57F27}" name="Dic" totalsRowFunction="sum" dataDxfId="349" totalsRowDxfId="348">
      <calculatedColumnFormula>$D21*$A21</calculatedColumnFormula>
    </tableColumn>
    <tableColumn id="14" xr3:uid="{B78E134C-BF9D-487F-BE68-0B76ACE6A13F}" name="Año" totalsRowFunction="sum" dataDxfId="347" totalsRowDxfId="346">
      <calculatedColumnFormula>SUM(tblRecreation47[[#This Row],[Ene]:[Dic]])</calculatedColumnFormula>
    </tableColumn>
    <tableColumn id="15" xr3:uid="{83F82C89-514B-439B-AE31-A87D6FCD9812}" name="Columna1" dataDxfId="345" totalsRowDxfId="344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Recreation Expenses" altTextSummary="Escriba los gastos de ocio para el año, separados por meses.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7295A2D-3076-48BF-A9F3-438457B53D98}" name="tblDues48" displayName="tblDues48" ref="C82:Q86" totalsRowCount="1" headerRowDxfId="343" dataDxfId="342" totalsRowDxfId="341">
  <autoFilter ref="C82:Q85" xr:uid="{00000000-0009-0000-0100-000009000000}"/>
  <tableColumns count="15">
    <tableColumn id="1" xr3:uid="{BAF9DE63-E86C-4060-8CB5-38BB366775DF}" name="Cuotas y suscripciones" totalsRowLabel="Total" dataDxfId="340" totalsRowDxfId="339"/>
    <tableColumn id="2" xr3:uid="{AD40BB05-55F7-4947-9E48-3E05E08D97B5}" name="Ene" totalsRowFunction="sum" dataDxfId="338" totalsRowDxfId="337">
      <calculatedColumnFormula>$D24*$A24</calculatedColumnFormula>
    </tableColumn>
    <tableColumn id="3" xr3:uid="{08989283-810C-4375-B549-4FEB1C65D79B}" name="Feb" totalsRowFunction="sum" dataDxfId="336" totalsRowDxfId="335">
      <calculatedColumnFormula>$D24*$A24</calculatedColumnFormula>
    </tableColumn>
    <tableColumn id="4" xr3:uid="{BF4A567D-21FD-4C6A-931B-BFA77E0A5FA0}" name="Marzo" totalsRowFunction="sum" dataDxfId="334" totalsRowDxfId="333">
      <calculatedColumnFormula>$D24*$A24</calculatedColumnFormula>
    </tableColumn>
    <tableColumn id="5" xr3:uid="{791E13AA-C735-441C-A71A-A78F2EB1D276}" name="Abril" totalsRowFunction="sum" dataDxfId="332" totalsRowDxfId="331">
      <calculatedColumnFormula>$D24*$A24</calculatedColumnFormula>
    </tableColumn>
    <tableColumn id="6" xr3:uid="{28017655-46B4-4545-A1A1-EE5B014E3A6D}" name="Mayo" totalsRowFunction="sum" dataDxfId="330" totalsRowDxfId="329">
      <calculatedColumnFormula>$D24*$A24</calculatedColumnFormula>
    </tableColumn>
    <tableColumn id="7" xr3:uid="{BF3896A9-E181-453E-8223-5597F18C3554}" name="Junio" totalsRowFunction="sum" dataDxfId="328" totalsRowDxfId="327">
      <calculatedColumnFormula>$D24*$A24</calculatedColumnFormula>
    </tableColumn>
    <tableColumn id="8" xr3:uid="{50BFB60F-893A-4CF1-A201-9634488E2A62}" name="Julio" totalsRowFunction="sum" dataDxfId="326" totalsRowDxfId="325">
      <calculatedColumnFormula>$D24*$A24</calculatedColumnFormula>
    </tableColumn>
    <tableColumn id="9" xr3:uid="{F05B101E-AB15-4EC9-BE97-42C91C362A73}" name="Ago" totalsRowFunction="sum" dataDxfId="324" totalsRowDxfId="323">
      <calculatedColumnFormula>$D24*$A24</calculatedColumnFormula>
    </tableColumn>
    <tableColumn id="10" xr3:uid="{613BEF9A-3005-40C1-9432-C8421F509478}" name="Sept" totalsRowFunction="sum" dataDxfId="322" totalsRowDxfId="321">
      <calculatedColumnFormula>$D24*$A24</calculatedColumnFormula>
    </tableColumn>
    <tableColumn id="11" xr3:uid="{85F8676E-D0EC-4C8B-B351-40F1D2C49AF6}" name="Oct" totalsRowFunction="sum" dataDxfId="320" totalsRowDxfId="319">
      <calculatedColumnFormula>$D24*$A24</calculatedColumnFormula>
    </tableColumn>
    <tableColumn id="12" xr3:uid="{9E5388BF-C736-455A-81C7-7661E51F188C}" name="Nov" totalsRowFunction="sum" dataDxfId="318" totalsRowDxfId="317">
      <calculatedColumnFormula>$D24*$A24</calculatedColumnFormula>
    </tableColumn>
    <tableColumn id="13" xr3:uid="{B899B76C-65DA-404B-A0B3-898A0EC6E4E9}" name="Dic" totalsRowFunction="sum" dataDxfId="316" totalsRowDxfId="315">
      <calculatedColumnFormula>$D24*$A24</calculatedColumnFormula>
    </tableColumn>
    <tableColumn id="14" xr3:uid="{8E56C95A-E8D8-4150-8911-1973029E7F88}" name="Año" totalsRowFunction="sum" dataDxfId="314" totalsRowDxfId="313">
      <calculatedColumnFormula>SUM(tblDues48[[#This Row],[Ene]:[Dic]])</calculatedColumnFormula>
    </tableColumn>
    <tableColumn id="15" xr3:uid="{EDD4F77C-C017-4117-8B3D-39B46F756621}" name="Columna1" dataDxfId="312" totalsRowDxfId="311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Dues &amp; Subscription Expenses" altTextSummary="Especifique las cuotas y los gastos de suscripción para el año, separados por meses.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0EDC040-4A70-43A0-9889-B0E9C4A9E3B6}" name="tblPersonal49" displayName="tblPersonal49" ref="C90:Q94" totalsRowCount="1" headerRowDxfId="310" dataDxfId="309" totalsRowDxfId="308">
  <autoFilter ref="C90:Q93" xr:uid="{00000000-0009-0000-0100-00000A000000}"/>
  <tableColumns count="15">
    <tableColumn id="1" xr3:uid="{A7C435C8-C508-413B-AEFE-C5FB2D622A57}" name="Personal" totalsRowLabel="Total" dataDxfId="307" totalsRowDxfId="306"/>
    <tableColumn id="2" xr3:uid="{781A135E-914A-4735-A372-E6D080379514}" name="Ene" totalsRowFunction="sum" dataDxfId="305" totalsRowDxfId="304">
      <calculatedColumnFormula>$D27*$A27</calculatedColumnFormula>
    </tableColumn>
    <tableColumn id="3" xr3:uid="{BB13A45D-4E2D-4F5B-866C-E57042A0F951}" name="Feb" totalsRowFunction="sum" dataDxfId="303" totalsRowDxfId="302">
      <calculatedColumnFormula>$D27*$A27</calculatedColumnFormula>
    </tableColumn>
    <tableColumn id="4" xr3:uid="{5DC618A4-27BB-4D8B-B2FD-A1519A89CBA1}" name="Marzo" totalsRowFunction="sum" dataDxfId="301" totalsRowDxfId="300">
      <calculatedColumnFormula>$D27*$A27</calculatedColumnFormula>
    </tableColumn>
    <tableColumn id="5" xr3:uid="{615A48FE-1772-4659-9304-0607FA5FF6B3}" name="Abril" totalsRowFunction="sum" dataDxfId="299" totalsRowDxfId="298">
      <calculatedColumnFormula>$D27*$A27</calculatedColumnFormula>
    </tableColumn>
    <tableColumn id="6" xr3:uid="{B334F90A-D1EF-4E53-8DB9-B80B5F3C1DAF}" name="Mayo" totalsRowFunction="sum" dataDxfId="297" totalsRowDxfId="296">
      <calculatedColumnFormula>$D27*$A27</calculatedColumnFormula>
    </tableColumn>
    <tableColumn id="7" xr3:uid="{71C6A3DE-3E8F-4B68-B88E-BD78548C4371}" name="Junio" totalsRowFunction="sum" dataDxfId="295" totalsRowDxfId="294">
      <calculatedColumnFormula>$D27*$A27</calculatedColumnFormula>
    </tableColumn>
    <tableColumn id="8" xr3:uid="{08DA5099-966C-4ADD-B291-9AFF32CDA69D}" name="Julio" totalsRowFunction="sum" dataDxfId="293" totalsRowDxfId="292">
      <calculatedColumnFormula>$D27*$A27</calculatedColumnFormula>
    </tableColumn>
    <tableColumn id="9" xr3:uid="{A0147B7E-970F-4CEB-98AC-76D6EA5ACEA6}" name="Ago" totalsRowFunction="sum" dataDxfId="291" totalsRowDxfId="290">
      <calculatedColumnFormula>$D27*$A27</calculatedColumnFormula>
    </tableColumn>
    <tableColumn id="10" xr3:uid="{8146966A-5A16-4389-A83A-6F9BF0019BB2}" name="Sept" totalsRowFunction="sum" dataDxfId="289" totalsRowDxfId="288">
      <calculatedColumnFormula>$D27*$A27</calculatedColumnFormula>
    </tableColumn>
    <tableColumn id="11" xr3:uid="{BDE73314-4EBE-41BA-8761-2EDB646D011E}" name="Oct" totalsRowFunction="sum" dataDxfId="287" totalsRowDxfId="286">
      <calculatedColumnFormula>$D27*$A27</calculatedColumnFormula>
    </tableColumn>
    <tableColumn id="12" xr3:uid="{48362CCD-BF78-4B89-994B-FF152B6CCE94}" name="Nov" totalsRowFunction="sum" dataDxfId="285" totalsRowDxfId="284">
      <calculatedColumnFormula>$D27*$A27</calculatedColumnFormula>
    </tableColumn>
    <tableColumn id="13" xr3:uid="{6E402B01-0F73-493B-9AA2-26B4711C7322}" name="Dic" totalsRowFunction="sum" dataDxfId="283" totalsRowDxfId="282">
      <calculatedColumnFormula>$D27*$A27</calculatedColumnFormula>
    </tableColumn>
    <tableColumn id="14" xr3:uid="{5EED5A0C-1810-45F3-AF2B-31E3E5A218DF}" name="Año" totalsRowFunction="sum" dataDxfId="281" totalsRowDxfId="280">
      <calculatedColumnFormula>SUM(tblPersonal49[[#This Row],[Ene]:[Dic]])</calculatedColumnFormula>
    </tableColumn>
    <tableColumn id="15" xr3:uid="{A0E2B7FC-ADFB-4ECD-AEC6-918FC5AA61BE}" name="Columna1" dataDxfId="279" totalsRowDxfId="278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Personal Expenses" altTextSummary="Escriba sus gastos personales para el año, separados por meses.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31F60EC-23F7-448F-959C-4A596C5A999B}" name="tblFinancial50" displayName="tblFinancial50" ref="C98:Q101" totalsRowCount="1" headerRowDxfId="277" dataDxfId="276" totalsRowDxfId="275">
  <autoFilter ref="C98:Q100" xr:uid="{00000000-0009-0000-0100-00000B000000}"/>
  <tableColumns count="15">
    <tableColumn id="1" xr3:uid="{B423F678-596D-462D-B5AA-3DFE7EBC8470}" name="Obligaciones financieras" totalsRowLabel="Total" dataDxfId="274" totalsRowDxfId="273"/>
    <tableColumn id="2" xr3:uid="{47FDF557-E71A-4E1D-926A-5CAD4DFDCB76}" name="Ene" totalsRowFunction="sum" dataDxfId="272" totalsRowDxfId="271"/>
    <tableColumn id="3" xr3:uid="{93E12EC1-9CD8-40FD-8D01-D84E2CD64444}" name="Feb" totalsRowFunction="sum" dataDxfId="270" totalsRowDxfId="269"/>
    <tableColumn id="4" xr3:uid="{071929E8-352B-4B4F-A77A-6AF1269FE0E0}" name="Marzo" totalsRowFunction="sum" dataDxfId="268" totalsRowDxfId="267"/>
    <tableColumn id="5" xr3:uid="{92E8BBB9-12E3-431F-85DB-B051DE2CE31B}" name="Abril" totalsRowFunction="sum" dataDxfId="266" totalsRowDxfId="265">
      <calculatedColumnFormula>$D30*$A30</calculatedColumnFormula>
    </tableColumn>
    <tableColumn id="6" xr3:uid="{8CD0306C-61BB-4A1B-BFC8-2B4B3D62DDF4}" name="Mayo" totalsRowFunction="sum" dataDxfId="264" totalsRowDxfId="263">
      <calculatedColumnFormula>$D30*$A30</calculatedColumnFormula>
    </tableColumn>
    <tableColumn id="7" xr3:uid="{8542BCFF-D453-4CB1-BF16-42CEB41BEC14}" name="Junio" totalsRowFunction="sum" dataDxfId="262" totalsRowDxfId="261">
      <calculatedColumnFormula>$D30*$A30</calculatedColumnFormula>
    </tableColumn>
    <tableColumn id="8" xr3:uid="{8302EF05-5B33-4053-94DC-5ED4A8AB3079}" name="Julio" totalsRowFunction="sum" dataDxfId="260" totalsRowDxfId="259">
      <calculatedColumnFormula>$D30*$A30</calculatedColumnFormula>
    </tableColumn>
    <tableColumn id="9" xr3:uid="{B9BB9E01-7A2E-4426-834F-BA48FD0F2337}" name="Ago" totalsRowFunction="sum" dataDxfId="258" totalsRowDxfId="257">
      <calculatedColumnFormula>$D30*$A30</calculatedColumnFormula>
    </tableColumn>
    <tableColumn id="10" xr3:uid="{D74AE127-3271-418E-BF01-C95A1A2F7BD3}" name="Sept" totalsRowFunction="sum" dataDxfId="256" totalsRowDxfId="255"/>
    <tableColumn id="11" xr3:uid="{07E92FB0-3012-4B63-BCD3-A5636DC9EF65}" name="Oct" totalsRowFunction="sum" dataDxfId="254" totalsRowDxfId="253"/>
    <tableColumn id="12" xr3:uid="{AB287DC0-11F0-4757-AD2B-001CF4FE53AD}" name="Nov" totalsRowFunction="sum" dataDxfId="252" totalsRowDxfId="251"/>
    <tableColumn id="13" xr3:uid="{710078F0-EBF8-482B-9004-BDBB1EE1D823}" name="Dic" totalsRowFunction="sum" dataDxfId="250" totalsRowDxfId="249"/>
    <tableColumn id="14" xr3:uid="{9A8CEEA9-97F0-4412-894B-100A8F43B816}" name="Año" totalsRowFunction="sum" dataDxfId="248" totalsRowDxfId="247">
      <calculatedColumnFormula>SUM(tblFinancial50[[#This Row],[Ene]:[Dic]])</calculatedColumnFormula>
    </tableColumn>
    <tableColumn id="15" xr3:uid="{5962E88C-CFDF-4F02-8295-9F1E9A61F070}" name="Columna1" dataDxfId="246" totalsRowDxfId="245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Financial Expenses" altTextSummary="Escriba los gastos financieros para el año, separados por meses.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983A8CF-7FA3-4628-BFD2-BA79B7F89BDE}" name="tblMisc51" displayName="tblMisc51" ref="C112:Q115" totalsRowCount="1" headerRowDxfId="244" dataDxfId="243" totalsRowDxfId="242">
  <autoFilter ref="C112:Q114" xr:uid="{00000000-0009-0000-0100-00000C000000}"/>
  <tableColumns count="15">
    <tableColumn id="1" xr3:uid="{A02DA8EB-0292-405F-9463-D22ADDFC0F5D}" name="Pagos varios" totalsRowLabel="Total" dataDxfId="241" totalsRowDxfId="240"/>
    <tableColumn id="2" xr3:uid="{FE44AD97-C4F0-450C-9628-A24C81475EA9}" name="Ene" totalsRowFunction="sum" dataDxfId="239" totalsRowDxfId="238"/>
    <tableColumn id="3" xr3:uid="{799FD232-E19E-4074-822A-91E2A33A78EF}" name="Feb" totalsRowFunction="sum" dataDxfId="237" totalsRowDxfId="236"/>
    <tableColumn id="4" xr3:uid="{FAFAA1F3-DA99-489E-8A02-6BA6FB28402C}" name="Marzo" totalsRowFunction="sum" dataDxfId="235" totalsRowDxfId="234">
      <calculatedColumnFormula>$D34*$A34</calculatedColumnFormula>
    </tableColumn>
    <tableColumn id="5" xr3:uid="{DD6943AC-8F63-4A5B-90D3-16A4E8DE19BB}" name="Abril" totalsRowFunction="sum" dataDxfId="233" totalsRowDxfId="232">
      <calculatedColumnFormula>$D34*$A34</calculatedColumnFormula>
    </tableColumn>
    <tableColumn id="6" xr3:uid="{CED24FF8-7482-4B27-8E46-DAF882967521}" name="Mayo" totalsRowFunction="sum" dataDxfId="231" totalsRowDxfId="230">
      <calculatedColumnFormula>$D34*$A34</calculatedColumnFormula>
    </tableColumn>
    <tableColumn id="7" xr3:uid="{A955F746-AF4F-4360-9931-F9D56FD3803D}" name="Junio" totalsRowFunction="sum" dataDxfId="229" totalsRowDxfId="228">
      <calculatedColumnFormula>$D34*$A34</calculatedColumnFormula>
    </tableColumn>
    <tableColumn id="8" xr3:uid="{8DF6BC5E-3F06-4272-8E40-363FFE206DC1}" name="Julio" totalsRowFunction="sum" dataDxfId="227" totalsRowDxfId="226"/>
    <tableColumn id="9" xr3:uid="{76963F66-929B-4795-AEBB-9B4369601F92}" name="Ago" totalsRowFunction="sum" dataDxfId="225" totalsRowDxfId="224"/>
    <tableColumn id="10" xr3:uid="{57B7FB47-19B5-4F8D-B0EC-500A15DB165F}" name="Sept" totalsRowFunction="sum" dataDxfId="223" totalsRowDxfId="222"/>
    <tableColumn id="11" xr3:uid="{981A0C1B-2BDE-4693-87D4-CA845672A545}" name="Oct" totalsRowFunction="sum" dataDxfId="221" totalsRowDxfId="220"/>
    <tableColumn id="12" xr3:uid="{A4B8EB14-8D60-400A-AD7C-01DFD974924E}" name="Nov" totalsRowFunction="sum" dataDxfId="219" totalsRowDxfId="218"/>
    <tableColumn id="13" xr3:uid="{BAFCC66B-106D-41D8-B755-4802DD3781A3}" name="Dic" totalsRowFunction="sum" dataDxfId="217" totalsRowDxfId="216"/>
    <tableColumn id="14" xr3:uid="{3C6249AF-650E-4F13-B562-077B291F86BE}" name="Año" totalsRowFunction="sum" dataDxfId="215" totalsRowDxfId="214">
      <calculatedColumnFormula>SUM(tblMisc51[[#This Row],[Ene]:[Dic]])</calculatedColumnFormula>
    </tableColumn>
    <tableColumn id="15" xr3:uid="{DACACCD4-8EB9-42AE-AFF7-ED28A06DED90}" name="Columna1" dataDxfId="213" totalsRowDxfId="212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Misc Expenses" altTextSummary="Escriba los gastos varios para el año, separados por meses.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D954938-263C-4A78-ABAD-9D222A9645E0}" name="tblTotals52" displayName="tblTotals52" ref="C118:Q119" totalsRowShown="0" headerRowDxfId="211" dataDxfId="210">
  <tableColumns count="15">
    <tableColumn id="1" xr3:uid="{80298061-6570-46A3-B9C2-D0F10B7FE808}" name="TOTALES" dataDxfId="209"/>
    <tableColumn id="2" xr3:uid="{62E15B8E-FBA5-4081-B5B6-D4F56E5C339D}" name="ENE" dataDxfId="208">
      <calculatedColumnFormula>D45+D53+D62+D70+D78+D86+D94+D101+D108+D115</calculatedColumnFormula>
    </tableColumn>
    <tableColumn id="3" xr3:uid="{B3EEF55E-B0DD-462C-9DE2-462EEBF70F92}" name="FEB" dataDxfId="207">
      <calculatedColumnFormula>E45+E53+E62+E70+E78+E86+E94+E101+E108+E115</calculatedColumnFormula>
    </tableColumn>
    <tableColumn id="4" xr3:uid="{FE6449F2-5CC9-40C2-8873-D72A91EF49DB}" name="MAR" dataDxfId="206">
      <calculatedColumnFormula>F45+F53+F62+F70+F78+F86+F94+F101+F108+F115</calculatedColumnFormula>
    </tableColumn>
    <tableColumn id="5" xr3:uid="{5F25E430-3F61-4472-B5B7-4598D93B5F26}" name="ABR" dataDxfId="205">
      <calculatedColumnFormula>G45+G53+G62+G70+G78+G86+G94+G101+G108+G115</calculatedColumnFormula>
    </tableColumn>
    <tableColumn id="6" xr3:uid="{B574597F-1CFA-475A-9932-ABDF8D0D1CDA}" name="MAYO" dataDxfId="204">
      <calculatedColumnFormula>H45+H53+H62+H70+H78+H86+H94+H101+H108+H115</calculatedColumnFormula>
    </tableColumn>
    <tableColumn id="7" xr3:uid="{2E1493CB-AD13-4D8C-9488-2DEA82E88E34}" name="JUN" dataDxfId="203">
      <calculatedColumnFormula>I45+I53+I62+I70+I78+I86+I94+I101+I108+I115</calculatedColumnFormula>
    </tableColumn>
    <tableColumn id="8" xr3:uid="{59FF530F-2F28-4448-ABC8-53358D8B9CFA}" name="JUL" dataDxfId="202">
      <calculatedColumnFormula>J45+J53+J62+J70+J78+J86+J94+J101+J108+J115</calculatedColumnFormula>
    </tableColumn>
    <tableColumn id="9" xr3:uid="{D7087B91-6E87-47AE-B1BD-23788E486571}" name="AGO" dataDxfId="201">
      <calculatedColumnFormula>K45+K53+K62+K70+K78+K86+K94+K101+K108+K115</calculatedColumnFormula>
    </tableColumn>
    <tableColumn id="10" xr3:uid="{CC43B087-67B6-40E0-88C5-21987EEE7B4B}" name="SEP" dataDxfId="200">
      <calculatedColumnFormula>L45+L53+L62+L70+L78+L86+L94+L101+L108+L115</calculatedColumnFormula>
    </tableColumn>
    <tableColumn id="11" xr3:uid="{C4BC0CCE-D663-472B-8E8A-042BAD0062AB}" name="OCT" dataDxfId="199">
      <calculatedColumnFormula>M45+M53+M62+M70+M78+M86+M94+M101+M108+M115</calculatedColumnFormula>
    </tableColumn>
    <tableColumn id="12" xr3:uid="{57DD9B79-815C-4EAF-A670-0CBF8A009C3D}" name="NOV" dataDxfId="198">
      <calculatedColumnFormula>N45+N53+N62+N70+N78+N86+N94+N101+N108+N115</calculatedColumnFormula>
    </tableColumn>
    <tableColumn id="13" xr3:uid="{636CEE7E-D261-4AEA-B22D-98619D653810}" name="DIC" dataDxfId="197">
      <calculatedColumnFormula>O45+O53+O62+O70+O78+O86+O94+O101+O108+O115</calculatedColumnFormula>
    </tableColumn>
    <tableColumn id="14" xr3:uid="{23CBA932-C808-4EF4-951E-03C79FA6DE90}" name="AÑO" dataDxfId="196">
      <calculatedColumnFormula>tblTotals52[[#This Row],[DIC]]+tblTotals52[[#This Row],[NOV]]+tblTotals52[[#This Row],[OCT]]+tblTotals52[[#This Row],[SEP]]+tblTotals52[[#This Row],[AGO]]+tblTotals52[[#This Row],[JUL]]+tblTotals52[[#This Row],[JUN]]+tblTotals52[[#This Row],[MAYO]]+tblTotals52[[#This Row],[ABR]]+tblTotals52[[#This Row],[MAR]]+tblTotals52[[#This Row],[FEB]]+tblTotals52[[#This Row],[ENE]]+F127+F134+F137+F141+F154+F163</calculatedColumnFormula>
    </tableColumn>
    <tableColumn id="15" xr3:uid="{0F6BD925-A2A0-457A-8B04-73F22E195278}" name=" " dataDxfId="195"/>
  </tableColumns>
  <tableStyleInfo showFirstColumn="1" showLastColumn="0" showRowStripes="0" showColumnStripes="1"/>
  <extLst>
    <ext xmlns:x14="http://schemas.microsoft.com/office/spreadsheetml/2009/9/main" uri="{504A1905-F514-4f6f-8877-14C23A59335A}">
      <x14:table altText="Totals" altTextSummary="Vea los totales para el año, separados por meses.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30CFE39-0F14-4D2F-8F98-9E5EC7F337CD}" name="tblMisc5153" displayName="tblMisc5153" ref="C105:Q108" totalsRowCount="1" headerRowDxfId="194" dataDxfId="193" totalsRowDxfId="192">
  <autoFilter ref="C105:Q107" xr:uid="{130CFE39-0F14-4D2F-8F98-9E5EC7F337CD}"/>
  <tableColumns count="15">
    <tableColumn id="1" xr3:uid="{A56B473B-B0E3-4C34-A163-41D3821C175A}" name="Pagos varios" totalsRowLabel="Total" dataDxfId="191" totalsRowDxfId="190"/>
    <tableColumn id="2" xr3:uid="{14ACE043-3185-45C1-9D23-0D7D74646887}" name="Ene" totalsRowFunction="sum" dataDxfId="189" totalsRowDxfId="188"/>
    <tableColumn id="3" xr3:uid="{30405B7A-9BE3-4346-B3C5-723C02463FC6}" name="Feb" totalsRowFunction="sum" dataDxfId="187" totalsRowDxfId="186"/>
    <tableColumn id="4" xr3:uid="{FA8E62B6-FDCD-47BF-BEE7-47298B566EFB}" name="Marzo" totalsRowFunction="sum" dataDxfId="185" totalsRowDxfId="184"/>
    <tableColumn id="5" xr3:uid="{E3BBE7A2-3AF9-4BDE-9DC8-6393A5A1F882}" name="Abril" totalsRowFunction="sum" dataDxfId="183" totalsRowDxfId="182">
      <calculatedColumnFormula>$D32*$A32</calculatedColumnFormula>
    </tableColumn>
    <tableColumn id="6" xr3:uid="{53879F0D-BC26-46E0-84A5-740950EC4D24}" name="Mayo" totalsRowFunction="sum" dataDxfId="181" totalsRowDxfId="180">
      <calculatedColumnFormula>$D32*$A32</calculatedColumnFormula>
    </tableColumn>
    <tableColumn id="7" xr3:uid="{F7197B9E-8E98-4ED0-BA7E-BE0E8E5C42ED}" name="Junio" totalsRowFunction="sum" dataDxfId="179" totalsRowDxfId="178"/>
    <tableColumn id="8" xr3:uid="{6256D1B2-AD44-4F61-98D7-E7C4631F2F90}" name="Julio" totalsRowFunction="sum" dataDxfId="177" totalsRowDxfId="176"/>
    <tableColumn id="9" xr3:uid="{9E335824-9B67-4C1B-9DCD-806E49DD13E5}" name="Ago" totalsRowFunction="sum" dataDxfId="175" totalsRowDxfId="174"/>
    <tableColumn id="10" xr3:uid="{4F6AE537-EB2A-4C62-ACA5-146A1C1F884D}" name="Sept" totalsRowFunction="sum" dataDxfId="173" totalsRowDxfId="172"/>
    <tableColumn id="11" xr3:uid="{E4282527-026F-4342-BCD6-71A91503F6A0}" name="Oct" totalsRowFunction="sum" dataDxfId="171" totalsRowDxfId="170"/>
    <tableColumn id="12" xr3:uid="{B853BAB5-3CB4-4006-8396-4ECF0BCE698B}" name="Nov" totalsRowFunction="sum" dataDxfId="169" totalsRowDxfId="168"/>
    <tableColumn id="13" xr3:uid="{45DA3839-48C0-4DB0-B5CA-5F54F3591327}" name="Dic" totalsRowFunction="sum" dataDxfId="167" totalsRowDxfId="166"/>
    <tableColumn id="14" xr3:uid="{8EBD757F-C09B-467A-89A6-CC7FF99B6310}" name="Año" totalsRowFunction="sum" dataDxfId="165" totalsRowDxfId="164">
      <calculatedColumnFormula>SUM(tblMisc5153[[#This Row],[Ene]:[Dic]])</calculatedColumnFormula>
    </tableColumn>
    <tableColumn id="15" xr3:uid="{5292D6D2-8654-458A-971F-5770397A4ECE}" name="Columna1" dataDxfId="163" totalsRowDxfId="162"/>
  </tableColumns>
  <tableStyleInfo showFirstColumn="0" showLastColumn="0" showRowStripes="0" showColumnStripes="1"/>
  <extLst>
    <ext xmlns:x14="http://schemas.microsoft.com/office/spreadsheetml/2009/9/main" uri="{504A1905-F514-4f6f-8877-14C23A59335A}">
      <x14:table altText="Misc Expenses" altTextSummary="Escriba los gastos varios para el año, separados por meses.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85AB2-5475-4E5B-AF77-9847421EF9FF}" name="Table1" displayName="Table1" ref="B2:F19" totalsRowShown="0" headerRowDxfId="155" dataDxfId="156">
  <autoFilter ref="B2:F19" xr:uid="{CEB85AB2-5475-4E5B-AF77-9847421EF9FF}"/>
  <tableColumns count="5">
    <tableColumn id="1" xr3:uid="{8288CCC7-BE5F-4110-847C-C1CA5C626C23}" name="Tipo de inversión" dataDxfId="161"/>
    <tableColumn id="2" xr3:uid="{2A172CBB-D486-4541-BBF6-57C6FC4972D5}" name="SOCIOS" dataDxfId="160"/>
    <tableColumn id="3" xr3:uid="{EEFF265C-2EFC-4585-81A1-B0409F89D75A}" name="BANCOS" dataDxfId="159"/>
    <tableColumn id="4" xr3:uid="{EEB1FB37-2DDD-4CE4-BE5D-C55AB1682173}" name="GOBIERNO FEDERAL" dataDxfId="158"/>
    <tableColumn id="5" xr3:uid="{F0F75551-8596-41C5-A0C0-E74D39D33BF2}" name="TOTAL" dataDxfId="157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C1D28-2FAD-47B2-9259-32A34D9ABF92}" name="Table2" displayName="Table2" ref="H2:J7" totalsRowShown="0" headerRowDxfId="150" dataDxfId="151">
  <autoFilter ref="H2:J7" xr:uid="{115C1D28-2FAD-47B2-9259-32A34D9ABF92}"/>
  <tableColumns count="3">
    <tableColumn id="1" xr3:uid="{DAE3D046-1286-4C2A-8E3A-1BC2DC4FFE68}" name="Período" dataDxfId="154"/>
    <tableColumn id="2" xr3:uid="{F9AB6252-9754-4CAE-956D-D5962BC674A2}" name="BANCO (%)" dataDxfId="153"/>
    <tableColumn id="3" xr3:uid="{98B5671A-2F73-4F66-AC39-AAA959BC4A90}" name="GOBIERNO FEDERAL (%)" dataDxfId="152"/>
  </tableColumns>
  <tableStyleInfo name="Presupuesto personal - ingreso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9314A-2B09-41DD-8CBE-4E4C288C37AA}" name="Table3" displayName="Table3" ref="B2:I12" totalsRowShown="0" headerRowDxfId="140" dataDxfId="141">
  <autoFilter ref="B2:I12" xr:uid="{0F19314A-2B09-41DD-8CBE-4E4C288C37AA}"/>
  <tableColumns count="8">
    <tableColumn id="1" xr3:uid="{3953648D-76E2-468B-8BF9-06ED03142B08}" name="Año" dataDxfId="149"/>
    <tableColumn id="2" xr3:uid="{5D8C8202-0908-49AD-AD49-BE924A0E707F}" name="Mes" dataDxfId="148"/>
    <tableColumn id="3" xr3:uid="{1A986AD5-A933-44B8-9513-BC4F45BA7503}" name="Usuarios Gratis" dataDxfId="147"/>
    <tableColumn id="4" xr3:uid="{D44D4DFB-8A0D-48B2-8A56-6A7278973B77}" name="Usuarios Premium" dataDxfId="146"/>
    <tableColumn id="5" xr3:uid="{4BC2A263-6129-4CDC-8604-421534AD9C10}" name="Empresas con datos vendidos" dataDxfId="145"/>
    <tableColumn id="6" xr3:uid="{81BD8F5A-0966-440E-BA8B-8E9FAFF846BD}" name="Ingreso Premium (149 c/u)" dataDxfId="144"/>
    <tableColumn id="7" xr3:uid="{F6FE9915-75C3-484B-B7DF-1BA5185AB918}" name="Ingreso por venta de datos" dataDxfId="143"/>
    <tableColumn id="8" xr3:uid="{EF25BAF4-B1A7-4E7C-8639-AD09D2744A2F}" name="Ingreso Total" dataDxfId="142"/>
  </tableColumns>
  <tableStyleInfo name="Presupuesto personal - ingreso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FDCB3B-19DF-4AE6-AB6B-54F131CA5E5D}" name="Table35" displayName="Table35" ref="B14:I29" totalsRowShown="0" headerRowDxfId="139" dataDxfId="138">
  <autoFilter ref="B14:I29" xr:uid="{60FDCB3B-19DF-4AE6-AB6B-54F131CA5E5D}"/>
  <tableColumns count="8">
    <tableColumn id="1" xr3:uid="{8016E764-91C8-490A-8198-E0A4261FE35A}" name="Año" dataDxfId="137"/>
    <tableColumn id="2" xr3:uid="{2B01EFD9-35D1-46CC-9790-95B89443BAAE}" name="Mes" dataDxfId="136"/>
    <tableColumn id="3" xr3:uid="{29D009A2-1A92-4DF3-BB97-6F896B1D7E16}" name="Usuarios Gratis" dataDxfId="135"/>
    <tableColumn id="4" xr3:uid="{03052388-F595-4B96-9DBF-C22EA0AFE556}" name="Usuarios Premium" dataDxfId="134"/>
    <tableColumn id="5" xr3:uid="{597EA3E0-EF34-4C70-BE65-116B0ECB7689}" name="Empresas con datos vendidos" dataDxfId="133"/>
    <tableColumn id="6" xr3:uid="{CCAA8B3D-16A6-46C5-A4E1-27F7F91E9D76}" name="Ingreso Premium (149 c/u)" dataDxfId="132"/>
    <tableColumn id="7" xr3:uid="{C098291B-DAE9-4851-9CE3-EA683E8DC6AD}" name="Ingreso por venta de datos" dataDxfId="131"/>
    <tableColumn id="8" xr3:uid="{144DD1C2-478D-4045-898B-3680D5800F9A}" name="Ingreso Total" dataDxfId="130"/>
  </tableColumns>
  <tableStyleInfo name="Presupuesto personal - ingreso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63984-07F6-41E3-B233-FF8090474D29}" name="Table356" displayName="Table356" ref="B31:I46" totalsRowShown="0" headerRowDxfId="129" dataDxfId="128">
  <autoFilter ref="B31:I46" xr:uid="{E5663984-07F6-41E3-B233-FF8090474D29}"/>
  <tableColumns count="8">
    <tableColumn id="1" xr3:uid="{658D2179-B382-44F7-867E-0978E3262753}" name="Año" dataDxfId="127"/>
    <tableColumn id="2" xr3:uid="{C6231620-7459-4EE4-B778-3A2A253CAF8A}" name="Mes" dataDxfId="126"/>
    <tableColumn id="3" xr3:uid="{8A119972-06DF-4C72-8AA8-2A061BBD923C}" name="Usuarios Gratis" dataDxfId="125"/>
    <tableColumn id="4" xr3:uid="{E9B78962-01AE-43A8-A27C-D666EDD7B2E6}" name="Usuarios Premium" dataDxfId="124"/>
    <tableColumn id="5" xr3:uid="{9448A7DB-41C6-415C-87E6-E33ADDE13330}" name="Empresas con datos vendidos" dataDxfId="123"/>
    <tableColumn id="6" xr3:uid="{4CA08D92-F336-4D52-9436-0F282D826957}" name="Ingreso Premium (149 c/u)" dataDxfId="122"/>
    <tableColumn id="7" xr3:uid="{4109144B-CA91-4575-B05B-5C7408BADD81}" name="Ingreso por venta de datos" dataDxfId="121"/>
    <tableColumn id="8" xr3:uid="{BDF65E0B-E5D1-40E7-8094-F8B5986C6E1B}" name="Ingreso Total" dataDxfId="120"/>
  </tableColumns>
  <tableStyleInfo name="Presupuesto personal - ingreso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75128-E8F0-452D-8C96-5367A86409BA}" name="Table3567" displayName="Table3567" ref="B48:I63" totalsRowShown="0" headerRowDxfId="119" dataDxfId="118">
  <autoFilter ref="B48:I63" xr:uid="{66B75128-E8F0-452D-8C96-5367A86409BA}"/>
  <tableColumns count="8">
    <tableColumn id="1" xr3:uid="{1E3D7208-9C46-4994-B379-A253DBCE0797}" name="Año" dataDxfId="117"/>
    <tableColumn id="2" xr3:uid="{C70890C8-5854-42B5-A124-5442A1B911C6}" name="Mes" dataDxfId="116"/>
    <tableColumn id="3" xr3:uid="{9E04E43B-5011-4128-8106-59DAA5D4B591}" name="Usuarios Gratis" dataDxfId="115"/>
    <tableColumn id="4" xr3:uid="{754A7972-9552-4201-ACF8-F1314455DDE4}" name="Usuarios Premium" dataDxfId="114"/>
    <tableColumn id="5" xr3:uid="{C7740A75-07CA-4CB0-9837-3D035CEC4107}" name="Empresas con datos vendidos" dataDxfId="113"/>
    <tableColumn id="6" xr3:uid="{0079BE90-25BE-41FA-B6FF-0C2F57B36A67}" name="Ingreso Premium (149 c/u)" dataDxfId="112"/>
    <tableColumn id="7" xr3:uid="{4475083E-947D-4FC2-93A2-86478BD9F92C}" name="Ingreso por venta de datos" dataDxfId="111"/>
    <tableColumn id="8" xr3:uid="{D98C8DA7-6F9E-4872-B186-09AA10148A6C}" name="Ingreso Total" dataDxfId="110"/>
  </tableColumns>
  <tableStyleInfo name="Presupuesto personal - ingreso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97B9D9-D823-46F3-AD1F-8E75E0CB949D}" name="Table35678" displayName="Table35678" ref="B65:I80" totalsRowShown="0" headerRowDxfId="109" dataDxfId="108">
  <autoFilter ref="B65:I80" xr:uid="{6C97B9D9-D823-46F3-AD1F-8E75E0CB949D}"/>
  <tableColumns count="8">
    <tableColumn id="1" xr3:uid="{0626BEAB-DE39-4D5E-B8FC-733C1393355F}" name="Año" dataDxfId="107"/>
    <tableColumn id="2" xr3:uid="{4CDC3836-3977-49C7-9155-1CD9076659B8}" name="Mes" dataDxfId="106"/>
    <tableColumn id="3" xr3:uid="{71CE3F64-0799-489C-8130-0FCBA192D073}" name="Usuarios Gratis" dataDxfId="105"/>
    <tableColumn id="4" xr3:uid="{A5EFD339-3B59-45DD-B1E1-7300244D703F}" name="Usuarios Premium" dataDxfId="104"/>
    <tableColumn id="5" xr3:uid="{1EDC3966-1932-41EA-B7E0-158E9E73195E}" name="Empresas con datos vendidos" dataDxfId="103"/>
    <tableColumn id="6" xr3:uid="{E1EF1707-02C6-4075-9EFF-751C358CCF8F}" name="Ingreso Premium (149 c/u)" dataDxfId="102"/>
    <tableColumn id="7" xr3:uid="{57E4702F-FF01-4DC2-A2EE-AD5DC28A7023}" name="Ingreso por venta de datos" dataDxfId="101"/>
    <tableColumn id="8" xr3:uid="{2BB444C7-3DF0-40D7-A93B-C23F7408071E}" name="Ingreso Total" dataDxfId="100"/>
  </tableColumns>
  <tableStyleInfo name="Presupuesto personal - ingreso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605DC0-EBD0-452B-BA47-A6AB810CEED1}" name="Table8" displayName="Table8" ref="B2:S15" totalsRowShown="0" headerRowDxfId="95" dataDxfId="96">
  <autoFilter ref="B2:S15" xr:uid="{A4605DC0-EBD0-452B-BA47-A6AB810CEED1}"/>
  <tableColumns count="18">
    <tableColumn id="1" xr3:uid="{E10109C5-D5BF-4E5C-ACC1-3803D254AC83}" name="Mes" dataDxfId="99"/>
    <tableColumn id="2" xr3:uid="{0E66632C-B14B-4A59-87BF-03A9A9E9DB62}" name="Sueldo" dataDxfId="98">
      <calculatedColumnFormula>5040000/12</calculatedColumnFormula>
    </tableColumn>
    <tableColumn id="20" xr3:uid="{8F49CCE1-B748-495C-B1FD-CA1CD991BB55}" name="Usuarios Premium" dataDxfId="94"/>
    <tableColumn id="3" xr3:uid="{A19B2765-8047-4080-B1F3-81D8E0B01C70}" name="Empresas con datos vendidos" dataDxfId="97"/>
    <tableColumn id="4" xr3:uid="{7F7EBA07-558C-4D11-8F10-13606790D237}" name="Total Ingresos" dataDxfId="93">
      <calculatedColumnFormula>SUM(Table8[[#This Row],[Usuarios Premium]:[Empresas con datos vendidos]])</calculatedColumnFormula>
    </tableColumn>
    <tableColumn id="5" xr3:uid="{C67769AA-69B0-4E45-A697-2878111E3EAE}" name="Renta" dataDxfId="92"/>
    <tableColumn id="6" xr3:uid="{9C398D8E-1D99-4245-AA3A-50E3A4759773}" name="Agua" dataDxfId="91"/>
    <tableColumn id="7" xr3:uid="{FC1F437D-0FEA-45C0-B739-EFE420423530}" name="Luz" dataDxfId="90"/>
    <tableColumn id="8" xr3:uid="{C136848C-92CF-4E39-9DF1-218623DA2F0D}" name="Internet" dataDxfId="89"/>
    <tableColumn id="9" xr3:uid="{2F83AD70-E1EE-4CED-A732-CD7BBFCE76B4}" name="Personal de Limpieza" dataDxfId="88"/>
    <tableColumn id="10" xr3:uid="{CE16C750-E413-4CBE-B381-A3B704A7FAEE}" name="Personal de Seguridad de Instalaciones" dataDxfId="87"/>
    <tableColumn id="11" xr3:uid="{0474B10F-DB72-40F6-A373-C048F0F9EC07}" name="Personal de Cocina" dataDxfId="86"/>
    <tableColumn id="12" xr3:uid="{73F6DBE4-99B1-44C0-BC0B-F80519DE1B29}" name="Publicidad" dataDxfId="85"/>
    <tableColumn id="13" xr3:uid="{34DB2DED-71FC-4EA7-A5DD-8BA1D13C5317}" name="Servidores" dataDxfId="84"/>
    <tableColumn id="14" xr3:uid="{6AB6FD47-5481-4D2A-BDC2-2757733D128C}" name="Prestamo Bancario" dataDxfId="81">
      <calculatedColumnFormula>(1027223/5)/12</calculatedColumnFormula>
    </tableColumn>
    <tableColumn id="15" xr3:uid="{A0054113-6C8D-4E58-92CF-E99AC0CAB4C4}" name="Prestamo Gobierno" dataDxfId="80">
      <calculatedColumnFormula>(4108892/5)/12</calculatedColumnFormula>
    </tableColumn>
    <tableColumn id="18" xr3:uid="{8DF9C7BB-373F-44A2-8691-774D8EBF522E}" name="Total Egresos" dataDxfId="82">
      <calculatedColumnFormula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calculatedColumnFormula>
    </tableColumn>
    <tableColumn id="19" xr3:uid="{D86FE205-7296-4D71-9DAB-11C8EBF920F6}" name="Diferencia (Ingreso - Egreso)" dataDxfId="83">
      <calculatedColumnFormula>Table8[[#This Row],[Total Ingresos]]-Table8[[#This Row],[Total Egresos]]</calculatedColumnFormula>
    </tableColumn>
  </tableColumns>
  <tableStyleInfo name="Presupuesto personal - ingreso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2896BF-8FBF-41C1-A683-AC8804AEBD48}" name="Table810" displayName="Table810" ref="B18:S31" totalsRowShown="0" headerRowDxfId="79" dataDxfId="78">
  <autoFilter ref="B18:S31" xr:uid="{F72896BF-8FBF-41C1-A683-AC8804AEBD48}"/>
  <tableColumns count="18">
    <tableColumn id="1" xr3:uid="{E21E81E6-02D1-4507-A94F-DDECD7E0D6D4}" name="Mes" dataDxfId="77"/>
    <tableColumn id="2" xr3:uid="{E03C61C9-376C-43D4-B495-26D11765D10D}" name="Sueldo" dataDxfId="76">
      <calculatedColumnFormula>5040000/12</calculatedColumnFormula>
    </tableColumn>
    <tableColumn id="20" xr3:uid="{186951D6-4AFD-4F95-A364-4E715F1CD127}" name="Usuarios Premium" dataDxfId="75"/>
    <tableColumn id="3" xr3:uid="{EEE6A013-51D8-4150-BD89-8E2BF0F84FA6}" name="Empresas con datos vendidos" dataDxfId="74"/>
    <tableColumn id="4" xr3:uid="{9E5DC7A1-1F74-4ADD-95D6-D2E264B1885C}" name="Total Ingresos" dataDxfId="73">
      <calculatedColumnFormula>SUM(Table810[[#This Row],[Usuarios Premium]:[Empresas con datos vendidos]])</calculatedColumnFormula>
    </tableColumn>
    <tableColumn id="5" xr3:uid="{90C54B23-565E-4094-8C73-84BDA1D2BED8}" name="Renta" dataDxfId="72"/>
    <tableColumn id="6" xr3:uid="{FAC5DE16-337F-4DBE-B1B4-9FAFDA71DA84}" name="Agua" dataDxfId="71"/>
    <tableColumn id="7" xr3:uid="{A19E927A-07B9-49A0-A683-2361F5A09B7C}" name="Luz" dataDxfId="70"/>
    <tableColumn id="8" xr3:uid="{4BC167F9-F19C-4EB9-8EB0-589B51F283E9}" name="Internet" dataDxfId="69"/>
    <tableColumn id="9" xr3:uid="{CBF229A8-87D6-493F-83B3-4A33B6C0052B}" name="Personal de Limpieza" dataDxfId="68"/>
    <tableColumn id="10" xr3:uid="{0154473B-303D-41F8-8E10-FB21C6158E85}" name="Personal de Seguridad de Instalaciones" dataDxfId="67"/>
    <tableColumn id="11" xr3:uid="{7E419D37-FCC9-4339-B377-7933FE1CC2C5}" name="Personal de Cocina" dataDxfId="66"/>
    <tableColumn id="12" xr3:uid="{1AA816B9-95FD-4583-88DB-D48DBE27C858}" name="Publicidad" dataDxfId="65"/>
    <tableColumn id="13" xr3:uid="{A9ADECD0-C94F-4974-8252-696A7023B6B9}" name="Servidores" dataDxfId="64"/>
    <tableColumn id="14" xr3:uid="{70B23692-58D8-4898-A19A-BA77DC1BBEA2}" name="Prestamo Bancario" dataDxfId="63">
      <calculatedColumnFormula>(1027223/5)/12</calculatedColumnFormula>
    </tableColumn>
    <tableColumn id="15" xr3:uid="{4FC47594-BBD7-441F-ABA4-2178E8E2465C}" name="Prestamo Gobierno" dataDxfId="62">
      <calculatedColumnFormula>(4108892/5)/12</calculatedColumnFormula>
    </tableColumn>
    <tableColumn id="18" xr3:uid="{283449E4-F56F-4900-8C1D-4222415EDAD6}" name="Total Egresos" dataDxfId="61">
      <calculatedColumnFormula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calculatedColumnFormula>
    </tableColumn>
    <tableColumn id="19" xr3:uid="{B3211625-9951-45D9-8F9F-5AB88CEF9284}" name="Diferencia (Ingreso - Egreso)" dataDxfId="60">
      <calculatedColumnFormula>Table810[[#This Row],[Total Ingresos]]-Table810[[#This Row],[Total Egresos]]+S3</calculatedColumnFormula>
    </tableColumn>
  </tableColumns>
  <tableStyleInfo name="Presupuesto personal - ingreso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784149-A6D6-4606-8D8D-79C694037378}" name="Table81011" displayName="Table81011" ref="B34:S47" totalsRowShown="0" headerRowDxfId="59" dataDxfId="58">
  <autoFilter ref="B34:S47" xr:uid="{11784149-A6D6-4606-8D8D-79C694037378}"/>
  <tableColumns count="18">
    <tableColumn id="1" xr3:uid="{A3BBDE9B-49B0-459A-BE0A-FFEC0644306E}" name="Mes" dataDxfId="57"/>
    <tableColumn id="2" xr3:uid="{1DFCBFD3-5FD8-4B4E-9A9A-C8AD02843915}" name="Sueldo" dataDxfId="56">
      <calculatedColumnFormula>5040000/12</calculatedColumnFormula>
    </tableColumn>
    <tableColumn id="20" xr3:uid="{D0F7EE84-EA1B-4D04-80F2-CA67AC3F1802}" name="Usuarios Premium" dataDxfId="55"/>
    <tableColumn id="3" xr3:uid="{1D98A28C-5D6C-422F-8C6F-3EFD8DCF13A8}" name="Empresas con datos vendidos" dataDxfId="54"/>
    <tableColumn id="4" xr3:uid="{205879E9-27FF-4597-8C89-E0445DF8A11C}" name="Total Ingresos" dataDxfId="53">
      <calculatedColumnFormula>SUM(Table81011[[#This Row],[Usuarios Premium]:[Empresas con datos vendidos]])</calculatedColumnFormula>
    </tableColumn>
    <tableColumn id="5" xr3:uid="{3B32A123-B619-44C5-80B6-5C0D73A3A10C}" name="Renta" dataDxfId="52"/>
    <tableColumn id="6" xr3:uid="{F02CB569-F4E2-45A8-833E-C1ABF1ED7B0C}" name="Agua" dataDxfId="51"/>
    <tableColumn id="7" xr3:uid="{712E20B9-E4EC-4A27-A74C-B7CE42498843}" name="Luz" dataDxfId="50"/>
    <tableColumn id="8" xr3:uid="{6CA4A5E8-FE81-41EE-BC03-7D1E8C5D4C25}" name="Internet" dataDxfId="49"/>
    <tableColumn id="9" xr3:uid="{C28F4225-58D1-42DD-98F4-0DA3DF026460}" name="Personal de Limpieza" dataDxfId="48"/>
    <tableColumn id="10" xr3:uid="{E2377553-C005-4B51-BDDC-37FB43369C95}" name="Personal de Seguridad de Instalaciones" dataDxfId="47"/>
    <tableColumn id="11" xr3:uid="{2EEA194E-087A-4C41-9B87-294E5639612E}" name="Personal de Cocina" dataDxfId="46"/>
    <tableColumn id="12" xr3:uid="{EF895FC1-FE3F-4B53-811F-A0DA51B68821}" name="Publicidad" dataDxfId="45"/>
    <tableColumn id="13" xr3:uid="{CF6E03F0-53EE-4552-BD0A-1D90E0C6FF48}" name="Servidores" dataDxfId="44"/>
    <tableColumn id="14" xr3:uid="{BFC83ACF-9B52-4200-81B4-FDC0B59A255A}" name="Prestamo Bancario" dataDxfId="43">
      <calculatedColumnFormula>(1027223/5)/12</calculatedColumnFormula>
    </tableColumn>
    <tableColumn id="15" xr3:uid="{FAAA133B-3F83-4AA8-B7EA-159EF931AF5D}" name="Prestamo Gobierno" dataDxfId="42">
      <calculatedColumnFormula>(4108892/5)/12</calculatedColumnFormula>
    </tableColumn>
    <tableColumn id="18" xr3:uid="{2A9A6FEA-754F-496F-BA1D-B5F9BDD3468E}" name="Total Egresos" dataDxfId="41">
      <calculatedColumnFormula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calculatedColumnFormula>
    </tableColumn>
    <tableColumn id="19" xr3:uid="{680DD888-B516-4BB3-BBA3-1D3C5BE8AC3F}" name="Diferencia (Ingreso - Egreso)" dataDxfId="40">
      <calculatedColumnFormula>Table81011[[#This Row],[Total Ingresos]]-Table81011[[#This Row],[Total Egresos]]+S19</calculatedColumnFormula>
    </tableColumn>
  </tableColumns>
  <tableStyleInfo name="Presupuesto personal - ingreso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1A7661-315B-46DB-A0EE-2FA3B0C509B8}" name="Table8101112" displayName="Table8101112" ref="B50:S63" totalsRowShown="0" headerRowDxfId="39" dataDxfId="38">
  <autoFilter ref="B50:S63" xr:uid="{7A1A7661-315B-46DB-A0EE-2FA3B0C509B8}"/>
  <tableColumns count="18">
    <tableColumn id="1" xr3:uid="{B80C5017-D836-411F-BAA7-E641482DCCB3}" name="Mes" dataDxfId="37"/>
    <tableColumn id="2" xr3:uid="{B7C6FB22-6721-4E03-A27C-2B40B8D6EE0E}" name="Sueldo" dataDxfId="36">
      <calculatedColumnFormula>5040000/12</calculatedColumnFormula>
    </tableColumn>
    <tableColumn id="20" xr3:uid="{EEA8C05A-A1D0-4E32-8ED1-BFC0AA06D35C}" name="Usuarios Premium" dataDxfId="35"/>
    <tableColumn id="3" xr3:uid="{059173AB-4168-49C8-A95B-FA957ADBFACC}" name="Empresas con datos vendidos" dataDxfId="34"/>
    <tableColumn id="4" xr3:uid="{30EE4F4B-034E-43CB-AB8E-CC51781F6497}" name="Total Ingresos" dataDxfId="33">
      <calculatedColumnFormula>SUM(Table8101112[[#This Row],[Usuarios Premium]:[Empresas con datos vendidos]])</calculatedColumnFormula>
    </tableColumn>
    <tableColumn id="5" xr3:uid="{1D7D6835-3F17-45E1-AB8A-77805D52C968}" name="Renta" dataDxfId="32"/>
    <tableColumn id="6" xr3:uid="{03361A32-356A-410A-952B-8BBA8D2ACF91}" name="Agua" dataDxfId="31"/>
    <tableColumn id="7" xr3:uid="{3B2C922C-6331-4555-819A-32C169820787}" name="Luz" dataDxfId="30"/>
    <tableColumn id="8" xr3:uid="{0A9C749F-BBC6-419C-B113-F182DE97FA26}" name="Internet" dataDxfId="29"/>
    <tableColumn id="9" xr3:uid="{4202F7A0-ADBD-499E-A667-81F82C943F16}" name="Personal de Limpieza" dataDxfId="28"/>
    <tableColumn id="10" xr3:uid="{CA067BE5-3DB4-412D-A142-7680EFEABD66}" name="Personal de Seguridad de Instalaciones" dataDxfId="27"/>
    <tableColumn id="11" xr3:uid="{B7CDE6A4-D6FF-45B0-9C90-710CCA6E8815}" name="Personal de Cocina" dataDxfId="26"/>
    <tableColumn id="12" xr3:uid="{85D90DCF-D0F5-4512-A3F7-DFC2EA73BE1B}" name="Publicidad" dataDxfId="25"/>
    <tableColumn id="13" xr3:uid="{A945E717-6E5A-48A6-A9D7-36C11038A988}" name="Servidores" dataDxfId="24"/>
    <tableColumn id="14" xr3:uid="{38D6514D-6E19-42C1-82A5-4399BD7F8056}" name="Prestamo Bancario" dataDxfId="23">
      <calculatedColumnFormula>(1027223/5)/12</calculatedColumnFormula>
    </tableColumn>
    <tableColumn id="15" xr3:uid="{65C34420-CCAC-4E20-A6C5-7B32EA494EDA}" name="Prestamo Gobierno" dataDxfId="22">
      <calculatedColumnFormula>(4108892/5)/12</calculatedColumnFormula>
    </tableColumn>
    <tableColumn id="18" xr3:uid="{E4AA86E4-617D-4742-B41B-07BB8AF3D28C}" name="Total Egresos" dataDxfId="21">
      <calculatedColumnFormula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calculatedColumnFormula>
    </tableColumn>
    <tableColumn id="19" xr3:uid="{08807401-6E35-4CE1-98A6-63C3A7EC6C8B}" name="Diferencia (Ingreso - Egreso)" dataDxfId="20">
      <calculatedColumnFormula>Table8101112[[#This Row],[Total Ingresos]]-Table8101112[[#This Row],[Total Egresos]]+S35</calculatedColumnFormula>
    </tableColumn>
  </tableColumns>
  <tableStyleInfo name="Presupuesto personal - ingreso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046B230-08A3-4885-9656-A674186C5943}" name="Table810111213" displayName="Table810111213" ref="B66:S79" totalsRowShown="0" headerRowDxfId="19" dataDxfId="18">
  <autoFilter ref="B66:S79" xr:uid="{F046B230-08A3-4885-9656-A674186C5943}"/>
  <tableColumns count="18">
    <tableColumn id="1" xr3:uid="{57F1DD17-0ADC-4D55-81CA-36105979BC0E}" name="Mes" dataDxfId="17"/>
    <tableColumn id="2" xr3:uid="{25BC95D5-FEFC-4D62-92A8-CDDE4454F305}" name="Sueldo" dataDxfId="16">
      <calculatedColumnFormula>5040000/12</calculatedColumnFormula>
    </tableColumn>
    <tableColumn id="20" xr3:uid="{AD63FEA2-58D8-467B-B24E-F1B5F98C4F88}" name="Usuarios Premium" dataDxfId="15"/>
    <tableColumn id="3" xr3:uid="{13AE4912-CE01-47E9-816C-033AEDEA3B2B}" name="Empresas con datos vendidos" dataDxfId="14"/>
    <tableColumn id="4" xr3:uid="{A0A8AC61-45BA-4D08-97AB-A033CAC7D9AD}" name="Total Ingresos" dataDxfId="13">
      <calculatedColumnFormula>SUM(Table810111213[[#This Row],[Usuarios Premium]:[Empresas con datos vendidos]])</calculatedColumnFormula>
    </tableColumn>
    <tableColumn id="5" xr3:uid="{92268646-97A2-4557-987C-67BCC3D8A74B}" name="Renta" dataDxfId="12"/>
    <tableColumn id="6" xr3:uid="{07D9BE32-5085-4E78-BE0A-AA3A12B807A8}" name="Agua" dataDxfId="11"/>
    <tableColumn id="7" xr3:uid="{3A1A1148-15B3-4C13-879A-C92F104CD3FA}" name="Luz" dataDxfId="10"/>
    <tableColumn id="8" xr3:uid="{6BA4DDEC-CCA6-4E32-A865-0D1A194DE1FC}" name="Internet" dataDxfId="9"/>
    <tableColumn id="9" xr3:uid="{91C15F11-C05C-42F4-945E-2FCB8BA6C656}" name="Personal de Limpieza" dataDxfId="8"/>
    <tableColumn id="10" xr3:uid="{BC97D0F0-85C3-4FAE-91E1-CF6F4EB5D482}" name="Personal de Seguridad de Instalaciones" dataDxfId="7"/>
    <tableColumn id="11" xr3:uid="{CE570F96-521C-4E1B-9676-574674072968}" name="Personal de Cocina" dataDxfId="6"/>
    <tableColumn id="12" xr3:uid="{E989821D-D40B-4E60-B8AF-AF76D17CC51E}" name="Publicidad" dataDxfId="5"/>
    <tableColumn id="13" xr3:uid="{B8B979E9-7BCF-442C-BCB2-6E54E22058C5}" name="Servidores" dataDxfId="4"/>
    <tableColumn id="14" xr3:uid="{6EE8FC82-8FA3-4FEE-A4CC-1DDC560EF57C}" name="Prestamo Bancario" dataDxfId="3">
      <calculatedColumnFormula>(1027223/5)/12</calculatedColumnFormula>
    </tableColumn>
    <tableColumn id="15" xr3:uid="{5CF33077-634B-4B48-BAE9-27367293404B}" name="Prestamo Gobierno" dataDxfId="2">
      <calculatedColumnFormula>(4108892/5)/12</calculatedColumnFormula>
    </tableColumn>
    <tableColumn id="18" xr3:uid="{9B6E0C5C-4A7A-4497-90CF-AEA08F443B91}" name="Total Egresos" dataDxfId="1">
      <calculatedColumnFormula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calculatedColumnFormula>
    </tableColumn>
    <tableColumn id="19" xr3:uid="{82E92E63-8A97-48BC-8753-9F43EBAC57C7}" name="Diferencia (Ingreso - Egreso)" dataDxfId="0">
      <calculatedColumnFormula>Table810111213[[#This Row],[Total Ingresos]]-Table810111213[[#This Row],[Total Egresos]]+S51</calculatedColumnFormula>
    </tableColumn>
  </tableColumns>
  <tableStyleInfo name="Presupuesto personal - ingreso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3">
      <a:dk1>
        <a:sysClr val="windowText" lastClr="000000"/>
      </a:dk1>
      <a:lt1>
        <a:sysClr val="window" lastClr="FFFFFF"/>
      </a:lt1>
      <a:dk2>
        <a:srgbClr val="304157"/>
      </a:dk2>
      <a:lt2>
        <a:srgbClr val="E7E6E6"/>
      </a:lt2>
      <a:accent1>
        <a:srgbClr val="1B79AD"/>
      </a:accent1>
      <a:accent2>
        <a:srgbClr val="1D7B7D"/>
      </a:accent2>
      <a:accent3>
        <a:srgbClr val="EF4755"/>
      </a:accent3>
      <a:accent4>
        <a:srgbClr val="FFC000"/>
      </a:accent4>
      <a:accent5>
        <a:srgbClr val="176795"/>
      </a:accent5>
      <a:accent6>
        <a:srgbClr val="4D81BF"/>
      </a:accent6>
      <a:hlink>
        <a:srgbClr val="F78F2F"/>
      </a:hlink>
      <a:folHlink>
        <a:srgbClr val="F78F2F"/>
      </a:folHlink>
    </a:clrScheme>
    <a:fontScheme name="Custom 13">
      <a:majorFont>
        <a:latin typeface="Gill Sans MT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73D6-7D1C-4550-A700-2354EAE48CC7}">
  <sheetPr>
    <tabColor theme="4"/>
    <pageSetUpPr autoPageBreaks="0" fitToPage="1"/>
  </sheetPr>
  <dimension ref="A2:Q163"/>
  <sheetViews>
    <sheetView showGridLines="0" topLeftCell="J115" zoomScale="93" zoomScaleNormal="96" workbookViewId="0">
      <selection activeCell="D152" sqref="D152"/>
    </sheetView>
  </sheetViews>
  <sheetFormatPr defaultColWidth="9" defaultRowHeight="12.75" x14ac:dyDescent="0.2"/>
  <cols>
    <col min="1" max="1" width="6.5" style="2" customWidth="1"/>
    <col min="2" max="2" width="1.875" customWidth="1"/>
    <col min="3" max="3" width="46.25" bestFit="1" customWidth="1"/>
    <col min="4" max="4" width="14.75" style="1" customWidth="1"/>
    <col min="5" max="5" width="14" style="1" customWidth="1"/>
    <col min="6" max="6" width="15.25" style="1" bestFit="1" customWidth="1"/>
    <col min="7" max="7" width="15" style="1" customWidth="1"/>
    <col min="8" max="8" width="15.375" style="1" customWidth="1"/>
    <col min="9" max="9" width="15.25" style="1" customWidth="1"/>
    <col min="10" max="11" width="14.75" style="1" customWidth="1"/>
    <col min="12" max="12" width="14.125" style="1" customWidth="1"/>
    <col min="13" max="13" width="15.25" style="1" customWidth="1"/>
    <col min="14" max="14" width="14" style="1" customWidth="1"/>
    <col min="15" max="15" width="14.125" style="1" customWidth="1"/>
    <col min="16" max="16" width="16.125" style="1" customWidth="1"/>
    <col min="17" max="17" width="12.375" customWidth="1"/>
  </cols>
  <sheetData>
    <row r="2" spans="1:17" ht="35.25" customHeight="1" x14ac:dyDescent="0.7">
      <c r="C2" s="54"/>
      <c r="D2" s="54"/>
      <c r="F2" s="3"/>
      <c r="G2" s="3"/>
      <c r="H2" s="3"/>
      <c r="I2" s="15"/>
      <c r="J2" s="3"/>
      <c r="K2" s="3"/>
      <c r="L2" s="3"/>
      <c r="M2" s="3"/>
      <c r="N2" s="3"/>
      <c r="O2" s="3"/>
      <c r="P2" s="3"/>
      <c r="Q2" s="4"/>
    </row>
    <row r="3" spans="1:17" ht="26.25" customHeight="1" x14ac:dyDescent="0.2">
      <c r="E3" s="16"/>
    </row>
    <row r="4" spans="1:17" ht="21" customHeight="1" x14ac:dyDescent="0.2">
      <c r="B4" s="11"/>
      <c r="C4" s="6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/>
    </row>
    <row r="5" spans="1:17" ht="24" customHeight="1" x14ac:dyDescent="0.2">
      <c r="D5"/>
      <c r="E5"/>
      <c r="F5"/>
      <c r="G5"/>
      <c r="H5"/>
      <c r="I5"/>
      <c r="J5"/>
      <c r="K5"/>
      <c r="L5"/>
      <c r="M5"/>
      <c r="N5"/>
      <c r="O5"/>
      <c r="P5"/>
    </row>
    <row r="6" spans="1:17" ht="21" customHeight="1" x14ac:dyDescent="0.2">
      <c r="A6" s="14" t="s">
        <v>14</v>
      </c>
      <c r="B6" s="12"/>
      <c r="C6" s="14" t="s">
        <v>15</v>
      </c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20"/>
      <c r="Q6" s="5"/>
    </row>
    <row r="7" spans="1:17" ht="15.95" hidden="1" customHeight="1" x14ac:dyDescent="0.2">
      <c r="B7" s="12"/>
      <c r="C7" t="s">
        <v>16</v>
      </c>
      <c r="D7" s="22" t="s">
        <v>17</v>
      </c>
      <c r="E7" s="22" t="s">
        <v>18</v>
      </c>
      <c r="F7" s="22" t="s">
        <v>19</v>
      </c>
      <c r="G7" s="22" t="s">
        <v>20</v>
      </c>
      <c r="H7" s="22" t="s">
        <v>21</v>
      </c>
      <c r="I7" s="22" t="s">
        <v>22</v>
      </c>
      <c r="J7" s="22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t="s">
        <v>30</v>
      </c>
    </row>
    <row r="8" spans="1:17" ht="15.95" customHeight="1" x14ac:dyDescent="0.2">
      <c r="A8" s="2">
        <v>1</v>
      </c>
      <c r="B8" s="12"/>
      <c r="C8" t="s">
        <v>31</v>
      </c>
      <c r="D8" s="20">
        <v>40000</v>
      </c>
      <c r="E8" s="23"/>
      <c r="F8" s="20"/>
      <c r="G8" s="23"/>
      <c r="H8" s="20"/>
      <c r="I8" s="23"/>
      <c r="J8" s="20"/>
      <c r="K8" s="23"/>
      <c r="L8" s="20"/>
      <c r="M8" s="23"/>
      <c r="N8" s="20"/>
      <c r="O8" s="23"/>
      <c r="P8" s="20">
        <f>SUM(tblDaily42[[#This Row],[Ene]:[Dic]])</f>
        <v>40000</v>
      </c>
      <c r="Q8" s="18"/>
    </row>
    <row r="9" spans="1:17" ht="15.95" customHeight="1" x14ac:dyDescent="0.2">
      <c r="A9" s="2">
        <v>2</v>
      </c>
      <c r="B9" s="12"/>
      <c r="C9" t="s">
        <v>32</v>
      </c>
      <c r="D9" s="20">
        <v>40000</v>
      </c>
      <c r="E9" s="23"/>
      <c r="F9" s="20"/>
      <c r="G9" s="23"/>
      <c r="H9" s="20"/>
      <c r="I9" s="23"/>
      <c r="J9" s="20"/>
      <c r="K9" s="23"/>
      <c r="L9" s="20"/>
      <c r="M9" s="23"/>
      <c r="N9" s="20"/>
      <c r="O9" s="23"/>
      <c r="P9" s="20">
        <f>SUM(tblDaily42[[#This Row],[Ene]:[Dic]])</f>
        <v>40000</v>
      </c>
      <c r="Q9" s="18"/>
    </row>
    <row r="10" spans="1:17" ht="15.95" customHeight="1" x14ac:dyDescent="0.2">
      <c r="A10" s="2">
        <v>3</v>
      </c>
      <c r="B10" s="12"/>
      <c r="C10" t="s">
        <v>33</v>
      </c>
      <c r="D10" s="20">
        <v>20000</v>
      </c>
      <c r="E10" s="23"/>
      <c r="F10" s="20"/>
      <c r="G10" s="23"/>
      <c r="H10" s="20"/>
      <c r="I10" s="23"/>
      <c r="J10" s="20"/>
      <c r="K10" s="23"/>
      <c r="L10" s="20"/>
      <c r="M10" s="23"/>
      <c r="N10" s="20"/>
      <c r="O10" s="23"/>
      <c r="P10" s="20">
        <f>SUM(tblDaily42[[#This Row],[Ene]:[Dic]])</f>
        <v>20000</v>
      </c>
      <c r="Q10" s="18"/>
    </row>
    <row r="11" spans="1:17" ht="15.95" customHeight="1" x14ac:dyDescent="0.2">
      <c r="A11" s="2">
        <v>3</v>
      </c>
      <c r="B11" s="12"/>
      <c r="C11" t="s">
        <v>34</v>
      </c>
      <c r="D11" s="20">
        <v>30000</v>
      </c>
      <c r="E11" s="23"/>
      <c r="F11" s="20"/>
      <c r="G11" s="23"/>
      <c r="H11" s="20"/>
      <c r="I11" s="23"/>
      <c r="J11" s="20"/>
      <c r="K11" s="23"/>
      <c r="L11" s="20"/>
      <c r="M11" s="23"/>
      <c r="N11" s="20"/>
      <c r="O11" s="23"/>
      <c r="P11" s="20">
        <f>SUM(tblDaily42[[#This Row],[Ene]:[Dic]])</f>
        <v>30000</v>
      </c>
      <c r="Q11" s="18"/>
    </row>
    <row r="12" spans="1:17" ht="15.95" customHeight="1" x14ac:dyDescent="0.2">
      <c r="A12" s="2">
        <v>2</v>
      </c>
      <c r="B12" s="12"/>
      <c r="C12" t="s">
        <v>35</v>
      </c>
      <c r="D12" s="20">
        <v>18000</v>
      </c>
      <c r="E12" s="23"/>
      <c r="F12" s="20"/>
      <c r="G12" s="23"/>
      <c r="H12" s="20"/>
      <c r="I12" s="23"/>
      <c r="J12" s="20"/>
      <c r="K12" s="23"/>
      <c r="L12" s="20"/>
      <c r="M12" s="23"/>
      <c r="N12" s="20"/>
      <c r="O12" s="23"/>
      <c r="P12" s="20">
        <f>SUM(tblDaily42[[#This Row],[Ene]:[Dic]])</f>
        <v>18000</v>
      </c>
      <c r="Q12" s="18"/>
    </row>
    <row r="13" spans="1:17" ht="15.95" customHeight="1" x14ac:dyDescent="0.2">
      <c r="A13" s="2">
        <v>2</v>
      </c>
      <c r="B13" s="12"/>
      <c r="C13" t="s">
        <v>36</v>
      </c>
      <c r="D13" s="20">
        <v>13000</v>
      </c>
      <c r="E13" s="23"/>
      <c r="F13" s="20"/>
      <c r="G13" s="23"/>
      <c r="H13" s="20"/>
      <c r="I13" s="23"/>
      <c r="J13" s="20"/>
      <c r="K13" s="23"/>
      <c r="L13" s="20"/>
      <c r="M13" s="23"/>
      <c r="N13" s="20"/>
      <c r="O13" s="23"/>
      <c r="P13" s="20">
        <f>SUM(tblDaily42[[#This Row],[Ene]:[Dic]])</f>
        <v>13000</v>
      </c>
      <c r="Q13" s="18"/>
    </row>
    <row r="14" spans="1:17" ht="15.95" customHeight="1" x14ac:dyDescent="0.2">
      <c r="A14" s="2">
        <v>6</v>
      </c>
      <c r="B14" s="12"/>
      <c r="C14" t="s">
        <v>37</v>
      </c>
      <c r="D14" s="20">
        <v>20000</v>
      </c>
      <c r="E14" s="23"/>
      <c r="F14" s="20"/>
      <c r="G14" s="23"/>
      <c r="H14" s="20"/>
      <c r="I14" s="23"/>
      <c r="J14" s="20"/>
      <c r="K14" s="23"/>
      <c r="L14" s="20"/>
      <c r="M14" s="23"/>
      <c r="N14" s="20"/>
      <c r="O14" s="23"/>
      <c r="P14" s="20">
        <f>SUM(tblDaily42[[#This Row],[Ene]:[Dic]])</f>
        <v>20000</v>
      </c>
      <c r="Q14" s="18"/>
    </row>
    <row r="15" spans="1:17" ht="15.95" customHeight="1" x14ac:dyDescent="0.2">
      <c r="A15" s="2">
        <v>6</v>
      </c>
      <c r="B15" s="12"/>
      <c r="C15" t="s">
        <v>38</v>
      </c>
      <c r="D15" s="20">
        <v>20000</v>
      </c>
      <c r="E15" s="23"/>
      <c r="F15" s="20"/>
      <c r="G15" s="23"/>
      <c r="H15" s="20"/>
      <c r="I15" s="23"/>
      <c r="J15" s="20"/>
      <c r="K15" s="23"/>
      <c r="L15" s="20"/>
      <c r="M15" s="23"/>
      <c r="N15" s="20"/>
      <c r="O15" s="23"/>
      <c r="P15" s="20">
        <f>SUM(tblDaily42[[#This Row],[Ene]:[Dic]])</f>
        <v>20000</v>
      </c>
      <c r="Q15" s="18"/>
    </row>
    <row r="16" spans="1:17" ht="15.95" customHeight="1" x14ac:dyDescent="0.2">
      <c r="A16" s="2">
        <v>2</v>
      </c>
      <c r="B16" s="12"/>
      <c r="C16" t="s">
        <v>39</v>
      </c>
      <c r="D16" s="20">
        <v>26000</v>
      </c>
      <c r="E16" s="23"/>
      <c r="F16" s="20"/>
      <c r="G16" s="23"/>
      <c r="H16" s="20"/>
      <c r="I16" s="23"/>
      <c r="J16" s="20"/>
      <c r="K16" s="23"/>
      <c r="L16" s="20"/>
      <c r="M16" s="23"/>
      <c r="N16" s="20"/>
      <c r="O16" s="23"/>
      <c r="P16" s="20">
        <f>SUM(tblDaily42[[#This Row],[Ene]:[Dic]])</f>
        <v>26000</v>
      </c>
      <c r="Q16" s="18"/>
    </row>
    <row r="17" spans="1:17" ht="15.95" customHeight="1" x14ac:dyDescent="0.2">
      <c r="A17" s="2">
        <v>2</v>
      </c>
      <c r="B17" s="12"/>
      <c r="C17" t="s">
        <v>40</v>
      </c>
      <c r="D17" s="20">
        <v>32000</v>
      </c>
      <c r="E17" s="23"/>
      <c r="F17" s="20"/>
      <c r="G17" s="23"/>
      <c r="H17" s="20"/>
      <c r="I17" s="23"/>
      <c r="J17" s="20"/>
      <c r="K17" s="23"/>
      <c r="L17" s="20"/>
      <c r="M17" s="23"/>
      <c r="N17" s="20"/>
      <c r="O17" s="23"/>
      <c r="P17" s="20">
        <f>SUM(tblDaily42[[#This Row],[Ene]:[Dic]])</f>
        <v>32000</v>
      </c>
      <c r="Q17" s="18"/>
    </row>
    <row r="18" spans="1:17" ht="15.95" customHeight="1" x14ac:dyDescent="0.2">
      <c r="A18" s="2">
        <v>3</v>
      </c>
      <c r="B18" s="12"/>
      <c r="C18" t="s">
        <v>41</v>
      </c>
      <c r="D18" s="20">
        <v>20000</v>
      </c>
      <c r="E18" s="23"/>
      <c r="F18" s="20"/>
      <c r="G18" s="23"/>
      <c r="H18" s="20"/>
      <c r="I18" s="23"/>
      <c r="J18" s="20"/>
      <c r="K18" s="23"/>
      <c r="L18" s="20"/>
      <c r="M18" s="23"/>
      <c r="N18" s="20"/>
      <c r="O18" s="23"/>
      <c r="P18" s="20">
        <f>SUM(tblDaily42[[#This Row],[Ene]:[Dic]])</f>
        <v>20000</v>
      </c>
      <c r="Q18" s="18"/>
    </row>
    <row r="19" spans="1:17" ht="15.95" customHeight="1" x14ac:dyDescent="0.2">
      <c r="A19" s="2">
        <v>2</v>
      </c>
      <c r="B19" s="12"/>
      <c r="C19" t="s">
        <v>42</v>
      </c>
      <c r="D19" s="20">
        <v>20000</v>
      </c>
      <c r="E19" s="23"/>
      <c r="F19" s="20"/>
      <c r="G19" s="23"/>
      <c r="H19" s="20"/>
      <c r="I19" s="23"/>
      <c r="J19" s="20"/>
      <c r="K19" s="23"/>
      <c r="L19" s="20"/>
      <c r="M19" s="23"/>
      <c r="N19" s="20"/>
      <c r="O19" s="23"/>
      <c r="P19" s="20">
        <f>SUM(tblDaily42[[#This Row],[Ene]:[Dic]])</f>
        <v>20000</v>
      </c>
      <c r="Q19" s="18"/>
    </row>
    <row r="20" spans="1:17" ht="15.95" customHeight="1" x14ac:dyDescent="0.2">
      <c r="A20" s="2">
        <v>2</v>
      </c>
      <c r="B20" s="12"/>
      <c r="C20" t="s">
        <v>43</v>
      </c>
      <c r="D20" s="20">
        <v>16000</v>
      </c>
      <c r="E20" s="23"/>
      <c r="F20" s="20"/>
      <c r="G20" s="23"/>
      <c r="H20" s="20"/>
      <c r="I20" s="23"/>
      <c r="J20" s="20"/>
      <c r="K20" s="23"/>
      <c r="L20" s="20"/>
      <c r="M20" s="23"/>
      <c r="N20" s="20"/>
      <c r="O20" s="23"/>
      <c r="P20" s="20">
        <f>SUM(tblDaily42[[#This Row],[Ene]:[Dic]])</f>
        <v>16000</v>
      </c>
      <c r="Q20" s="18"/>
    </row>
    <row r="21" spans="1:17" ht="15.95" customHeight="1" x14ac:dyDescent="0.2">
      <c r="A21" s="2">
        <v>2</v>
      </c>
      <c r="B21" s="12"/>
      <c r="C21" t="s">
        <v>44</v>
      </c>
      <c r="D21" s="20">
        <v>35000</v>
      </c>
      <c r="E21" s="23"/>
      <c r="F21" s="20"/>
      <c r="G21" s="23"/>
      <c r="H21" s="20"/>
      <c r="I21" s="23"/>
      <c r="J21" s="20"/>
      <c r="K21" s="23"/>
      <c r="L21" s="20"/>
      <c r="M21" s="23"/>
      <c r="N21" s="20"/>
      <c r="O21" s="23"/>
      <c r="P21" s="20">
        <f>SUM(tblDaily42[[#This Row],[Ene]:[Dic]])</f>
        <v>35000</v>
      </c>
      <c r="Q21" s="18"/>
    </row>
    <row r="22" spans="1:17" ht="15.95" customHeight="1" x14ac:dyDescent="0.2">
      <c r="A22" s="2">
        <v>2</v>
      </c>
      <c r="B22" s="12"/>
      <c r="C22" t="s">
        <v>45</v>
      </c>
      <c r="D22" s="20">
        <v>27000</v>
      </c>
      <c r="E22" s="23"/>
      <c r="F22" s="20"/>
      <c r="G22" s="23"/>
      <c r="H22" s="20"/>
      <c r="I22" s="23"/>
      <c r="J22" s="20"/>
      <c r="K22" s="23"/>
      <c r="L22" s="20"/>
      <c r="M22" s="23"/>
      <c r="N22" s="20"/>
      <c r="O22" s="23"/>
      <c r="P22" s="20">
        <f>SUM(tblDaily42[[#This Row],[Ene]:[Dic]])</f>
        <v>27000</v>
      </c>
      <c r="Q22" s="18"/>
    </row>
    <row r="23" spans="1:17" ht="15.95" customHeight="1" x14ac:dyDescent="0.2">
      <c r="A23" s="2">
        <v>2</v>
      </c>
      <c r="B23" s="12"/>
      <c r="C23" t="s">
        <v>46</v>
      </c>
      <c r="D23" s="20">
        <v>70000</v>
      </c>
      <c r="E23" s="23"/>
      <c r="F23" s="20"/>
      <c r="G23" s="23"/>
      <c r="H23" s="20"/>
      <c r="I23" s="23"/>
      <c r="J23" s="20"/>
      <c r="K23" s="23"/>
      <c r="L23" s="20"/>
      <c r="M23" s="23"/>
      <c r="N23" s="20"/>
      <c r="O23" s="23"/>
      <c r="P23" s="20">
        <f>SUM(tblDaily42[[#This Row],[Ene]:[Dic]])</f>
        <v>70000</v>
      </c>
      <c r="Q23" s="18"/>
    </row>
    <row r="24" spans="1:17" ht="15.95" customHeight="1" x14ac:dyDescent="0.2">
      <c r="A24" s="2">
        <v>2</v>
      </c>
      <c r="B24" s="12"/>
      <c r="C24" t="s">
        <v>47</v>
      </c>
      <c r="D24" s="20">
        <v>19000</v>
      </c>
      <c r="E24" s="23"/>
      <c r="F24" s="20"/>
      <c r="G24" s="23"/>
      <c r="H24" s="20"/>
      <c r="I24" s="23"/>
      <c r="J24" s="20"/>
      <c r="K24" s="23"/>
      <c r="L24" s="20"/>
      <c r="M24" s="23"/>
      <c r="N24" s="20"/>
      <c r="O24" s="23"/>
      <c r="P24" s="20">
        <f>SUM(tblDaily42[[#This Row],[Ene]:[Dic]])</f>
        <v>19000</v>
      </c>
      <c r="Q24" s="18"/>
    </row>
    <row r="25" spans="1:17" ht="15.95" customHeight="1" x14ac:dyDescent="0.2">
      <c r="A25" s="2">
        <v>2</v>
      </c>
      <c r="B25" s="12"/>
      <c r="C25" t="s">
        <v>48</v>
      </c>
      <c r="D25" s="20">
        <v>14000</v>
      </c>
      <c r="E25" s="23"/>
      <c r="F25" s="20"/>
      <c r="G25" s="23"/>
      <c r="H25" s="20"/>
      <c r="I25" s="23"/>
      <c r="J25" s="20"/>
      <c r="K25" s="23"/>
      <c r="L25" s="20"/>
      <c r="M25" s="23"/>
      <c r="N25" s="20"/>
      <c r="O25" s="23"/>
      <c r="P25" s="20">
        <f>SUM(tblDaily42[[#This Row],[Ene]:[Dic]])</f>
        <v>14000</v>
      </c>
      <c r="Q25" s="18"/>
    </row>
    <row r="26" spans="1:17" ht="15.95" customHeight="1" x14ac:dyDescent="0.2">
      <c r="A26" s="2">
        <v>2</v>
      </c>
      <c r="B26" s="12"/>
      <c r="C26" t="s">
        <v>49</v>
      </c>
      <c r="D26" s="20">
        <v>20000</v>
      </c>
      <c r="E26" s="23"/>
      <c r="F26" s="20"/>
      <c r="G26" s="23"/>
      <c r="H26" s="20"/>
      <c r="I26" s="23"/>
      <c r="J26" s="20"/>
      <c r="K26" s="23"/>
      <c r="L26" s="20"/>
      <c r="M26" s="23"/>
      <c r="N26" s="20"/>
      <c r="O26" s="23"/>
      <c r="P26" s="20">
        <f>SUM(tblDaily42[[#This Row],[Ene]:[Dic]])</f>
        <v>20000</v>
      </c>
      <c r="Q26" s="18"/>
    </row>
    <row r="27" spans="1:17" ht="15.95" customHeight="1" x14ac:dyDescent="0.2">
      <c r="A27" s="2">
        <v>2</v>
      </c>
      <c r="B27" s="12"/>
      <c r="C27" t="s">
        <v>50</v>
      </c>
      <c r="D27" s="20">
        <v>23000</v>
      </c>
      <c r="E27" s="23"/>
      <c r="F27" s="20"/>
      <c r="G27" s="23"/>
      <c r="H27" s="20"/>
      <c r="I27" s="23"/>
      <c r="J27" s="20"/>
      <c r="K27" s="23"/>
      <c r="L27" s="20"/>
      <c r="M27" s="23"/>
      <c r="N27" s="20"/>
      <c r="O27" s="23"/>
      <c r="P27" s="20">
        <f>SUM(tblDaily42[[#This Row],[Ene]:[Dic]])</f>
        <v>23000</v>
      </c>
      <c r="Q27" s="18"/>
    </row>
    <row r="28" spans="1:17" ht="15.95" customHeight="1" x14ac:dyDescent="0.2">
      <c r="A28" s="2">
        <v>2</v>
      </c>
      <c r="B28" s="12"/>
      <c r="C28" t="s">
        <v>51</v>
      </c>
      <c r="D28" s="20">
        <v>17500</v>
      </c>
      <c r="E28" s="23"/>
      <c r="F28" s="20"/>
      <c r="G28" s="23"/>
      <c r="H28" s="20"/>
      <c r="I28" s="23"/>
      <c r="J28" s="20"/>
      <c r="K28" s="23"/>
      <c r="L28" s="20"/>
      <c r="M28" s="23"/>
      <c r="N28" s="20"/>
      <c r="O28" s="23"/>
      <c r="P28" s="20">
        <f>SUM(tblDaily42[[#This Row],[Ene]:[Dic]])</f>
        <v>17500</v>
      </c>
      <c r="Q28" s="18"/>
    </row>
    <row r="29" spans="1:17" ht="15.95" customHeight="1" x14ac:dyDescent="0.2">
      <c r="A29" s="2">
        <v>4</v>
      </c>
      <c r="B29" s="12"/>
      <c r="C29" t="s">
        <v>52</v>
      </c>
      <c r="D29" s="20">
        <v>23000</v>
      </c>
      <c r="E29" s="23"/>
      <c r="F29" s="20"/>
      <c r="G29" s="23"/>
      <c r="H29" s="20"/>
      <c r="I29" s="23"/>
      <c r="J29" s="20"/>
      <c r="K29" s="23"/>
      <c r="L29" s="20"/>
      <c r="M29" s="23"/>
      <c r="N29" s="20"/>
      <c r="O29" s="23"/>
      <c r="P29" s="20">
        <f>SUM(tblDaily42[[#This Row],[Ene]:[Dic]])</f>
        <v>23000</v>
      </c>
      <c r="Q29" s="18"/>
    </row>
    <row r="30" spans="1:17" ht="15.95" customHeight="1" x14ac:dyDescent="0.2">
      <c r="A30" s="2">
        <v>5</v>
      </c>
      <c r="B30" s="12"/>
      <c r="C30" t="s">
        <v>53</v>
      </c>
      <c r="D30" s="20">
        <v>22000</v>
      </c>
      <c r="E30" s="23"/>
      <c r="F30" s="20"/>
      <c r="G30" s="23"/>
      <c r="H30" s="20"/>
      <c r="I30" s="23"/>
      <c r="J30" s="20"/>
      <c r="K30" s="23"/>
      <c r="L30" s="20"/>
      <c r="M30" s="23"/>
      <c r="N30" s="20"/>
      <c r="O30" s="23"/>
      <c r="P30" s="20">
        <f>SUM(tblDaily42[[#This Row],[Ene]:[Dic]])</f>
        <v>22000</v>
      </c>
      <c r="Q30" s="17"/>
    </row>
    <row r="31" spans="1:17" ht="15.95" customHeight="1" x14ac:dyDescent="0.2">
      <c r="A31" s="2">
        <v>3</v>
      </c>
      <c r="B31" s="12"/>
      <c r="C31" t="s">
        <v>54</v>
      </c>
      <c r="D31" s="20">
        <v>21000</v>
      </c>
      <c r="E31" s="23"/>
      <c r="F31" s="20"/>
      <c r="G31" s="23"/>
      <c r="H31" s="20"/>
      <c r="I31" s="23"/>
      <c r="J31" s="20"/>
      <c r="K31" s="23"/>
      <c r="L31" s="20"/>
      <c r="M31" s="23"/>
      <c r="N31" s="20"/>
      <c r="O31" s="23"/>
      <c r="P31" s="20">
        <f>SUM(tblDaily42[[#This Row],[Ene]:[Dic]])</f>
        <v>21000</v>
      </c>
      <c r="Q31" s="18"/>
    </row>
    <row r="32" spans="1:17" ht="15.95" customHeight="1" x14ac:dyDescent="0.2">
      <c r="A32" s="2">
        <v>4</v>
      </c>
      <c r="B32" s="12"/>
      <c r="C32" t="s">
        <v>55</v>
      </c>
      <c r="D32" s="20">
        <v>18000</v>
      </c>
      <c r="E32" s="23"/>
      <c r="F32" s="20"/>
      <c r="G32" s="23"/>
      <c r="H32" s="20"/>
      <c r="I32" s="23"/>
      <c r="J32" s="20"/>
      <c r="K32" s="23"/>
      <c r="L32" s="20"/>
      <c r="M32" s="23"/>
      <c r="N32" s="20"/>
      <c r="O32" s="23"/>
      <c r="P32" s="20">
        <f>SUM(tblDaily42[[#This Row],[Ene]:[Dic]])</f>
        <v>18000</v>
      </c>
      <c r="Q32" s="17"/>
    </row>
    <row r="33" spans="1:17" ht="15.95" customHeight="1" x14ac:dyDescent="0.2">
      <c r="A33" s="2">
        <v>3</v>
      </c>
      <c r="B33" s="12"/>
      <c r="C33" t="s">
        <v>56</v>
      </c>
      <c r="D33" s="20">
        <v>12000</v>
      </c>
      <c r="E33" s="23"/>
      <c r="F33" s="20"/>
      <c r="G33" s="23"/>
      <c r="H33" s="20"/>
      <c r="I33" s="23"/>
      <c r="J33" s="20"/>
      <c r="K33" s="23"/>
      <c r="L33" s="20"/>
      <c r="M33" s="23"/>
      <c r="N33" s="20"/>
      <c r="O33" s="23"/>
      <c r="P33" s="20">
        <f>SUM(tblDaily42[[#This Row],[Ene]:[Dic]])</f>
        <v>12000</v>
      </c>
      <c r="Q33" s="18"/>
    </row>
    <row r="34" spans="1:17" ht="15.95" customHeight="1" x14ac:dyDescent="0.2">
      <c r="A34" s="2">
        <v>4</v>
      </c>
      <c r="B34" s="12"/>
      <c r="C34" t="s">
        <v>57</v>
      </c>
      <c r="D34" s="20">
        <v>15000</v>
      </c>
      <c r="E34" s="23"/>
      <c r="F34" s="20"/>
      <c r="G34" s="23"/>
      <c r="H34" s="20"/>
      <c r="I34" s="23"/>
      <c r="J34" s="20"/>
      <c r="K34" s="23"/>
      <c r="L34" s="20"/>
      <c r="M34" s="23"/>
      <c r="N34" s="20"/>
      <c r="O34" s="23"/>
      <c r="P34" s="20">
        <f>SUM(tblDaily42[[#This Row],[Ene]:[Dic]])</f>
        <v>15000</v>
      </c>
      <c r="Q34" s="18"/>
    </row>
    <row r="35" spans="1:17" ht="19.5" customHeight="1" x14ac:dyDescent="0.2">
      <c r="A35">
        <v>6</v>
      </c>
      <c r="B35" s="12"/>
      <c r="C35" t="s">
        <v>58</v>
      </c>
      <c r="D35" s="20">
        <v>9000</v>
      </c>
      <c r="E35" s="23"/>
      <c r="F35" s="20"/>
      <c r="G35" s="23"/>
      <c r="H35" s="20"/>
      <c r="I35" s="23"/>
      <c r="J35" s="20"/>
      <c r="K35" s="23"/>
      <c r="L35" s="20"/>
      <c r="M35" s="23"/>
      <c r="N35" s="20"/>
      <c r="O35" s="23"/>
      <c r="P35" s="20">
        <f>SUM(tblDaily42[[#This Row],[Ene]:[Dic]])</f>
        <v>9000</v>
      </c>
      <c r="Q35" s="17"/>
    </row>
    <row r="36" spans="1:17" ht="21" customHeight="1" x14ac:dyDescent="0.2">
      <c r="B36" s="12"/>
      <c r="C36" s="10"/>
      <c r="D36" s="24"/>
      <c r="E36" s="25"/>
      <c r="F36" s="24"/>
      <c r="G36" s="25"/>
      <c r="H36" s="24"/>
      <c r="I36" s="25"/>
      <c r="J36" s="24"/>
      <c r="K36" s="25"/>
      <c r="L36" s="24"/>
      <c r="M36" s="25"/>
      <c r="N36" s="24"/>
      <c r="O36" s="25"/>
      <c r="P36" s="24"/>
      <c r="Q36" s="8"/>
    </row>
    <row r="37" spans="1:17" ht="8.1" customHeight="1" x14ac:dyDescent="0.2">
      <c r="B37" s="12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</row>
    <row r="38" spans="1:17" ht="21" customHeight="1" x14ac:dyDescent="0.2">
      <c r="B38" s="11"/>
      <c r="C38" s="6" t="s">
        <v>59</v>
      </c>
      <c r="D38" s="7" t="s">
        <v>1</v>
      </c>
      <c r="E38" s="7" t="s">
        <v>2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7" t="s">
        <v>10</v>
      </c>
      <c r="N38" s="7" t="s">
        <v>11</v>
      </c>
      <c r="O38" s="7" t="s">
        <v>12</v>
      </c>
      <c r="P38" s="7" t="s">
        <v>13</v>
      </c>
      <c r="Q38" s="7"/>
    </row>
    <row r="39" spans="1:17" ht="20.100000000000001" customHeight="1" x14ac:dyDescent="0.2"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spans="1:17" ht="21" customHeight="1" x14ac:dyDescent="0.2">
      <c r="B40" s="12"/>
      <c r="C40" s="9" t="s">
        <v>60</v>
      </c>
      <c r="D40" s="7" t="s">
        <v>1</v>
      </c>
      <c r="E40" s="7" t="s">
        <v>2</v>
      </c>
      <c r="F40" s="7" t="s">
        <v>3</v>
      </c>
      <c r="G40" s="7" t="s">
        <v>4</v>
      </c>
      <c r="H40" s="7" t="s">
        <v>5</v>
      </c>
      <c r="I40" s="7" t="s">
        <v>6</v>
      </c>
      <c r="J40" s="7" t="s">
        <v>7</v>
      </c>
      <c r="K40" s="7" t="s">
        <v>8</v>
      </c>
      <c r="L40" s="7" t="s">
        <v>9</v>
      </c>
      <c r="M40" s="7" t="s">
        <v>10</v>
      </c>
      <c r="N40" s="7" t="s">
        <v>11</v>
      </c>
      <c r="O40" s="7" t="s">
        <v>12</v>
      </c>
      <c r="P40" s="7" t="s">
        <v>13</v>
      </c>
      <c r="Q40" s="5"/>
    </row>
    <row r="41" spans="1:17" ht="15.95" hidden="1" customHeight="1" x14ac:dyDescent="0.2">
      <c r="B41" s="12"/>
      <c r="C41" t="s">
        <v>61</v>
      </c>
      <c r="D41" s="22" t="s">
        <v>17</v>
      </c>
      <c r="E41" s="22" t="s">
        <v>18</v>
      </c>
      <c r="F41" s="22" t="s">
        <v>19</v>
      </c>
      <c r="G41" s="22" t="s">
        <v>20</v>
      </c>
      <c r="H41" s="22" t="s">
        <v>21</v>
      </c>
      <c r="I41" s="22" t="s">
        <v>22</v>
      </c>
      <c r="J41" s="22" t="s">
        <v>23</v>
      </c>
      <c r="K41" s="22" t="s">
        <v>24</v>
      </c>
      <c r="L41" s="22" t="s">
        <v>25</v>
      </c>
      <c r="M41" s="22" t="s">
        <v>26</v>
      </c>
      <c r="N41" s="22" t="s">
        <v>27</v>
      </c>
      <c r="O41" s="22" t="s">
        <v>28</v>
      </c>
      <c r="P41" s="22" t="s">
        <v>29</v>
      </c>
      <c r="Q41" t="s">
        <v>30</v>
      </c>
    </row>
    <row r="42" spans="1:17" ht="15.95" customHeight="1" x14ac:dyDescent="0.2">
      <c r="B42" s="12"/>
      <c r="C42" t="s">
        <v>31</v>
      </c>
      <c r="D42" s="20">
        <f t="shared" ref="D42:H44" si="0">$D8*$A8</f>
        <v>40000</v>
      </c>
      <c r="E42" s="20">
        <f t="shared" si="0"/>
        <v>40000</v>
      </c>
      <c r="F42" s="20">
        <f t="shared" si="0"/>
        <v>40000</v>
      </c>
      <c r="G42" s="20">
        <f t="shared" ref="G42:O42" si="1">$D8*$A8</f>
        <v>40000</v>
      </c>
      <c r="H42" s="20">
        <f t="shared" si="1"/>
        <v>40000</v>
      </c>
      <c r="I42" s="20">
        <f t="shared" si="1"/>
        <v>40000</v>
      </c>
      <c r="J42" s="20">
        <f t="shared" si="1"/>
        <v>40000</v>
      </c>
      <c r="K42" s="20">
        <f t="shared" si="1"/>
        <v>40000</v>
      </c>
      <c r="L42" s="20">
        <f t="shared" si="1"/>
        <v>40000</v>
      </c>
      <c r="M42" s="20">
        <f t="shared" si="1"/>
        <v>40000</v>
      </c>
      <c r="N42" s="20">
        <f t="shared" si="1"/>
        <v>40000</v>
      </c>
      <c r="O42" s="20">
        <f t="shared" si="1"/>
        <v>40000</v>
      </c>
      <c r="P42" s="20">
        <f>SUM(tblTransportation43[[#This Row],[Ene]:[Dic]])</f>
        <v>480000</v>
      </c>
      <c r="Q42" s="18"/>
    </row>
    <row r="43" spans="1:17" ht="15.95" customHeight="1" x14ac:dyDescent="0.2">
      <c r="B43" s="12"/>
      <c r="C43" t="s">
        <v>32</v>
      </c>
      <c r="D43" s="20">
        <f t="shared" si="0"/>
        <v>80000</v>
      </c>
      <c r="E43" s="20">
        <f t="shared" si="0"/>
        <v>80000</v>
      </c>
      <c r="F43" s="20">
        <f t="shared" si="0"/>
        <v>80000</v>
      </c>
      <c r="G43" s="20">
        <f t="shared" ref="G43:O43" si="2">$D9*$A9</f>
        <v>80000</v>
      </c>
      <c r="H43" s="20">
        <f t="shared" si="2"/>
        <v>80000</v>
      </c>
      <c r="I43" s="20">
        <f t="shared" si="2"/>
        <v>80000</v>
      </c>
      <c r="J43" s="20">
        <f t="shared" si="2"/>
        <v>80000</v>
      </c>
      <c r="K43" s="20">
        <f t="shared" si="2"/>
        <v>80000</v>
      </c>
      <c r="L43" s="20">
        <f t="shared" si="2"/>
        <v>80000</v>
      </c>
      <c r="M43" s="20">
        <f t="shared" si="2"/>
        <v>80000</v>
      </c>
      <c r="N43" s="20">
        <f t="shared" si="2"/>
        <v>80000</v>
      </c>
      <c r="O43" s="20">
        <f t="shared" si="2"/>
        <v>80000</v>
      </c>
      <c r="P43" s="20">
        <f>SUM(tblTransportation43[[#This Row],[Ene]:[Dic]])</f>
        <v>960000</v>
      </c>
      <c r="Q43" s="19"/>
    </row>
    <row r="44" spans="1:17" ht="15.95" customHeight="1" x14ac:dyDescent="0.2">
      <c r="B44" s="12"/>
      <c r="C44" t="s">
        <v>33</v>
      </c>
      <c r="D44" s="20">
        <f>$D10*$A10</f>
        <v>60000</v>
      </c>
      <c r="E44" s="20">
        <f t="shared" si="0"/>
        <v>60000</v>
      </c>
      <c r="F44" s="20">
        <f t="shared" si="0"/>
        <v>60000</v>
      </c>
      <c r="G44" s="20"/>
      <c r="H44" s="20">
        <f t="shared" si="0"/>
        <v>60000</v>
      </c>
      <c r="I44" s="21"/>
      <c r="J44" s="20"/>
      <c r="K44" s="21"/>
      <c r="L44" s="20"/>
      <c r="M44" s="21"/>
      <c r="N44" s="20"/>
      <c r="O44" s="21"/>
      <c r="P44" s="20">
        <f>SUM(tblTransportation43[[#This Row],[Ene]:[Dic]])</f>
        <v>240000</v>
      </c>
      <c r="Q44" s="18"/>
    </row>
    <row r="45" spans="1:17" ht="21" customHeight="1" x14ac:dyDescent="0.2">
      <c r="B45" s="12"/>
      <c r="C45" s="10" t="s">
        <v>62</v>
      </c>
      <c r="D45" s="24">
        <f>SUBTOTAL(109,tblTransportation43[Ene])</f>
        <v>180000</v>
      </c>
      <c r="E45" s="25">
        <f>SUBTOTAL(109,tblTransportation43[Feb])</f>
        <v>180000</v>
      </c>
      <c r="F45" s="24">
        <f>SUBTOTAL(109,tblTransportation43[Marzo])</f>
        <v>180000</v>
      </c>
      <c r="G45" s="25">
        <f>SUBTOTAL(109,tblTransportation43[Abril])</f>
        <v>120000</v>
      </c>
      <c r="H45" s="24">
        <f>SUBTOTAL(109,tblTransportation43[Mayo])</f>
        <v>180000</v>
      </c>
      <c r="I45" s="25">
        <f>SUBTOTAL(109,tblTransportation43[Junio])</f>
        <v>120000</v>
      </c>
      <c r="J45" s="24">
        <f>SUBTOTAL(109,tblTransportation43[Julio])</f>
        <v>120000</v>
      </c>
      <c r="K45" s="25">
        <f>SUBTOTAL(109,tblTransportation43[Ago])</f>
        <v>120000</v>
      </c>
      <c r="L45" s="24">
        <f>SUBTOTAL(109,tblTransportation43[Sept])</f>
        <v>120000</v>
      </c>
      <c r="M45" s="25">
        <f>SUBTOTAL(109,tblTransportation43[Oct])</f>
        <v>120000</v>
      </c>
      <c r="N45" s="24">
        <f>SUBTOTAL(109,tblTransportation43[Nov])</f>
        <v>120000</v>
      </c>
      <c r="O45" s="25">
        <f>SUBTOTAL(109,tblTransportation43[Dic])</f>
        <v>120000</v>
      </c>
      <c r="P45" s="24">
        <f>SUBTOTAL(109,tblTransportation43[Año])</f>
        <v>1680000</v>
      </c>
      <c r="Q45" s="8"/>
    </row>
    <row r="46" spans="1:17" ht="8.1" customHeight="1" x14ac:dyDescent="0.2">
      <c r="B46" s="12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</row>
    <row r="47" spans="1:17" ht="20.100000000000001" customHeight="1" x14ac:dyDescent="0.2"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</row>
    <row r="48" spans="1:17" ht="21" customHeight="1" x14ac:dyDescent="0.2">
      <c r="B48" s="13"/>
      <c r="C48" s="26" t="s">
        <v>63</v>
      </c>
      <c r="D48" s="7" t="s">
        <v>1</v>
      </c>
      <c r="E48" s="7" t="s">
        <v>2</v>
      </c>
      <c r="F48" s="7" t="s">
        <v>3</v>
      </c>
      <c r="G48" s="7" t="s">
        <v>4</v>
      </c>
      <c r="H48" s="7" t="s">
        <v>5</v>
      </c>
      <c r="I48" s="7" t="s">
        <v>6</v>
      </c>
      <c r="J48" s="7" t="s">
        <v>7</v>
      </c>
      <c r="K48" s="7" t="s">
        <v>8</v>
      </c>
      <c r="L48" s="7" t="s">
        <v>9</v>
      </c>
      <c r="M48" s="7" t="s">
        <v>10</v>
      </c>
      <c r="N48" s="7" t="s">
        <v>11</v>
      </c>
      <c r="O48" s="7" t="s">
        <v>12</v>
      </c>
      <c r="P48" s="7" t="s">
        <v>13</v>
      </c>
      <c r="Q48" s="21"/>
    </row>
    <row r="49" spans="1:17" ht="21" hidden="1" customHeight="1" x14ac:dyDescent="0.2">
      <c r="B49" s="13"/>
      <c r="C49" s="22" t="s">
        <v>64</v>
      </c>
      <c r="D49" s="22" t="s">
        <v>17</v>
      </c>
      <c r="E49" s="22" t="s">
        <v>18</v>
      </c>
      <c r="F49" s="22" t="s">
        <v>19</v>
      </c>
      <c r="G49" s="22" t="s">
        <v>20</v>
      </c>
      <c r="H49" s="22" t="s">
        <v>21</v>
      </c>
      <c r="I49" s="22" t="s">
        <v>22</v>
      </c>
      <c r="J49" s="22" t="s">
        <v>23</v>
      </c>
      <c r="K49" s="22" t="s">
        <v>24</v>
      </c>
      <c r="L49" s="22" t="s">
        <v>25</v>
      </c>
      <c r="M49" s="22" t="s">
        <v>26</v>
      </c>
      <c r="N49" s="22" t="s">
        <v>27</v>
      </c>
      <c r="O49" s="22" t="s">
        <v>28</v>
      </c>
      <c r="P49" s="22" t="s">
        <v>29</v>
      </c>
      <c r="Q49" s="22" t="s">
        <v>30</v>
      </c>
    </row>
    <row r="50" spans="1:17" ht="15.95" customHeight="1" x14ac:dyDescent="0.2">
      <c r="B50" s="13"/>
      <c r="C50" t="s">
        <v>34</v>
      </c>
      <c r="D50" s="20">
        <f>$D11*$A11</f>
        <v>90000</v>
      </c>
      <c r="E50" s="20">
        <f>$D11*$A11</f>
        <v>90000</v>
      </c>
      <c r="F50" s="20">
        <f t="shared" ref="F50" si="3">$D11*$A11</f>
        <v>90000</v>
      </c>
      <c r="G50" s="21"/>
      <c r="H50" s="27"/>
      <c r="I50" s="21"/>
      <c r="J50" s="27"/>
      <c r="K50" s="21"/>
      <c r="L50" s="27"/>
      <c r="M50" s="21"/>
      <c r="N50" s="27"/>
      <c r="O50" s="21"/>
      <c r="P50" s="27">
        <f>SUM(tblEntertainment44[[#This Row],[Ene]:[Dic]])</f>
        <v>270000</v>
      </c>
      <c r="Q50" s="25"/>
    </row>
    <row r="51" spans="1:17" ht="15.95" customHeight="1" x14ac:dyDescent="0.2">
      <c r="A51"/>
      <c r="B51" s="13"/>
      <c r="C51" t="s">
        <v>35</v>
      </c>
      <c r="D51" s="20">
        <f t="shared" ref="D51:F52" si="4">$D12*$A12</f>
        <v>36000</v>
      </c>
      <c r="E51" s="20">
        <f t="shared" si="4"/>
        <v>36000</v>
      </c>
      <c r="F51" s="20">
        <f t="shared" si="4"/>
        <v>36000</v>
      </c>
      <c r="G51" s="20">
        <f t="shared" ref="G51:H51" si="5">$D12*$A12</f>
        <v>36000</v>
      </c>
      <c r="H51" s="20">
        <f t="shared" si="5"/>
        <v>36000</v>
      </c>
      <c r="I51" s="21"/>
      <c r="J51" s="27"/>
      <c r="K51" s="21"/>
      <c r="L51" s="27"/>
      <c r="M51" s="21"/>
      <c r="N51" s="27"/>
      <c r="O51" s="21"/>
      <c r="P51" s="27">
        <f>SUM(tblEntertainment44[[#This Row],[Ene]:[Dic]])</f>
        <v>180000</v>
      </c>
      <c r="Q51" s="21"/>
    </row>
    <row r="52" spans="1:17" ht="15.95" customHeight="1" x14ac:dyDescent="0.2">
      <c r="B52" s="13"/>
      <c r="C52" t="s">
        <v>36</v>
      </c>
      <c r="D52" s="20">
        <f t="shared" si="4"/>
        <v>26000</v>
      </c>
      <c r="E52" s="20">
        <f t="shared" si="4"/>
        <v>26000</v>
      </c>
      <c r="F52" s="20">
        <f t="shared" si="4"/>
        <v>26000</v>
      </c>
      <c r="G52" s="20">
        <f t="shared" ref="G52" si="6">$D13*$A13</f>
        <v>26000</v>
      </c>
      <c r="H52" s="27"/>
      <c r="I52" s="21"/>
      <c r="J52" s="27"/>
      <c r="K52" s="21"/>
      <c r="L52" s="27"/>
      <c r="M52" s="21"/>
      <c r="N52" s="27"/>
      <c r="O52" s="21"/>
      <c r="P52" s="27">
        <f>SUM(tblEntertainment44[[#This Row],[Ene]:[Dic]])</f>
        <v>104000</v>
      </c>
      <c r="Q52" s="25"/>
    </row>
    <row r="53" spans="1:17" ht="21" customHeight="1" x14ac:dyDescent="0.2">
      <c r="C53" s="28" t="s">
        <v>62</v>
      </c>
      <c r="D53" s="29">
        <f>SUBTOTAL(109,tblEntertainment44[Ene])</f>
        <v>152000</v>
      </c>
      <c r="E53" s="25">
        <f>SUBTOTAL(109,tblEntertainment44[Feb])</f>
        <v>152000</v>
      </c>
      <c r="F53" s="29">
        <f>SUBTOTAL(109,tblEntertainment44[Marzo])</f>
        <v>152000</v>
      </c>
      <c r="G53" s="25">
        <f>SUBTOTAL(109,tblEntertainment44[Abril])</f>
        <v>62000</v>
      </c>
      <c r="H53" s="29">
        <f>SUBTOTAL(109,tblEntertainment44[Mayo])</f>
        <v>36000</v>
      </c>
      <c r="I53" s="25">
        <f>SUBTOTAL(109,tblEntertainment44[Junio])</f>
        <v>0</v>
      </c>
      <c r="J53" s="29">
        <f>SUBTOTAL(109,tblEntertainment44[Julio])</f>
        <v>0</v>
      </c>
      <c r="K53" s="25">
        <f>SUBTOTAL(109,tblEntertainment44[Ago])</f>
        <v>0</v>
      </c>
      <c r="L53" s="29">
        <f>SUBTOTAL(109,tblEntertainment44[Sept])</f>
        <v>0</v>
      </c>
      <c r="M53" s="25">
        <f>SUBTOTAL(109,tblEntertainment44[Oct])</f>
        <v>0</v>
      </c>
      <c r="N53" s="29">
        <f>SUBTOTAL(109,tblEntertainment44[Nov])</f>
        <v>0</v>
      </c>
      <c r="O53" s="25">
        <f>SUBTOTAL(109,tblEntertainment44[Dic])</f>
        <v>0</v>
      </c>
      <c r="P53" s="29">
        <f>SUBTOTAL(109,tblEntertainment44[Año])</f>
        <v>554000</v>
      </c>
      <c r="Q53" s="25"/>
    </row>
    <row r="54" spans="1:17" ht="8.1" customHeight="1" x14ac:dyDescent="0.2">
      <c r="B54" s="1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20.100000000000001" customHeight="1" x14ac:dyDescent="0.2"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</row>
    <row r="56" spans="1:17" ht="21" customHeight="1" x14ac:dyDescent="0.2">
      <c r="B56" s="13"/>
      <c r="C56" s="26" t="s">
        <v>65</v>
      </c>
      <c r="D56" s="7" t="s">
        <v>1</v>
      </c>
      <c r="E56" s="7" t="s">
        <v>2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  <c r="L56" s="7" t="s">
        <v>9</v>
      </c>
      <c r="M56" s="7" t="s">
        <v>10</v>
      </c>
      <c r="N56" s="7" t="s">
        <v>11</v>
      </c>
      <c r="O56" s="7" t="s">
        <v>12</v>
      </c>
      <c r="P56" s="7" t="s">
        <v>13</v>
      </c>
      <c r="Q56" s="21"/>
    </row>
    <row r="57" spans="1:17" ht="15.95" hidden="1" customHeight="1" x14ac:dyDescent="0.2">
      <c r="B57" s="13"/>
      <c r="C57" s="22" t="s">
        <v>66</v>
      </c>
      <c r="D57" s="22" t="s">
        <v>17</v>
      </c>
      <c r="E57" s="22" t="s">
        <v>18</v>
      </c>
      <c r="F57" s="22" t="s">
        <v>19</v>
      </c>
      <c r="G57" s="22" t="s">
        <v>20</v>
      </c>
      <c r="H57" s="22" t="s">
        <v>21</v>
      </c>
      <c r="I57" s="22" t="s">
        <v>22</v>
      </c>
      <c r="J57" s="22" t="s">
        <v>23</v>
      </c>
      <c r="K57" s="22" t="s">
        <v>24</v>
      </c>
      <c r="L57" s="22" t="s">
        <v>25</v>
      </c>
      <c r="M57" s="22" t="s">
        <v>26</v>
      </c>
      <c r="N57" s="22" t="s">
        <v>27</v>
      </c>
      <c r="O57" s="22" t="s">
        <v>28</v>
      </c>
      <c r="P57" s="22" t="s">
        <v>29</v>
      </c>
      <c r="Q57" s="22" t="s">
        <v>30</v>
      </c>
    </row>
    <row r="58" spans="1:17" ht="15.95" customHeight="1" x14ac:dyDescent="0.2">
      <c r="B58" s="13"/>
      <c r="C58" t="s">
        <v>37</v>
      </c>
      <c r="D58" s="27">
        <f t="shared" ref="D58:I58" si="7">$D14*$A14</f>
        <v>120000</v>
      </c>
      <c r="E58" s="27">
        <f t="shared" si="7"/>
        <v>120000</v>
      </c>
      <c r="F58" s="27">
        <f t="shared" si="7"/>
        <v>120000</v>
      </c>
      <c r="G58" s="27">
        <f t="shared" si="7"/>
        <v>120000</v>
      </c>
      <c r="H58" s="27">
        <f t="shared" si="7"/>
        <v>120000</v>
      </c>
      <c r="I58" s="27">
        <f t="shared" si="7"/>
        <v>120000</v>
      </c>
      <c r="J58" s="27">
        <f t="shared" ref="J58:O58" si="8">$D14*$A14</f>
        <v>120000</v>
      </c>
      <c r="K58" s="27">
        <f t="shared" si="8"/>
        <v>120000</v>
      </c>
      <c r="L58" s="27">
        <f t="shared" si="8"/>
        <v>120000</v>
      </c>
      <c r="M58" s="27">
        <f t="shared" si="8"/>
        <v>120000</v>
      </c>
      <c r="N58" s="27">
        <f t="shared" si="8"/>
        <v>120000</v>
      </c>
      <c r="O58" s="27">
        <f t="shared" si="8"/>
        <v>120000</v>
      </c>
      <c r="P58" s="27">
        <f>SUM(tblHealth45[[#This Row],[Ene]:[Dic]])</f>
        <v>1440000</v>
      </c>
      <c r="Q58" s="21"/>
    </row>
    <row r="59" spans="1:17" ht="15.95" customHeight="1" x14ac:dyDescent="0.2">
      <c r="B59" s="13"/>
      <c r="C59" t="s">
        <v>38</v>
      </c>
      <c r="D59" s="27">
        <f t="shared" ref="D59:I59" si="9">$D15*$A15</f>
        <v>120000</v>
      </c>
      <c r="E59" s="27">
        <f t="shared" si="9"/>
        <v>120000</v>
      </c>
      <c r="F59" s="27">
        <f t="shared" si="9"/>
        <v>120000</v>
      </c>
      <c r="G59" s="27">
        <f t="shared" si="9"/>
        <v>120000</v>
      </c>
      <c r="H59" s="27">
        <f t="shared" si="9"/>
        <v>120000</v>
      </c>
      <c r="I59" s="27">
        <f t="shared" si="9"/>
        <v>120000</v>
      </c>
      <c r="J59" s="27">
        <f t="shared" ref="J59:O59" si="10">$D15*$A15</f>
        <v>120000</v>
      </c>
      <c r="K59" s="27">
        <f t="shared" si="10"/>
        <v>120000</v>
      </c>
      <c r="L59" s="27">
        <f t="shared" si="10"/>
        <v>120000</v>
      </c>
      <c r="M59" s="27">
        <f t="shared" si="10"/>
        <v>120000</v>
      </c>
      <c r="N59" s="27">
        <f t="shared" si="10"/>
        <v>120000</v>
      </c>
      <c r="O59" s="27">
        <f t="shared" si="10"/>
        <v>120000</v>
      </c>
      <c r="P59" s="27">
        <f>SUM(tblHealth45[[#This Row],[Ene]:[Dic]])</f>
        <v>1440000</v>
      </c>
      <c r="Q59" s="25"/>
    </row>
    <row r="60" spans="1:17" ht="15.95" customHeight="1" x14ac:dyDescent="0.2">
      <c r="B60" s="13"/>
      <c r="C60" t="s">
        <v>39</v>
      </c>
      <c r="D60" s="27">
        <f t="shared" ref="D60:I60" si="11">$D16*$A16</f>
        <v>52000</v>
      </c>
      <c r="E60" s="27">
        <f t="shared" si="11"/>
        <v>52000</v>
      </c>
      <c r="F60" s="27">
        <f t="shared" si="11"/>
        <v>52000</v>
      </c>
      <c r="G60" s="27">
        <f t="shared" si="11"/>
        <v>52000</v>
      </c>
      <c r="H60" s="27">
        <f t="shared" si="11"/>
        <v>52000</v>
      </c>
      <c r="I60" s="27">
        <f t="shared" si="11"/>
        <v>52000</v>
      </c>
      <c r="J60" s="27">
        <f t="shared" ref="J60:O60" si="12">$D16*$A16</f>
        <v>52000</v>
      </c>
      <c r="K60" s="27">
        <f t="shared" si="12"/>
        <v>52000</v>
      </c>
      <c r="L60" s="27">
        <f t="shared" si="12"/>
        <v>52000</v>
      </c>
      <c r="M60" s="27">
        <f t="shared" si="12"/>
        <v>52000</v>
      </c>
      <c r="N60" s="27">
        <f t="shared" si="12"/>
        <v>52000</v>
      </c>
      <c r="O60" s="27">
        <f t="shared" si="12"/>
        <v>52000</v>
      </c>
      <c r="P60" s="27">
        <f>SUM(tblHealth45[[#This Row],[Ene]:[Dic]])</f>
        <v>624000</v>
      </c>
      <c r="Q60" s="21"/>
    </row>
    <row r="61" spans="1:17" ht="15.95" customHeight="1" x14ac:dyDescent="0.2">
      <c r="A61"/>
      <c r="C61" t="s">
        <v>40</v>
      </c>
      <c r="D61" s="27">
        <f t="shared" ref="D61:I61" si="13">$D17*$A17</f>
        <v>64000</v>
      </c>
      <c r="E61" s="27">
        <f t="shared" si="13"/>
        <v>64000</v>
      </c>
      <c r="F61" s="27">
        <f t="shared" si="13"/>
        <v>64000</v>
      </c>
      <c r="G61" s="27">
        <f t="shared" si="13"/>
        <v>64000</v>
      </c>
      <c r="H61" s="27">
        <f t="shared" si="13"/>
        <v>64000</v>
      </c>
      <c r="I61" s="27">
        <f t="shared" si="13"/>
        <v>64000</v>
      </c>
      <c r="J61" s="27"/>
      <c r="K61" s="21"/>
      <c r="L61" s="27"/>
      <c r="M61" s="21"/>
      <c r="N61" s="27"/>
      <c r="O61" s="21"/>
      <c r="P61" s="27">
        <f>SUM(tblHealth45[[#This Row],[Ene]:[Dic]])</f>
        <v>384000</v>
      </c>
      <c r="Q61" s="25"/>
    </row>
    <row r="62" spans="1:17" ht="21" customHeight="1" x14ac:dyDescent="0.2">
      <c r="B62" s="13"/>
      <c r="C62" s="30" t="s">
        <v>62</v>
      </c>
      <c r="D62" s="29">
        <f>SUBTOTAL(109,tblHealth45[Ene])</f>
        <v>356000</v>
      </c>
      <c r="E62" s="25">
        <f>SUBTOTAL(109,tblHealth45[Feb])</f>
        <v>356000</v>
      </c>
      <c r="F62" s="29">
        <f>SUBTOTAL(109,tblHealth45[Marzo])</f>
        <v>356000</v>
      </c>
      <c r="G62" s="25">
        <f>SUBTOTAL(109,tblHealth45[Abril])</f>
        <v>356000</v>
      </c>
      <c r="H62" s="29">
        <f>SUBTOTAL(109,tblHealth45[Mayo])</f>
        <v>356000</v>
      </c>
      <c r="I62" s="25">
        <f>SUBTOTAL(109,tblHealth45[Junio])</f>
        <v>356000</v>
      </c>
      <c r="J62" s="29">
        <f>SUBTOTAL(109,tblHealth45[Julio])</f>
        <v>292000</v>
      </c>
      <c r="K62" s="25">
        <f>SUBTOTAL(109,tblHealth45[Ago])</f>
        <v>292000</v>
      </c>
      <c r="L62" s="29">
        <f>SUBTOTAL(109,tblHealth45[Sept])</f>
        <v>292000</v>
      </c>
      <c r="M62" s="25">
        <f>SUBTOTAL(109,tblHealth45[Oct])</f>
        <v>292000</v>
      </c>
      <c r="N62" s="29">
        <f>SUBTOTAL(109,tblHealth45[Nov])</f>
        <v>292000</v>
      </c>
      <c r="O62" s="25">
        <f>SUBTOTAL(109,tblHealth45[Dic])</f>
        <v>292000</v>
      </c>
      <c r="P62" s="29">
        <f>SUBTOTAL(109,tblHealth45[Año])</f>
        <v>3888000</v>
      </c>
      <c r="Q62" s="25"/>
    </row>
    <row r="63" spans="1:17" ht="8.1" customHeight="1" x14ac:dyDescent="0.2">
      <c r="C63" s="57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20.100000000000001" customHeight="1" x14ac:dyDescent="0.2"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</row>
    <row r="65" spans="2:17" ht="21" customHeight="1" x14ac:dyDescent="0.2">
      <c r="B65" s="12"/>
      <c r="C65" s="31" t="s">
        <v>67</v>
      </c>
      <c r="D65" s="7" t="s">
        <v>1</v>
      </c>
      <c r="E65" s="7" t="s">
        <v>2</v>
      </c>
      <c r="F65" s="7" t="s">
        <v>3</v>
      </c>
      <c r="G65" s="7" t="s">
        <v>4</v>
      </c>
      <c r="H65" s="7" t="s">
        <v>5</v>
      </c>
      <c r="I65" s="7" t="s">
        <v>6</v>
      </c>
      <c r="J65" s="7" t="s">
        <v>7</v>
      </c>
      <c r="K65" s="7" t="s">
        <v>8</v>
      </c>
      <c r="L65" s="7" t="s">
        <v>9</v>
      </c>
      <c r="M65" s="7" t="s">
        <v>10</v>
      </c>
      <c r="N65" s="7" t="s">
        <v>11</v>
      </c>
      <c r="O65" s="7" t="s">
        <v>12</v>
      </c>
      <c r="P65" s="7" t="s">
        <v>13</v>
      </c>
      <c r="Q65" s="21"/>
    </row>
    <row r="66" spans="2:17" ht="21" hidden="1" customHeight="1" x14ac:dyDescent="0.2">
      <c r="B66" s="12"/>
      <c r="C66" s="22" t="s">
        <v>68</v>
      </c>
      <c r="D66" s="22" t="s">
        <v>17</v>
      </c>
      <c r="E66" s="22" t="s">
        <v>18</v>
      </c>
      <c r="F66" s="22" t="s">
        <v>19</v>
      </c>
      <c r="G66" s="22" t="s">
        <v>20</v>
      </c>
      <c r="H66" s="22" t="s">
        <v>21</v>
      </c>
      <c r="I66" s="22" t="s">
        <v>22</v>
      </c>
      <c r="J66" s="22" t="s">
        <v>23</v>
      </c>
      <c r="K66" s="22" t="s">
        <v>24</v>
      </c>
      <c r="L66" s="22" t="s">
        <v>25</v>
      </c>
      <c r="M66" s="22" t="s">
        <v>26</v>
      </c>
      <c r="N66" s="22" t="s">
        <v>27</v>
      </c>
      <c r="O66" s="22" t="s">
        <v>28</v>
      </c>
      <c r="P66" s="22" t="s">
        <v>29</v>
      </c>
      <c r="Q66" s="22" t="s">
        <v>30</v>
      </c>
    </row>
    <row r="67" spans="2:17" ht="15.95" customHeight="1" x14ac:dyDescent="0.2">
      <c r="B67" s="12"/>
      <c r="C67" t="s">
        <v>41</v>
      </c>
      <c r="D67" s="20"/>
      <c r="E67" s="20"/>
      <c r="F67" s="20">
        <f t="shared" ref="F67:N69" si="14">$D18*$A18</f>
        <v>60000</v>
      </c>
      <c r="G67" s="20">
        <f t="shared" si="14"/>
        <v>60000</v>
      </c>
      <c r="H67" s="20">
        <f t="shared" si="14"/>
        <v>60000</v>
      </c>
      <c r="I67" s="20">
        <f t="shared" si="14"/>
        <v>60000</v>
      </c>
      <c r="J67" s="20">
        <f t="shared" si="14"/>
        <v>60000</v>
      </c>
      <c r="K67" s="20">
        <f t="shared" si="14"/>
        <v>60000</v>
      </c>
      <c r="L67" s="20"/>
      <c r="M67" s="20">
        <f t="shared" si="14"/>
        <v>60000</v>
      </c>
      <c r="N67" s="20">
        <f t="shared" si="14"/>
        <v>60000</v>
      </c>
      <c r="O67" s="20"/>
      <c r="P67" s="20">
        <f>SUM(tblVacations46[[#This Row],[Ene]:[Dic]])</f>
        <v>480000</v>
      </c>
      <c r="Q67" s="25"/>
    </row>
    <row r="68" spans="2:17" ht="15.95" customHeight="1" x14ac:dyDescent="0.2">
      <c r="B68" s="12"/>
      <c r="C68" t="s">
        <v>42</v>
      </c>
      <c r="D68" s="20"/>
      <c r="E68" s="20"/>
      <c r="F68" s="20">
        <f t="shared" si="14"/>
        <v>40000</v>
      </c>
      <c r="G68" s="20">
        <f t="shared" si="14"/>
        <v>40000</v>
      </c>
      <c r="H68" s="20">
        <f t="shared" si="14"/>
        <v>40000</v>
      </c>
      <c r="I68" s="20"/>
      <c r="J68" s="20">
        <f t="shared" si="14"/>
        <v>40000</v>
      </c>
      <c r="K68" s="20">
        <f t="shared" si="14"/>
        <v>40000</v>
      </c>
      <c r="L68" s="20"/>
      <c r="M68" s="20"/>
      <c r="N68" s="20"/>
      <c r="O68" s="20"/>
      <c r="P68" s="20">
        <f>SUM(tblVacations46[[#This Row],[Ene]:[Dic]])</f>
        <v>200000</v>
      </c>
      <c r="Q68" s="21"/>
    </row>
    <row r="69" spans="2:17" ht="15.95" customHeight="1" x14ac:dyDescent="0.2">
      <c r="B69" s="12"/>
      <c r="C69" t="s">
        <v>43</v>
      </c>
      <c r="D69" s="20"/>
      <c r="E69" s="20"/>
      <c r="F69" s="20"/>
      <c r="G69" s="20">
        <f t="shared" si="14"/>
        <v>32000</v>
      </c>
      <c r="H69" s="20">
        <f t="shared" si="14"/>
        <v>32000</v>
      </c>
      <c r="I69" s="20">
        <f t="shared" si="14"/>
        <v>32000</v>
      </c>
      <c r="J69" s="20"/>
      <c r="K69" s="20"/>
      <c r="L69" s="20"/>
      <c r="M69" s="20">
        <f t="shared" si="14"/>
        <v>32000</v>
      </c>
      <c r="N69" s="20"/>
      <c r="O69" s="20"/>
      <c r="P69" s="20">
        <f>SUM(tblVacations46[[#This Row],[Ene]:[Dic]])</f>
        <v>128000</v>
      </c>
      <c r="Q69" s="25"/>
    </row>
    <row r="70" spans="2:17" ht="21" customHeight="1" x14ac:dyDescent="0.2">
      <c r="B70" s="12"/>
      <c r="C70" s="30" t="s">
        <v>62</v>
      </c>
      <c r="D70" s="24">
        <f>SUBTOTAL(109,tblVacations46[Ene])</f>
        <v>0</v>
      </c>
      <c r="E70" s="25">
        <f>SUBTOTAL(109,tblVacations46[Feb])</f>
        <v>0</v>
      </c>
      <c r="F70" s="24">
        <f>SUBTOTAL(109,tblVacations46[Marzo])</f>
        <v>100000</v>
      </c>
      <c r="G70" s="25">
        <f>SUBTOTAL(109,tblVacations46[Abril])</f>
        <v>132000</v>
      </c>
      <c r="H70" s="24">
        <f>SUBTOTAL(109,tblVacations46[Mayo])</f>
        <v>132000</v>
      </c>
      <c r="I70" s="25">
        <f>SUBTOTAL(109,tblVacations46[Junio])</f>
        <v>92000</v>
      </c>
      <c r="J70" s="24">
        <f>SUBTOTAL(109,tblVacations46[Julio])</f>
        <v>100000</v>
      </c>
      <c r="K70" s="25">
        <f>SUBTOTAL(109,tblVacations46[Ago])</f>
        <v>100000</v>
      </c>
      <c r="L70" s="24">
        <f>SUBTOTAL(109,tblVacations46[Sept])</f>
        <v>0</v>
      </c>
      <c r="M70" s="25">
        <f>SUBTOTAL(109,tblVacations46[Oct])</f>
        <v>92000</v>
      </c>
      <c r="N70" s="24">
        <f>SUBTOTAL(109,tblVacations46[Nov])</f>
        <v>60000</v>
      </c>
      <c r="O70" s="25">
        <f>SUBTOTAL(109,tblVacations46[Dic])</f>
        <v>0</v>
      </c>
      <c r="P70" s="24">
        <f>SUBTOTAL(109,tblVacations46[Año])</f>
        <v>808000</v>
      </c>
      <c r="Q70" s="25"/>
    </row>
    <row r="71" spans="2:17" ht="8.1" customHeight="1" x14ac:dyDescent="0.2">
      <c r="C71" s="53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2:17" ht="20.100000000000001" customHeight="1" x14ac:dyDescent="0.2"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</row>
    <row r="73" spans="2:17" ht="21" customHeight="1" x14ac:dyDescent="0.2">
      <c r="B73" s="12"/>
      <c r="C73" s="32" t="s">
        <v>69</v>
      </c>
      <c r="D73" s="7" t="s">
        <v>1</v>
      </c>
      <c r="E73" s="7" t="s">
        <v>2</v>
      </c>
      <c r="F73" s="7" t="s">
        <v>3</v>
      </c>
      <c r="G73" s="7" t="s">
        <v>4</v>
      </c>
      <c r="H73" s="7" t="s">
        <v>5</v>
      </c>
      <c r="I73" s="7" t="s">
        <v>6</v>
      </c>
      <c r="J73" s="7" t="s">
        <v>7</v>
      </c>
      <c r="K73" s="7" t="s">
        <v>8</v>
      </c>
      <c r="L73" s="7" t="s">
        <v>9</v>
      </c>
      <c r="M73" s="7" t="s">
        <v>10</v>
      </c>
      <c r="N73" s="7" t="s">
        <v>11</v>
      </c>
      <c r="O73" s="7" t="s">
        <v>12</v>
      </c>
      <c r="P73" s="7" t="s">
        <v>13</v>
      </c>
      <c r="Q73" s="21"/>
    </row>
    <row r="74" spans="2:17" ht="21" hidden="1" customHeight="1" x14ac:dyDescent="0.2">
      <c r="B74" s="12"/>
      <c r="C74" s="22" t="s">
        <v>70</v>
      </c>
      <c r="D74" s="22" t="s">
        <v>17</v>
      </c>
      <c r="E74" s="22" t="s">
        <v>18</v>
      </c>
      <c r="F74" s="22" t="s">
        <v>19</v>
      </c>
      <c r="G74" s="22" t="s">
        <v>20</v>
      </c>
      <c r="H74" s="22" t="s">
        <v>21</v>
      </c>
      <c r="I74" s="22" t="s">
        <v>22</v>
      </c>
      <c r="J74" s="22" t="s">
        <v>23</v>
      </c>
      <c r="K74" s="22" t="s">
        <v>24</v>
      </c>
      <c r="L74" s="22" t="s">
        <v>25</v>
      </c>
      <c r="M74" s="22" t="s">
        <v>26</v>
      </c>
      <c r="N74" s="22" t="s">
        <v>27</v>
      </c>
      <c r="O74" s="22" t="s">
        <v>28</v>
      </c>
      <c r="P74" s="22" t="s">
        <v>29</v>
      </c>
      <c r="Q74" s="22" t="s">
        <v>30</v>
      </c>
    </row>
    <row r="75" spans="2:17" ht="15.95" customHeight="1" x14ac:dyDescent="0.2">
      <c r="B75" s="12"/>
      <c r="C75" t="s">
        <v>44</v>
      </c>
      <c r="D75" s="20"/>
      <c r="E75" s="21"/>
      <c r="F75" s="20"/>
      <c r="G75" s="21">
        <f t="shared" ref="G75:N75" si="15">$D21*$A21</f>
        <v>70000</v>
      </c>
      <c r="H75" s="21">
        <f t="shared" si="15"/>
        <v>70000</v>
      </c>
      <c r="I75" s="21">
        <f t="shared" si="15"/>
        <v>70000</v>
      </c>
      <c r="J75" s="21">
        <f t="shared" si="15"/>
        <v>70000</v>
      </c>
      <c r="K75" s="21"/>
      <c r="L75" s="21"/>
      <c r="M75" s="21"/>
      <c r="N75" s="21">
        <f t="shared" si="15"/>
        <v>70000</v>
      </c>
      <c r="O75" s="21"/>
      <c r="P75" s="20">
        <f>SUM(tblRecreation47[[#This Row],[Ene]:[Dic]])</f>
        <v>350000</v>
      </c>
      <c r="Q75" s="25"/>
    </row>
    <row r="76" spans="2:17" ht="15.95" customHeight="1" x14ac:dyDescent="0.2">
      <c r="B76" s="12"/>
      <c r="C76" t="s">
        <v>45</v>
      </c>
      <c r="D76" s="20"/>
      <c r="E76" s="21"/>
      <c r="F76" s="20"/>
      <c r="G76" s="21">
        <f t="shared" ref="G76:J76" si="16">$D22*$A22</f>
        <v>54000</v>
      </c>
      <c r="H76" s="21">
        <f t="shared" si="16"/>
        <v>54000</v>
      </c>
      <c r="I76" s="21">
        <f t="shared" si="16"/>
        <v>54000</v>
      </c>
      <c r="J76" s="21">
        <f t="shared" si="16"/>
        <v>54000</v>
      </c>
      <c r="K76" s="21"/>
      <c r="L76" s="21"/>
      <c r="M76" s="21"/>
      <c r="N76" s="21"/>
      <c r="O76" s="21"/>
      <c r="P76" s="20">
        <f>SUM(tblRecreation47[[#This Row],[Ene]:[Dic]])</f>
        <v>216000</v>
      </c>
      <c r="Q76" s="21"/>
    </row>
    <row r="77" spans="2:17" ht="15.95" customHeight="1" x14ac:dyDescent="0.2">
      <c r="B77" s="12"/>
      <c r="C77" t="s">
        <v>46</v>
      </c>
      <c r="D77" s="20"/>
      <c r="E77" s="21"/>
      <c r="F77" s="20"/>
      <c r="G77" s="21">
        <f t="shared" ref="G77:N77" si="17">$D23*$A23</f>
        <v>140000</v>
      </c>
      <c r="H77" s="21">
        <f t="shared" si="17"/>
        <v>140000</v>
      </c>
      <c r="I77" s="21">
        <f t="shared" si="17"/>
        <v>140000</v>
      </c>
      <c r="J77" s="21">
        <f t="shared" si="17"/>
        <v>140000</v>
      </c>
      <c r="K77" s="21"/>
      <c r="L77" s="21"/>
      <c r="M77" s="21"/>
      <c r="N77" s="21">
        <f t="shared" si="17"/>
        <v>140000</v>
      </c>
      <c r="O77" s="21"/>
      <c r="P77" s="20">
        <f>SUM(tblRecreation47[[#This Row],[Ene]:[Dic]])</f>
        <v>700000</v>
      </c>
      <c r="Q77" s="25"/>
    </row>
    <row r="78" spans="2:17" ht="21" customHeight="1" x14ac:dyDescent="0.2">
      <c r="B78" s="12"/>
      <c r="C78" s="30" t="s">
        <v>62</v>
      </c>
      <c r="D78" s="24">
        <f>SUBTOTAL(109,tblRecreation47[Ene])</f>
        <v>0</v>
      </c>
      <c r="E78" s="25">
        <f>SUBTOTAL(109,tblRecreation47[Feb])</f>
        <v>0</v>
      </c>
      <c r="F78" s="24">
        <f>SUBTOTAL(109,tblRecreation47[Marzo])</f>
        <v>0</v>
      </c>
      <c r="G78" s="25">
        <f>SUBTOTAL(109,tblRecreation47[Abril])</f>
        <v>264000</v>
      </c>
      <c r="H78" s="24">
        <f>SUBTOTAL(109,tblRecreation47[Mayo])</f>
        <v>264000</v>
      </c>
      <c r="I78" s="25">
        <f>SUBTOTAL(109,tblRecreation47[Junio])</f>
        <v>264000</v>
      </c>
      <c r="J78" s="24">
        <f>SUBTOTAL(109,tblRecreation47[Julio])</f>
        <v>264000</v>
      </c>
      <c r="K78" s="25">
        <f>SUBTOTAL(109,tblRecreation47[Ago])</f>
        <v>0</v>
      </c>
      <c r="L78" s="24">
        <f>SUBTOTAL(109,tblRecreation47[Sept])</f>
        <v>0</v>
      </c>
      <c r="M78" s="25">
        <f>SUBTOTAL(109,tblRecreation47[Oct])</f>
        <v>0</v>
      </c>
      <c r="N78" s="24">
        <f>SUBTOTAL(109,tblRecreation47[Nov])</f>
        <v>210000</v>
      </c>
      <c r="O78" s="25">
        <f>SUBTOTAL(109,tblRecreation47[Dic])</f>
        <v>0</v>
      </c>
      <c r="P78" s="24">
        <f>SUBTOTAL(109,tblRecreation47[Año])</f>
        <v>1266000</v>
      </c>
      <c r="Q78" s="25"/>
    </row>
    <row r="79" spans="2:17" ht="8.1" customHeight="1" x14ac:dyDescent="0.2">
      <c r="B79" s="1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2:17" ht="20.100000000000001" customHeight="1" x14ac:dyDescent="0.2"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</row>
    <row r="81" spans="2:17" ht="21" customHeight="1" x14ac:dyDescent="0.2">
      <c r="B81" s="13"/>
      <c r="C81" s="33" t="s">
        <v>71</v>
      </c>
      <c r="D81" s="7" t="s">
        <v>1</v>
      </c>
      <c r="E81" s="7" t="s">
        <v>2</v>
      </c>
      <c r="F81" s="7" t="s">
        <v>3</v>
      </c>
      <c r="G81" s="7" t="s">
        <v>4</v>
      </c>
      <c r="H81" s="7" t="s">
        <v>5</v>
      </c>
      <c r="I81" s="7" t="s">
        <v>6</v>
      </c>
      <c r="J81" s="7" t="s">
        <v>7</v>
      </c>
      <c r="K81" s="7" t="s">
        <v>8</v>
      </c>
      <c r="L81" s="7" t="s">
        <v>9</v>
      </c>
      <c r="M81" s="7" t="s">
        <v>10</v>
      </c>
      <c r="N81" s="7" t="s">
        <v>11</v>
      </c>
      <c r="O81" s="7" t="s">
        <v>12</v>
      </c>
      <c r="P81" s="7" t="s">
        <v>13</v>
      </c>
      <c r="Q81" s="21"/>
    </row>
    <row r="82" spans="2:17" ht="8.1" hidden="1" customHeight="1" x14ac:dyDescent="0.2">
      <c r="B82" s="13"/>
      <c r="C82" s="22" t="s">
        <v>72</v>
      </c>
      <c r="D82" s="22" t="s">
        <v>17</v>
      </c>
      <c r="E82" s="22" t="s">
        <v>18</v>
      </c>
      <c r="F82" s="22" t="s">
        <v>19</v>
      </c>
      <c r="G82" s="22" t="s">
        <v>20</v>
      </c>
      <c r="H82" s="22" t="s">
        <v>21</v>
      </c>
      <c r="I82" s="22" t="s">
        <v>22</v>
      </c>
      <c r="J82" s="22" t="s">
        <v>23</v>
      </c>
      <c r="K82" s="22" t="s">
        <v>24</v>
      </c>
      <c r="L82" s="22" t="s">
        <v>25</v>
      </c>
      <c r="M82" s="22" t="s">
        <v>26</v>
      </c>
      <c r="N82" s="22" t="s">
        <v>27</v>
      </c>
      <c r="O82" s="22" t="s">
        <v>28</v>
      </c>
      <c r="P82" s="22" t="s">
        <v>29</v>
      </c>
      <c r="Q82" s="22" t="s">
        <v>30</v>
      </c>
    </row>
    <row r="83" spans="2:17" ht="15.95" customHeight="1" x14ac:dyDescent="0.2">
      <c r="C83" t="s">
        <v>47</v>
      </c>
      <c r="D83" s="27">
        <f t="shared" ref="D83:O85" si="18">$D24*$A24</f>
        <v>38000</v>
      </c>
      <c r="E83" s="27">
        <f t="shared" si="18"/>
        <v>38000</v>
      </c>
      <c r="F83" s="27">
        <f t="shared" si="18"/>
        <v>38000</v>
      </c>
      <c r="G83" s="27">
        <f t="shared" si="18"/>
        <v>38000</v>
      </c>
      <c r="H83" s="27">
        <f t="shared" si="18"/>
        <v>38000</v>
      </c>
      <c r="I83" s="27">
        <f t="shared" si="18"/>
        <v>38000</v>
      </c>
      <c r="J83" s="27">
        <f t="shared" si="18"/>
        <v>38000</v>
      </c>
      <c r="K83" s="27">
        <f t="shared" si="18"/>
        <v>38000</v>
      </c>
      <c r="L83" s="27">
        <f t="shared" si="18"/>
        <v>38000</v>
      </c>
      <c r="M83" s="27">
        <f t="shared" si="18"/>
        <v>38000</v>
      </c>
      <c r="N83" s="27">
        <f t="shared" si="18"/>
        <v>38000</v>
      </c>
      <c r="O83" s="27">
        <f t="shared" si="18"/>
        <v>38000</v>
      </c>
      <c r="P83" s="27">
        <f>SUM(tblDues48[[#This Row],[Ene]:[Dic]])</f>
        <v>456000</v>
      </c>
      <c r="Q83" s="21"/>
    </row>
    <row r="84" spans="2:17" ht="15.95" customHeight="1" x14ac:dyDescent="0.2">
      <c r="B84" s="13"/>
      <c r="C84" t="s">
        <v>48</v>
      </c>
      <c r="D84" s="27">
        <f t="shared" si="18"/>
        <v>28000</v>
      </c>
      <c r="E84" s="27">
        <f t="shared" si="18"/>
        <v>28000</v>
      </c>
      <c r="F84" s="27">
        <f t="shared" si="18"/>
        <v>28000</v>
      </c>
      <c r="G84" s="27">
        <f t="shared" si="18"/>
        <v>28000</v>
      </c>
      <c r="H84" s="27">
        <f t="shared" si="18"/>
        <v>28000</v>
      </c>
      <c r="I84" s="27">
        <f t="shared" si="18"/>
        <v>28000</v>
      </c>
      <c r="J84" s="27">
        <f t="shared" si="18"/>
        <v>28000</v>
      </c>
      <c r="K84" s="27">
        <f t="shared" si="18"/>
        <v>28000</v>
      </c>
      <c r="L84" s="27">
        <f t="shared" si="18"/>
        <v>28000</v>
      </c>
      <c r="M84" s="27">
        <f t="shared" si="18"/>
        <v>28000</v>
      </c>
      <c r="N84" s="27">
        <f t="shared" si="18"/>
        <v>28000</v>
      </c>
      <c r="O84" s="27">
        <f t="shared" si="18"/>
        <v>28000</v>
      </c>
      <c r="P84" s="27">
        <f>SUM(tblDues48[[#This Row],[Ene]:[Dic]])</f>
        <v>336000</v>
      </c>
      <c r="Q84" s="25"/>
    </row>
    <row r="85" spans="2:17" ht="15.95" customHeight="1" x14ac:dyDescent="0.2">
      <c r="B85" s="13"/>
      <c r="C85" t="s">
        <v>49</v>
      </c>
      <c r="D85" s="27">
        <f t="shared" si="18"/>
        <v>40000</v>
      </c>
      <c r="E85" s="27">
        <f t="shared" si="18"/>
        <v>40000</v>
      </c>
      <c r="F85" s="27">
        <f t="shared" si="18"/>
        <v>40000</v>
      </c>
      <c r="G85" s="27">
        <f t="shared" si="18"/>
        <v>40000</v>
      </c>
      <c r="H85" s="27">
        <f t="shared" si="18"/>
        <v>40000</v>
      </c>
      <c r="I85" s="27">
        <f t="shared" si="18"/>
        <v>40000</v>
      </c>
      <c r="J85" s="27">
        <f t="shared" si="18"/>
        <v>40000</v>
      </c>
      <c r="K85" s="27">
        <f t="shared" si="18"/>
        <v>40000</v>
      </c>
      <c r="L85" s="27">
        <f t="shared" si="18"/>
        <v>40000</v>
      </c>
      <c r="M85" s="27">
        <f t="shared" si="18"/>
        <v>40000</v>
      </c>
      <c r="N85" s="27">
        <f t="shared" si="18"/>
        <v>40000</v>
      </c>
      <c r="O85" s="27">
        <f t="shared" si="18"/>
        <v>40000</v>
      </c>
      <c r="P85" s="27">
        <f>SUM(tblDues48[[#This Row],[Ene]:[Dic]])</f>
        <v>480000</v>
      </c>
      <c r="Q85" s="21"/>
    </row>
    <row r="86" spans="2:17" ht="21" customHeight="1" x14ac:dyDescent="0.2">
      <c r="B86" s="13"/>
      <c r="C86" s="30" t="s">
        <v>62</v>
      </c>
      <c r="D86" s="29">
        <f>SUBTOTAL(109,tblDues48[Ene])</f>
        <v>106000</v>
      </c>
      <c r="E86" s="25">
        <f>SUBTOTAL(109,tblDues48[Feb])</f>
        <v>106000</v>
      </c>
      <c r="F86" s="29">
        <f>SUBTOTAL(109,tblDues48[Marzo])</f>
        <v>106000</v>
      </c>
      <c r="G86" s="25">
        <f>SUBTOTAL(109,tblDues48[Abril])</f>
        <v>106000</v>
      </c>
      <c r="H86" s="29">
        <f>SUBTOTAL(109,tblDues48[Mayo])</f>
        <v>106000</v>
      </c>
      <c r="I86" s="25">
        <f>SUBTOTAL(109,tblDues48[Junio])</f>
        <v>106000</v>
      </c>
      <c r="J86" s="29">
        <f>SUBTOTAL(109,tblDues48[Julio])</f>
        <v>106000</v>
      </c>
      <c r="K86" s="25">
        <f>SUBTOTAL(109,tblDues48[Ago])</f>
        <v>106000</v>
      </c>
      <c r="L86" s="29">
        <f>SUBTOTAL(109,tblDues48[Sept])</f>
        <v>106000</v>
      </c>
      <c r="M86" s="25">
        <f>SUBTOTAL(109,tblDues48[Oct])</f>
        <v>106000</v>
      </c>
      <c r="N86" s="29">
        <f>SUBTOTAL(109,tblDues48[Nov])</f>
        <v>106000</v>
      </c>
      <c r="O86" s="25">
        <f>SUBTOTAL(109,tblDues48[Dic])</f>
        <v>106000</v>
      </c>
      <c r="P86" s="29">
        <f>SUBTOTAL(109,tblDues48[Año])</f>
        <v>1272000</v>
      </c>
      <c r="Q86" s="25"/>
    </row>
    <row r="87" spans="2:17" ht="8.1" customHeight="1" x14ac:dyDescent="0.2">
      <c r="B87" s="13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20.100000000000001" customHeight="1" x14ac:dyDescent="0.2"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</row>
    <row r="89" spans="2:17" ht="21" customHeight="1" x14ac:dyDescent="0.2">
      <c r="B89" s="13"/>
      <c r="C89" s="33" t="s">
        <v>73</v>
      </c>
      <c r="D89" s="7" t="s">
        <v>1</v>
      </c>
      <c r="E89" s="7" t="s">
        <v>2</v>
      </c>
      <c r="F89" s="7" t="s">
        <v>3</v>
      </c>
      <c r="G89" s="7" t="s">
        <v>4</v>
      </c>
      <c r="H89" s="7" t="s">
        <v>5</v>
      </c>
      <c r="I89" s="7" t="s">
        <v>6</v>
      </c>
      <c r="J89" s="7" t="s">
        <v>7</v>
      </c>
      <c r="K89" s="7" t="s">
        <v>8</v>
      </c>
      <c r="L89" s="7" t="s">
        <v>9</v>
      </c>
      <c r="M89" s="7" t="s">
        <v>10</v>
      </c>
      <c r="N89" s="7" t="s">
        <v>11</v>
      </c>
      <c r="O89" s="7" t="s">
        <v>12</v>
      </c>
      <c r="P89" s="7" t="s">
        <v>13</v>
      </c>
      <c r="Q89" s="21"/>
    </row>
    <row r="90" spans="2:17" ht="15.95" hidden="1" customHeight="1" x14ac:dyDescent="0.2">
      <c r="B90" s="13"/>
      <c r="C90" s="22" t="s">
        <v>74</v>
      </c>
      <c r="D90" s="22" t="s">
        <v>17</v>
      </c>
      <c r="E90" s="22" t="s">
        <v>18</v>
      </c>
      <c r="F90" s="22" t="s">
        <v>19</v>
      </c>
      <c r="G90" s="22" t="s">
        <v>20</v>
      </c>
      <c r="H90" s="22" t="s">
        <v>21</v>
      </c>
      <c r="I90" s="22" t="s">
        <v>22</v>
      </c>
      <c r="J90" s="22" t="s">
        <v>23</v>
      </c>
      <c r="K90" s="22" t="s">
        <v>24</v>
      </c>
      <c r="L90" s="22" t="s">
        <v>25</v>
      </c>
      <c r="M90" s="22" t="s">
        <v>26</v>
      </c>
      <c r="N90" s="22" t="s">
        <v>27</v>
      </c>
      <c r="O90" s="22" t="s">
        <v>28</v>
      </c>
      <c r="P90" s="22" t="s">
        <v>29</v>
      </c>
      <c r="Q90" s="22" t="s">
        <v>30</v>
      </c>
    </row>
    <row r="91" spans="2:17" ht="15.95" customHeight="1" x14ac:dyDescent="0.2">
      <c r="B91" s="13"/>
      <c r="C91" t="s">
        <v>50</v>
      </c>
      <c r="D91" s="27"/>
      <c r="E91" s="27"/>
      <c r="F91" s="27"/>
      <c r="G91" s="27"/>
      <c r="H91" s="27">
        <f t="shared" ref="H91:I91" si="19">$D27*$A27</f>
        <v>46000</v>
      </c>
      <c r="I91" s="27">
        <f t="shared" si="19"/>
        <v>46000</v>
      </c>
      <c r="J91" s="27"/>
      <c r="K91" s="27"/>
      <c r="L91" s="27"/>
      <c r="M91" s="27"/>
      <c r="N91" s="27"/>
      <c r="O91" s="27"/>
      <c r="P91" s="27">
        <f>SUM(tblPersonal49[[#This Row],[Ene]:[Dic]])</f>
        <v>92000</v>
      </c>
      <c r="Q91" s="21"/>
    </row>
    <row r="92" spans="2:17" ht="15.95" customHeight="1" x14ac:dyDescent="0.2">
      <c r="B92" s="13"/>
      <c r="C92" t="s">
        <v>51</v>
      </c>
      <c r="D92" s="27">
        <f t="shared" ref="D92:O93" si="20">$D28*$A28</f>
        <v>35000</v>
      </c>
      <c r="E92" s="27">
        <f t="shared" si="20"/>
        <v>35000</v>
      </c>
      <c r="F92" s="27">
        <f t="shared" si="20"/>
        <v>35000</v>
      </c>
      <c r="G92" s="27">
        <f t="shared" si="20"/>
        <v>35000</v>
      </c>
      <c r="H92" s="27">
        <f t="shared" si="20"/>
        <v>35000</v>
      </c>
      <c r="I92" s="27">
        <f t="shared" si="20"/>
        <v>35000</v>
      </c>
      <c r="J92" s="27">
        <f t="shared" si="20"/>
        <v>35000</v>
      </c>
      <c r="K92" s="27">
        <f t="shared" si="20"/>
        <v>35000</v>
      </c>
      <c r="L92" s="27">
        <f t="shared" si="20"/>
        <v>35000</v>
      </c>
      <c r="M92" s="27">
        <f t="shared" si="20"/>
        <v>35000</v>
      </c>
      <c r="N92" s="27">
        <f t="shared" si="20"/>
        <v>35000</v>
      </c>
      <c r="O92" s="27">
        <f t="shared" si="20"/>
        <v>35000</v>
      </c>
      <c r="P92" s="27">
        <f>SUM(tblPersonal49[[#This Row],[Ene]:[Dic]])</f>
        <v>420000</v>
      </c>
      <c r="Q92" s="25"/>
    </row>
    <row r="93" spans="2:17" ht="15.95" customHeight="1" x14ac:dyDescent="0.2">
      <c r="B93" s="13"/>
      <c r="C93" t="s">
        <v>52</v>
      </c>
      <c r="D93" s="27"/>
      <c r="E93" s="27"/>
      <c r="F93" s="27"/>
      <c r="G93" s="27"/>
      <c r="H93" s="27"/>
      <c r="I93" s="27"/>
      <c r="J93" s="27"/>
      <c r="K93" s="27"/>
      <c r="L93" s="27">
        <f t="shared" si="20"/>
        <v>92000</v>
      </c>
      <c r="M93" s="27">
        <f t="shared" si="20"/>
        <v>92000</v>
      </c>
      <c r="N93" s="27">
        <f t="shared" si="20"/>
        <v>92000</v>
      </c>
      <c r="O93" s="27">
        <f t="shared" si="20"/>
        <v>92000</v>
      </c>
      <c r="P93" s="27">
        <f>SUM(tblPersonal49[[#This Row],[Ene]:[Dic]])</f>
        <v>368000</v>
      </c>
      <c r="Q93" s="21"/>
    </row>
    <row r="94" spans="2:17" ht="21" customHeight="1" x14ac:dyDescent="0.2">
      <c r="B94" s="13"/>
      <c r="C94" s="30" t="s">
        <v>62</v>
      </c>
      <c r="D94" s="29">
        <f>SUBTOTAL(109,tblPersonal49[Ene])</f>
        <v>35000</v>
      </c>
      <c r="E94" s="25">
        <f>SUBTOTAL(109,tblPersonal49[Feb])</f>
        <v>35000</v>
      </c>
      <c r="F94" s="29">
        <f>SUBTOTAL(109,tblPersonal49[Marzo])</f>
        <v>35000</v>
      </c>
      <c r="G94" s="25">
        <f>SUBTOTAL(109,tblPersonal49[Abril])</f>
        <v>35000</v>
      </c>
      <c r="H94" s="29">
        <f>SUBTOTAL(109,tblPersonal49[Mayo])</f>
        <v>81000</v>
      </c>
      <c r="I94" s="25">
        <f>SUBTOTAL(109,tblPersonal49[Junio])</f>
        <v>81000</v>
      </c>
      <c r="J94" s="29">
        <f>SUBTOTAL(109,tblPersonal49[Julio])</f>
        <v>35000</v>
      </c>
      <c r="K94" s="25">
        <f>SUBTOTAL(109,tblPersonal49[Ago])</f>
        <v>35000</v>
      </c>
      <c r="L94" s="29">
        <f>SUBTOTAL(109,tblPersonal49[Sept])</f>
        <v>127000</v>
      </c>
      <c r="M94" s="25">
        <f>SUBTOTAL(109,tblPersonal49[Oct])</f>
        <v>127000</v>
      </c>
      <c r="N94" s="29">
        <f>SUBTOTAL(109,tblPersonal49[Nov])</f>
        <v>127000</v>
      </c>
      <c r="O94" s="25">
        <f>SUBTOTAL(109,tblPersonal49[Dic])</f>
        <v>127000</v>
      </c>
      <c r="P94" s="29">
        <f>SUBTOTAL(109,tblPersonal49[Año])</f>
        <v>880000</v>
      </c>
      <c r="Q94" s="25"/>
    </row>
    <row r="95" spans="2:17" ht="8.1" customHeight="1" x14ac:dyDescent="0.2">
      <c r="B95" s="13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20.100000000000001" customHeight="1" x14ac:dyDescent="0.2"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</row>
    <row r="97" spans="2:17" ht="21" customHeight="1" x14ac:dyDescent="0.2">
      <c r="B97" s="12"/>
      <c r="C97" s="32" t="s">
        <v>75</v>
      </c>
      <c r="D97" s="7" t="s">
        <v>1</v>
      </c>
      <c r="E97" s="7" t="s">
        <v>2</v>
      </c>
      <c r="F97" s="7" t="s">
        <v>3</v>
      </c>
      <c r="G97" s="7" t="s">
        <v>4</v>
      </c>
      <c r="H97" s="7" t="s">
        <v>5</v>
      </c>
      <c r="I97" s="7" t="s">
        <v>6</v>
      </c>
      <c r="J97" s="7" t="s">
        <v>7</v>
      </c>
      <c r="K97" s="7" t="s">
        <v>8</v>
      </c>
      <c r="L97" s="7" t="s">
        <v>9</v>
      </c>
      <c r="M97" s="7" t="s">
        <v>10</v>
      </c>
      <c r="N97" s="7" t="s">
        <v>11</v>
      </c>
      <c r="O97" s="7" t="s">
        <v>12</v>
      </c>
      <c r="P97" s="7" t="s">
        <v>13</v>
      </c>
      <c r="Q97" s="21"/>
    </row>
    <row r="98" spans="2:17" ht="15.95" hidden="1" customHeight="1" x14ac:dyDescent="0.2">
      <c r="B98" s="12"/>
      <c r="C98" s="22" t="s">
        <v>76</v>
      </c>
      <c r="D98" s="22" t="s">
        <v>17</v>
      </c>
      <c r="E98" s="22" t="s">
        <v>18</v>
      </c>
      <c r="F98" s="22" t="s">
        <v>19</v>
      </c>
      <c r="G98" s="22" t="s">
        <v>20</v>
      </c>
      <c r="H98" s="22" t="s">
        <v>21</v>
      </c>
      <c r="I98" s="22" t="s">
        <v>22</v>
      </c>
      <c r="J98" s="22" t="s">
        <v>23</v>
      </c>
      <c r="K98" s="22" t="s">
        <v>24</v>
      </c>
      <c r="L98" s="22" t="s">
        <v>25</v>
      </c>
      <c r="M98" s="22" t="s">
        <v>26</v>
      </c>
      <c r="N98" s="22" t="s">
        <v>27</v>
      </c>
      <c r="O98" s="22" t="s">
        <v>28</v>
      </c>
      <c r="P98" s="22" t="s">
        <v>29</v>
      </c>
      <c r="Q98" s="22" t="s">
        <v>30</v>
      </c>
    </row>
    <row r="99" spans="2:17" ht="15.95" customHeight="1" x14ac:dyDescent="0.2">
      <c r="B99" s="12"/>
      <c r="C99" t="s">
        <v>53</v>
      </c>
      <c r="D99" s="20"/>
      <c r="E99" s="20"/>
      <c r="F99" s="20"/>
      <c r="G99" s="20">
        <f t="shared" ref="G99:K99" si="21">$D30*$A30</f>
        <v>110000</v>
      </c>
      <c r="H99" s="20">
        <f t="shared" si="21"/>
        <v>110000</v>
      </c>
      <c r="I99" s="20">
        <f t="shared" si="21"/>
        <v>110000</v>
      </c>
      <c r="J99" s="20">
        <f t="shared" si="21"/>
        <v>110000</v>
      </c>
      <c r="K99" s="20">
        <f t="shared" si="21"/>
        <v>110000</v>
      </c>
      <c r="L99" s="20"/>
      <c r="M99" s="20"/>
      <c r="N99" s="20"/>
      <c r="O99" s="20"/>
      <c r="P99" s="20">
        <f>SUM(tblFinancial50[[#This Row],[Ene]:[Dic]])</f>
        <v>550000</v>
      </c>
      <c r="Q99" s="21"/>
    </row>
    <row r="100" spans="2:17" ht="15.95" customHeight="1" x14ac:dyDescent="0.2">
      <c r="B100" s="12"/>
      <c r="C100" t="s">
        <v>54</v>
      </c>
      <c r="D100" s="20"/>
      <c r="E100" s="20"/>
      <c r="F100" s="20"/>
      <c r="G100" s="20">
        <f t="shared" ref="G100:K100" si="22">$D31*$A31</f>
        <v>63000</v>
      </c>
      <c r="H100" s="20">
        <f t="shared" si="22"/>
        <v>63000</v>
      </c>
      <c r="I100" s="20">
        <f t="shared" si="22"/>
        <v>63000</v>
      </c>
      <c r="J100" s="20">
        <f t="shared" si="22"/>
        <v>63000</v>
      </c>
      <c r="K100" s="20">
        <f t="shared" si="22"/>
        <v>63000</v>
      </c>
      <c r="L100" s="20"/>
      <c r="M100" s="20"/>
      <c r="N100" s="20"/>
      <c r="O100" s="20"/>
      <c r="P100" s="20">
        <f>SUM(tblFinancial50[[#This Row],[Ene]:[Dic]])</f>
        <v>315000</v>
      </c>
      <c r="Q100" s="25"/>
    </row>
    <row r="101" spans="2:17" ht="21" customHeight="1" x14ac:dyDescent="0.2">
      <c r="B101" s="12"/>
      <c r="C101" s="30" t="s">
        <v>62</v>
      </c>
      <c r="D101" s="24">
        <f>SUBTOTAL(109,tblFinancial50[Ene])</f>
        <v>0</v>
      </c>
      <c r="E101" s="25">
        <f>SUBTOTAL(109,tblFinancial50[Feb])</f>
        <v>0</v>
      </c>
      <c r="F101" s="24">
        <f>SUBTOTAL(109,tblFinancial50[Marzo])</f>
        <v>0</v>
      </c>
      <c r="G101" s="25">
        <f>SUBTOTAL(109,tblFinancial50[Abril])</f>
        <v>173000</v>
      </c>
      <c r="H101" s="24">
        <f>SUBTOTAL(109,tblFinancial50[Mayo])</f>
        <v>173000</v>
      </c>
      <c r="I101" s="25">
        <f>SUBTOTAL(109,tblFinancial50[Junio])</f>
        <v>173000</v>
      </c>
      <c r="J101" s="24">
        <f>SUBTOTAL(109,tblFinancial50[Julio])</f>
        <v>173000</v>
      </c>
      <c r="K101" s="25">
        <f>SUBTOTAL(109,tblFinancial50[Ago])</f>
        <v>173000</v>
      </c>
      <c r="L101" s="24">
        <f>SUBTOTAL(109,tblFinancial50[Sept])</f>
        <v>0</v>
      </c>
      <c r="M101" s="25">
        <f>SUBTOTAL(109,tblFinancial50[Oct])</f>
        <v>0</v>
      </c>
      <c r="N101" s="24">
        <f>SUBTOTAL(109,tblFinancial50[Nov])</f>
        <v>0</v>
      </c>
      <c r="O101" s="25">
        <f>SUBTOTAL(109,tblFinancial50[Dic])</f>
        <v>0</v>
      </c>
      <c r="P101" s="24">
        <f>SUBTOTAL(109,tblFinancial50[Año])</f>
        <v>865000</v>
      </c>
      <c r="Q101" s="25"/>
    </row>
    <row r="102" spans="2:17" ht="8.1" customHeight="1" x14ac:dyDescent="0.2">
      <c r="B102" s="1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20.100000000000001" customHeight="1" x14ac:dyDescent="0.2"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</row>
    <row r="104" spans="2:17" ht="21" customHeight="1" x14ac:dyDescent="0.2">
      <c r="B104" s="12"/>
      <c r="C104" s="32" t="s">
        <v>77</v>
      </c>
      <c r="D104" s="7" t="s">
        <v>1</v>
      </c>
      <c r="E104" s="7" t="s">
        <v>2</v>
      </c>
      <c r="F104" s="7" t="s">
        <v>3</v>
      </c>
      <c r="G104" s="7" t="s">
        <v>4</v>
      </c>
      <c r="H104" s="7" t="s">
        <v>5</v>
      </c>
      <c r="I104" s="7" t="s">
        <v>6</v>
      </c>
      <c r="J104" s="7" t="s">
        <v>7</v>
      </c>
      <c r="K104" s="7" t="s">
        <v>8</v>
      </c>
      <c r="L104" s="7" t="s">
        <v>9</v>
      </c>
      <c r="M104" s="7" t="s">
        <v>10</v>
      </c>
      <c r="N104" s="7" t="s">
        <v>11</v>
      </c>
      <c r="O104" s="7" t="s">
        <v>12</v>
      </c>
      <c r="P104" s="7" t="s">
        <v>13</v>
      </c>
      <c r="Q104" s="21"/>
    </row>
    <row r="105" spans="2:17" ht="8.1" hidden="1" customHeight="1" x14ac:dyDescent="0.2">
      <c r="B105" s="12"/>
      <c r="C105" s="22" t="s">
        <v>78</v>
      </c>
      <c r="D105" s="22" t="s">
        <v>17</v>
      </c>
      <c r="E105" s="22" t="s">
        <v>18</v>
      </c>
      <c r="F105" s="22" t="s">
        <v>19</v>
      </c>
      <c r="G105" s="22" t="s">
        <v>20</v>
      </c>
      <c r="H105" s="22" t="s">
        <v>21</v>
      </c>
      <c r="I105" s="22" t="s">
        <v>22</v>
      </c>
      <c r="J105" s="22" t="s">
        <v>23</v>
      </c>
      <c r="K105" s="22" t="s">
        <v>24</v>
      </c>
      <c r="L105" s="22" t="s">
        <v>25</v>
      </c>
      <c r="M105" s="22" t="s">
        <v>26</v>
      </c>
      <c r="N105" s="22" t="s">
        <v>27</v>
      </c>
      <c r="O105" s="22" t="s">
        <v>28</v>
      </c>
      <c r="P105" s="22" t="s">
        <v>29</v>
      </c>
      <c r="Q105" s="22" t="s">
        <v>30</v>
      </c>
    </row>
    <row r="106" spans="2:17" ht="15.95" customHeight="1" x14ac:dyDescent="0.2">
      <c r="B106" s="12"/>
      <c r="C106" t="s">
        <v>55</v>
      </c>
      <c r="D106" s="20"/>
      <c r="E106" s="21"/>
      <c r="F106" s="20"/>
      <c r="G106" s="21">
        <f t="shared" ref="G106:H107" si="23">$D32*$A32</f>
        <v>72000</v>
      </c>
      <c r="H106" s="21">
        <f t="shared" si="23"/>
        <v>72000</v>
      </c>
      <c r="I106" s="21"/>
      <c r="J106" s="20"/>
      <c r="K106" s="21"/>
      <c r="L106" s="20"/>
      <c r="M106" s="21"/>
      <c r="N106" s="20"/>
      <c r="O106" s="21"/>
      <c r="P106" s="20">
        <f>SUM(tblMisc5153[[#This Row],[Ene]:[Dic]])</f>
        <v>144000</v>
      </c>
      <c r="Q106" s="21"/>
    </row>
    <row r="107" spans="2:17" ht="15.95" customHeight="1" x14ac:dyDescent="0.2">
      <c r="B107" s="12"/>
      <c r="C107" t="s">
        <v>56</v>
      </c>
      <c r="D107" s="20"/>
      <c r="E107" s="21"/>
      <c r="F107" s="20"/>
      <c r="G107" s="21">
        <f t="shared" si="23"/>
        <v>36000</v>
      </c>
      <c r="H107" s="21">
        <f t="shared" si="23"/>
        <v>36000</v>
      </c>
      <c r="I107" s="21"/>
      <c r="J107" s="20"/>
      <c r="K107" s="21"/>
      <c r="L107" s="20"/>
      <c r="M107" s="21"/>
      <c r="N107" s="20"/>
      <c r="O107" s="21"/>
      <c r="P107" s="20">
        <f>SUM(tblMisc5153[[#This Row],[Ene]:[Dic]])</f>
        <v>72000</v>
      </c>
      <c r="Q107" s="25"/>
    </row>
    <row r="108" spans="2:17" ht="21" customHeight="1" x14ac:dyDescent="0.2">
      <c r="C108" s="34" t="s">
        <v>62</v>
      </c>
      <c r="D108" s="24">
        <f>SUBTOTAL(109,tblMisc5153[Ene])</f>
        <v>0</v>
      </c>
      <c r="E108" s="25">
        <f>SUBTOTAL(109,tblMisc5153[Feb])</f>
        <v>0</v>
      </c>
      <c r="F108" s="24">
        <f>SUBTOTAL(109,tblMisc5153[Marzo])</f>
        <v>0</v>
      </c>
      <c r="G108" s="25">
        <f>SUBTOTAL(109,tblMisc5153[Abril])</f>
        <v>108000</v>
      </c>
      <c r="H108" s="24">
        <f>SUBTOTAL(109,tblMisc5153[Mayo])</f>
        <v>108000</v>
      </c>
      <c r="I108" s="25">
        <f>SUBTOTAL(109,tblMisc5153[Junio])</f>
        <v>0</v>
      </c>
      <c r="J108" s="24">
        <f>SUBTOTAL(109,tblMisc5153[Julio])</f>
        <v>0</v>
      </c>
      <c r="K108" s="25">
        <f>SUBTOTAL(109,tblMisc5153[Ago])</f>
        <v>0</v>
      </c>
      <c r="L108" s="24">
        <f>SUBTOTAL(109,tblMisc5153[Sept])</f>
        <v>0</v>
      </c>
      <c r="M108" s="25">
        <f>SUBTOTAL(109,tblMisc5153[Oct])</f>
        <v>0</v>
      </c>
      <c r="N108" s="24">
        <f>SUBTOTAL(109,tblMisc5153[Nov])</f>
        <v>0</v>
      </c>
      <c r="O108" s="25">
        <f>SUBTOTAL(109,tblMisc5153[Dic])</f>
        <v>0</v>
      </c>
      <c r="P108" s="24">
        <f>SUBTOTAL(109,tblMisc5153[Año])</f>
        <v>216000</v>
      </c>
      <c r="Q108" s="25"/>
    </row>
    <row r="109" spans="2:17" ht="8.1" customHeight="1" x14ac:dyDescent="0.2">
      <c r="C109" s="53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20.100000000000001" customHeight="1" x14ac:dyDescent="0.2"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</row>
    <row r="111" spans="2:17" ht="21" customHeight="1" x14ac:dyDescent="0.2">
      <c r="B111" s="12"/>
      <c r="C111" s="32" t="s">
        <v>79</v>
      </c>
      <c r="D111" s="7" t="s">
        <v>1</v>
      </c>
      <c r="E111" s="7" t="s">
        <v>2</v>
      </c>
      <c r="F111" s="7" t="s">
        <v>3</v>
      </c>
      <c r="G111" s="7" t="s">
        <v>4</v>
      </c>
      <c r="H111" s="7" t="s">
        <v>5</v>
      </c>
      <c r="I111" s="7" t="s">
        <v>6</v>
      </c>
      <c r="J111" s="7" t="s">
        <v>7</v>
      </c>
      <c r="K111" s="7" t="s">
        <v>8</v>
      </c>
      <c r="L111" s="7" t="s">
        <v>9</v>
      </c>
      <c r="M111" s="7" t="s">
        <v>10</v>
      </c>
      <c r="N111" s="7" t="s">
        <v>11</v>
      </c>
      <c r="O111" s="7" t="s">
        <v>12</v>
      </c>
      <c r="P111" s="7" t="s">
        <v>13</v>
      </c>
      <c r="Q111" s="21"/>
    </row>
    <row r="112" spans="2:17" ht="8.1" hidden="1" customHeight="1" x14ac:dyDescent="0.2">
      <c r="B112" s="12"/>
      <c r="C112" s="22" t="s">
        <v>78</v>
      </c>
      <c r="D112" s="22" t="s">
        <v>17</v>
      </c>
      <c r="E112" s="22" t="s">
        <v>18</v>
      </c>
      <c r="F112" s="22" t="s">
        <v>19</v>
      </c>
      <c r="G112" s="22" t="s">
        <v>20</v>
      </c>
      <c r="H112" s="22" t="s">
        <v>21</v>
      </c>
      <c r="I112" s="22" t="s">
        <v>22</v>
      </c>
      <c r="J112" s="22" t="s">
        <v>23</v>
      </c>
      <c r="K112" s="22" t="s">
        <v>24</v>
      </c>
      <c r="L112" s="22" t="s">
        <v>25</v>
      </c>
      <c r="M112" s="22" t="s">
        <v>26</v>
      </c>
      <c r="N112" s="22" t="s">
        <v>27</v>
      </c>
      <c r="O112" s="22" t="s">
        <v>28</v>
      </c>
      <c r="P112" s="22" t="s">
        <v>29</v>
      </c>
      <c r="Q112" s="22" t="s">
        <v>30</v>
      </c>
    </row>
    <row r="113" spans="2:17" ht="15.95" customHeight="1" x14ac:dyDescent="0.2">
      <c r="B113" s="12"/>
      <c r="C113" t="s">
        <v>57</v>
      </c>
      <c r="D113" s="20"/>
      <c r="E113" s="21"/>
      <c r="F113" s="20">
        <f>$D34*$A34</f>
        <v>60000</v>
      </c>
      <c r="G113" s="20">
        <f t="shared" ref="G113:I113" si="24">$D34*$A34</f>
        <v>60000</v>
      </c>
      <c r="H113" s="20">
        <f t="shared" si="24"/>
        <v>60000</v>
      </c>
      <c r="I113" s="20">
        <f t="shared" si="24"/>
        <v>60000</v>
      </c>
      <c r="J113" s="20"/>
      <c r="K113" s="21"/>
      <c r="L113" s="20"/>
      <c r="M113" s="21"/>
      <c r="N113" s="20"/>
      <c r="O113" s="21"/>
      <c r="P113" s="20">
        <f>SUM(tblMisc51[[#This Row],[Ene]:[Dic]])</f>
        <v>240000</v>
      </c>
      <c r="Q113" s="21"/>
    </row>
    <row r="114" spans="2:17" ht="15.95" customHeight="1" x14ac:dyDescent="0.2">
      <c r="B114" s="12"/>
      <c r="C114" t="s">
        <v>58</v>
      </c>
      <c r="D114" s="20"/>
      <c r="E114" s="21"/>
      <c r="F114" s="20">
        <f>$D35*$A35</f>
        <v>54000</v>
      </c>
      <c r="G114" s="20">
        <f t="shared" ref="G114:H114" si="25">$D35*$A35</f>
        <v>54000</v>
      </c>
      <c r="H114" s="20">
        <f t="shared" si="25"/>
        <v>54000</v>
      </c>
      <c r="I114" s="20"/>
      <c r="J114" s="20"/>
      <c r="K114" s="21"/>
      <c r="L114" s="20"/>
      <c r="M114" s="21"/>
      <c r="N114" s="20"/>
      <c r="O114" s="21"/>
      <c r="P114" s="20">
        <f>SUM(tblMisc51[[#This Row],[Ene]:[Dic]])</f>
        <v>162000</v>
      </c>
      <c r="Q114" s="25"/>
    </row>
    <row r="115" spans="2:17" ht="21" customHeight="1" x14ac:dyDescent="0.2">
      <c r="C115" s="34" t="s">
        <v>62</v>
      </c>
      <c r="D115" s="24">
        <f>SUBTOTAL(109,tblMisc51[Ene])</f>
        <v>0</v>
      </c>
      <c r="E115" s="25">
        <f>SUBTOTAL(109,tblMisc51[Feb])</f>
        <v>0</v>
      </c>
      <c r="F115" s="24">
        <f>SUBTOTAL(109,tblMisc51[Marzo])</f>
        <v>114000</v>
      </c>
      <c r="G115" s="25">
        <f>SUBTOTAL(109,tblMisc51[Abril])</f>
        <v>114000</v>
      </c>
      <c r="H115" s="24">
        <f>SUBTOTAL(109,tblMisc51[Mayo])</f>
        <v>114000</v>
      </c>
      <c r="I115" s="25">
        <f>SUBTOTAL(109,tblMisc51[Junio])</f>
        <v>60000</v>
      </c>
      <c r="J115" s="24">
        <f>SUBTOTAL(109,tblMisc51[Julio])</f>
        <v>0</v>
      </c>
      <c r="K115" s="25">
        <f>SUBTOTAL(109,tblMisc51[Ago])</f>
        <v>0</v>
      </c>
      <c r="L115" s="24">
        <f>SUBTOTAL(109,tblMisc51[Sept])</f>
        <v>0</v>
      </c>
      <c r="M115" s="25">
        <f>SUBTOTAL(109,tblMisc51[Oct])</f>
        <v>0</v>
      </c>
      <c r="N115" s="24">
        <f>SUBTOTAL(109,tblMisc51[Nov])</f>
        <v>0</v>
      </c>
      <c r="O115" s="25">
        <f>SUBTOTAL(109,tblMisc51[Dic])</f>
        <v>0</v>
      </c>
      <c r="P115" s="24">
        <f>SUBTOTAL(109,tblMisc51[Año])</f>
        <v>402000</v>
      </c>
      <c r="Q115" s="25"/>
    </row>
    <row r="116" spans="2:17" ht="8.1" customHeight="1" x14ac:dyDescent="0.2">
      <c r="C116" s="53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20.100000000000001" customHeight="1" x14ac:dyDescent="0.2"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 spans="2:17" ht="21" customHeight="1" x14ac:dyDescent="0.2">
      <c r="B118" s="11"/>
      <c r="C118" s="35" t="s">
        <v>80</v>
      </c>
      <c r="D118" s="36" t="s">
        <v>1</v>
      </c>
      <c r="E118" s="37" t="s">
        <v>2</v>
      </c>
      <c r="F118" s="36" t="s">
        <v>3</v>
      </c>
      <c r="G118" s="37" t="s">
        <v>4</v>
      </c>
      <c r="H118" s="36" t="s">
        <v>5</v>
      </c>
      <c r="I118" s="37" t="s">
        <v>6</v>
      </c>
      <c r="J118" s="36" t="s">
        <v>7</v>
      </c>
      <c r="K118" s="37" t="s">
        <v>8</v>
      </c>
      <c r="L118" s="36" t="s">
        <v>9</v>
      </c>
      <c r="M118" s="37" t="s">
        <v>10</v>
      </c>
      <c r="N118" s="36" t="s">
        <v>11</v>
      </c>
      <c r="O118" s="37" t="s">
        <v>12</v>
      </c>
      <c r="P118" s="36" t="s">
        <v>13</v>
      </c>
      <c r="Q118" s="35" t="s">
        <v>81</v>
      </c>
    </row>
    <row r="119" spans="2:17" ht="15.95" customHeight="1" x14ac:dyDescent="0.2">
      <c r="B119" s="11"/>
      <c r="C119" s="38" t="s">
        <v>82</v>
      </c>
      <c r="D119" s="42">
        <f t="shared" ref="D119:O119" si="26">D45+D53+D62+D70+D78+D86+D94+D101+D108+D115</f>
        <v>829000</v>
      </c>
      <c r="E119" s="42">
        <f t="shared" si="26"/>
        <v>829000</v>
      </c>
      <c r="F119" s="42">
        <f t="shared" si="26"/>
        <v>1043000</v>
      </c>
      <c r="G119" s="42">
        <f t="shared" si="26"/>
        <v>1470000</v>
      </c>
      <c r="H119" s="42">
        <f t="shared" si="26"/>
        <v>1550000</v>
      </c>
      <c r="I119" s="42">
        <f t="shared" si="26"/>
        <v>1252000</v>
      </c>
      <c r="J119" s="42">
        <f t="shared" si="26"/>
        <v>1090000</v>
      </c>
      <c r="K119" s="42">
        <f t="shared" si="26"/>
        <v>826000</v>
      </c>
      <c r="L119" s="42">
        <f t="shared" si="26"/>
        <v>645000</v>
      </c>
      <c r="M119" s="42">
        <f t="shared" si="26"/>
        <v>737000</v>
      </c>
      <c r="N119" s="42">
        <f t="shared" si="26"/>
        <v>915000</v>
      </c>
      <c r="O119" s="42">
        <f t="shared" si="26"/>
        <v>645000</v>
      </c>
      <c r="P119" s="39">
        <f>tblTotals52[[#This Row],[DIC]]+tblTotals52[[#This Row],[NOV]]+tblTotals52[[#This Row],[OCT]]+tblTotals52[[#This Row],[SEP]]+tblTotals52[[#This Row],[AGO]]+tblTotals52[[#This Row],[JUL]]+tblTotals52[[#This Row],[JUN]]+tblTotals52[[#This Row],[MAYO]]+tblTotals52[[#This Row],[ABR]]+tblTotals52[[#This Row],[MAR]]+tblTotals52[[#This Row],[FEB]]+tblTotals52[[#This Row],[ENE]]+F127+F134+F137+F141+F154+F163</f>
        <v>15408346</v>
      </c>
      <c r="Q119" s="25"/>
    </row>
    <row r="120" spans="2:17" ht="8.1" customHeight="1" x14ac:dyDescent="0.2">
      <c r="B120" s="11"/>
      <c r="C120" s="40"/>
      <c r="D120" s="41"/>
      <c r="E120" s="40"/>
      <c r="F120" s="41"/>
      <c r="G120" s="40"/>
      <c r="H120" s="41"/>
      <c r="I120" s="40"/>
      <c r="J120" s="41"/>
      <c r="K120" s="40"/>
      <c r="L120" s="41"/>
      <c r="M120" s="40"/>
      <c r="N120" s="41"/>
      <c r="O120" s="40"/>
      <c r="P120" s="41"/>
      <c r="Q120" s="40"/>
    </row>
    <row r="122" spans="2:17" ht="21.75" customHeight="1" x14ac:dyDescent="0.2">
      <c r="B122" s="11"/>
      <c r="C122" s="45" t="s">
        <v>83</v>
      </c>
    </row>
    <row r="123" spans="2:17" ht="15" x14ac:dyDescent="0.2">
      <c r="C123" s="46" t="s">
        <v>84</v>
      </c>
      <c r="D123" s="43" t="s">
        <v>85</v>
      </c>
      <c r="E123" s="43" t="s">
        <v>86</v>
      </c>
      <c r="F123" s="43" t="s">
        <v>87</v>
      </c>
    </row>
    <row r="124" spans="2:17" ht="15" x14ac:dyDescent="0.2">
      <c r="B124" s="12"/>
      <c r="C124" t="s">
        <v>88</v>
      </c>
      <c r="D124" s="21">
        <v>8000</v>
      </c>
      <c r="E124" s="44">
        <v>28</v>
      </c>
      <c r="F124" s="21">
        <f>E124*D124</f>
        <v>224000</v>
      </c>
    </row>
    <row r="125" spans="2:17" x14ac:dyDescent="0.2">
      <c r="B125" s="12"/>
      <c r="C125" t="s">
        <v>89</v>
      </c>
      <c r="D125" s="21">
        <v>5000</v>
      </c>
      <c r="E125" s="1">
        <v>4</v>
      </c>
      <c r="F125" s="21">
        <f>E125*D125</f>
        <v>20000</v>
      </c>
    </row>
    <row r="126" spans="2:17" x14ac:dyDescent="0.2">
      <c r="B126" s="12"/>
      <c r="C126" t="s">
        <v>90</v>
      </c>
      <c r="D126" s="21">
        <v>18000</v>
      </c>
      <c r="E126" s="1">
        <v>1</v>
      </c>
      <c r="F126" s="21">
        <f t="shared" ref="F126" si="27">E126*D126</f>
        <v>18000</v>
      </c>
    </row>
    <row r="127" spans="2:17" x14ac:dyDescent="0.2">
      <c r="B127" s="12"/>
      <c r="C127" t="s">
        <v>62</v>
      </c>
      <c r="D127" s="21"/>
      <c r="F127" s="21">
        <f>F124+F125+F126</f>
        <v>262000</v>
      </c>
    </row>
    <row r="128" spans="2:17" x14ac:dyDescent="0.2">
      <c r="D128" s="21"/>
      <c r="F128" s="21"/>
    </row>
    <row r="130" spans="1:6" ht="15" x14ac:dyDescent="0.2">
      <c r="A130"/>
      <c r="C130" s="33" t="s">
        <v>91</v>
      </c>
      <c r="D130" s="43" t="s">
        <v>85</v>
      </c>
      <c r="E130" s="43" t="s">
        <v>86</v>
      </c>
      <c r="F130" s="43" t="s">
        <v>87</v>
      </c>
    </row>
    <row r="131" spans="1:6" ht="15" x14ac:dyDescent="0.2">
      <c r="B131" s="13"/>
      <c r="C131" t="s">
        <v>92</v>
      </c>
      <c r="D131" s="50">
        <v>12000</v>
      </c>
      <c r="E131" s="44">
        <v>2</v>
      </c>
      <c r="F131" s="50">
        <f>E131*D131</f>
        <v>24000</v>
      </c>
    </row>
    <row r="132" spans="1:6" ht="15" x14ac:dyDescent="0.2">
      <c r="B132" s="13"/>
      <c r="C132" t="s">
        <v>93</v>
      </c>
      <c r="D132" s="50">
        <v>4000</v>
      </c>
      <c r="E132" s="44">
        <v>2</v>
      </c>
      <c r="F132" s="50">
        <f>E132*D132</f>
        <v>8000</v>
      </c>
    </row>
    <row r="133" spans="1:6" ht="15" x14ac:dyDescent="0.2">
      <c r="B133" s="13"/>
      <c r="C133" t="s">
        <v>94</v>
      </c>
      <c r="D133" s="50">
        <v>120</v>
      </c>
      <c r="E133" s="44">
        <v>2000</v>
      </c>
      <c r="F133" s="50">
        <f>E133*D133</f>
        <v>240000</v>
      </c>
    </row>
    <row r="134" spans="1:6" x14ac:dyDescent="0.2">
      <c r="B134" s="12"/>
      <c r="C134" t="s">
        <v>62</v>
      </c>
      <c r="D134" s="21"/>
      <c r="F134" s="21">
        <f>F131+F132+F133</f>
        <v>272000</v>
      </c>
    </row>
    <row r="136" spans="1:6" ht="15" x14ac:dyDescent="0.2">
      <c r="C136" s="32" t="s">
        <v>95</v>
      </c>
      <c r="D136" s="43" t="s">
        <v>85</v>
      </c>
      <c r="E136" s="43" t="s">
        <v>86</v>
      </c>
      <c r="F136" s="43" t="s">
        <v>87</v>
      </c>
    </row>
    <row r="137" spans="1:6" ht="15" x14ac:dyDescent="0.2">
      <c r="B137" s="12"/>
      <c r="C137" t="s">
        <v>96</v>
      </c>
      <c r="D137" s="50">
        <v>10000</v>
      </c>
      <c r="E137" s="44">
        <f>A8+A9+A10+A11+A12+A13+A14+A15+A16+A17+A18+A19+A20+A21+A22+A23+A24+A25+A26+A27+A28+A29+A30+A31+A32+A33+A34+A35</f>
        <v>81</v>
      </c>
      <c r="F137" s="50">
        <f>E137*D137</f>
        <v>810000</v>
      </c>
    </row>
    <row r="139" spans="1:6" ht="30" x14ac:dyDescent="0.2">
      <c r="B139" s="11"/>
      <c r="C139" s="45" t="s">
        <v>97</v>
      </c>
      <c r="D139" s="48" t="s">
        <v>98</v>
      </c>
      <c r="E139" s="49" t="s">
        <v>99</v>
      </c>
      <c r="F139" s="1" t="s">
        <v>87</v>
      </c>
    </row>
    <row r="140" spans="1:6" ht="15" x14ac:dyDescent="0.2">
      <c r="B140" s="11"/>
      <c r="C140" t="s">
        <v>118</v>
      </c>
      <c r="D140" s="50">
        <v>20000</v>
      </c>
      <c r="E140" s="47">
        <v>12</v>
      </c>
      <c r="F140" s="50">
        <f>E140*D140</f>
        <v>240000</v>
      </c>
    </row>
    <row r="141" spans="1:6" ht="15" x14ac:dyDescent="0.2">
      <c r="B141" s="12"/>
      <c r="C141" t="s">
        <v>100</v>
      </c>
      <c r="D141" s="50">
        <v>34000</v>
      </c>
      <c r="E141" s="47">
        <v>12</v>
      </c>
      <c r="F141" s="50">
        <f>E141*D141</f>
        <v>408000</v>
      </c>
    </row>
    <row r="144" spans="1:6" ht="17.25" x14ac:dyDescent="0.2">
      <c r="B144" s="11"/>
      <c r="C144" s="45" t="s">
        <v>101</v>
      </c>
    </row>
    <row r="145" spans="2:6" ht="15" x14ac:dyDescent="0.2">
      <c r="C145" s="46" t="s">
        <v>102</v>
      </c>
      <c r="D145" s="43" t="s">
        <v>103</v>
      </c>
      <c r="E145" s="43" t="s">
        <v>86</v>
      </c>
      <c r="F145" s="43" t="s">
        <v>87</v>
      </c>
    </row>
    <row r="146" spans="2:6" ht="15" x14ac:dyDescent="0.2">
      <c r="B146" s="12"/>
      <c r="C146" t="s">
        <v>104</v>
      </c>
      <c r="D146" s="21">
        <v>25000</v>
      </c>
      <c r="E146" s="44">
        <v>12</v>
      </c>
      <c r="F146" s="21">
        <f>E146*D146</f>
        <v>300000</v>
      </c>
    </row>
    <row r="147" spans="2:6" x14ac:dyDescent="0.2">
      <c r="B147" s="12"/>
      <c r="C147" t="s">
        <v>105</v>
      </c>
      <c r="D147" s="21">
        <v>17890</v>
      </c>
      <c r="E147" s="1">
        <v>12</v>
      </c>
      <c r="F147" s="21">
        <f>E147*D147</f>
        <v>214680</v>
      </c>
    </row>
    <row r="148" spans="2:6" x14ac:dyDescent="0.2">
      <c r="B148" s="12"/>
      <c r="C148" t="s">
        <v>106</v>
      </c>
      <c r="D148" s="21">
        <v>12043</v>
      </c>
      <c r="E148" s="1">
        <v>12</v>
      </c>
      <c r="F148" s="21">
        <f t="shared" ref="F148" si="28">E148*D148</f>
        <v>144516</v>
      </c>
    </row>
    <row r="149" spans="2:6" x14ac:dyDescent="0.2">
      <c r="B149" s="12"/>
      <c r="C149" t="s">
        <v>107</v>
      </c>
      <c r="D149" s="21">
        <v>1300</v>
      </c>
      <c r="E149" s="1">
        <v>12</v>
      </c>
      <c r="F149" s="21">
        <f t="shared" ref="F149:F153" si="29">E149*D149</f>
        <v>15600</v>
      </c>
    </row>
    <row r="150" spans="2:6" x14ac:dyDescent="0.2">
      <c r="B150" s="12"/>
      <c r="C150" t="s">
        <v>108</v>
      </c>
      <c r="D150" s="21">
        <v>28000</v>
      </c>
      <c r="E150" s="1">
        <v>12</v>
      </c>
      <c r="F150" s="21">
        <f t="shared" si="29"/>
        <v>336000</v>
      </c>
    </row>
    <row r="151" spans="2:6" x14ac:dyDescent="0.2">
      <c r="B151" s="12"/>
      <c r="C151" t="s">
        <v>109</v>
      </c>
      <c r="D151" s="21">
        <v>42600</v>
      </c>
      <c r="E151" s="1">
        <v>12</v>
      </c>
      <c r="F151" s="21">
        <f t="shared" si="29"/>
        <v>511200</v>
      </c>
    </row>
    <row r="152" spans="2:6" x14ac:dyDescent="0.2">
      <c r="B152" s="12"/>
      <c r="C152" t="s">
        <v>110</v>
      </c>
      <c r="D152" s="21">
        <v>14800</v>
      </c>
      <c r="E152" s="1">
        <v>12</v>
      </c>
      <c r="F152" s="21">
        <f t="shared" si="29"/>
        <v>177600</v>
      </c>
    </row>
    <row r="153" spans="2:6" x14ac:dyDescent="0.2">
      <c r="B153" s="12"/>
      <c r="D153" s="21"/>
      <c r="F153" s="21">
        <f t="shared" si="29"/>
        <v>0</v>
      </c>
    </row>
    <row r="154" spans="2:6" x14ac:dyDescent="0.2">
      <c r="B154" s="12"/>
      <c r="C154" t="s">
        <v>62</v>
      </c>
      <c r="D154" s="21"/>
      <c r="F154" s="21">
        <f>F146+F147+F148+F149+F150+F151+F152+F153</f>
        <v>1699596</v>
      </c>
    </row>
    <row r="155" spans="2:6" x14ac:dyDescent="0.2">
      <c r="D155" s="21"/>
      <c r="F155" s="21"/>
    </row>
    <row r="157" spans="2:6" ht="17.25" x14ac:dyDescent="0.2">
      <c r="B157" s="11"/>
      <c r="C157" s="45" t="s">
        <v>111</v>
      </c>
    </row>
    <row r="158" spans="2:6" ht="15" x14ac:dyDescent="0.2">
      <c r="C158" s="46" t="s">
        <v>112</v>
      </c>
      <c r="D158" s="43" t="s">
        <v>103</v>
      </c>
      <c r="E158" s="43" t="s">
        <v>113</v>
      </c>
      <c r="F158" s="43" t="s">
        <v>87</v>
      </c>
    </row>
    <row r="159" spans="2:6" ht="15" x14ac:dyDescent="0.2">
      <c r="B159" s="12"/>
      <c r="C159" t="s">
        <v>114</v>
      </c>
      <c r="D159" s="21">
        <v>40000</v>
      </c>
      <c r="E159" s="44">
        <v>1</v>
      </c>
      <c r="F159" s="21">
        <f>E159*D159</f>
        <v>40000</v>
      </c>
    </row>
    <row r="160" spans="2:6" ht="15" x14ac:dyDescent="0.2">
      <c r="B160" s="12"/>
      <c r="C160" t="s">
        <v>115</v>
      </c>
      <c r="D160" s="21">
        <v>0.58699999999999997</v>
      </c>
      <c r="E160" s="44">
        <v>50000</v>
      </c>
      <c r="F160" s="21">
        <f>E160*D160</f>
        <v>29350</v>
      </c>
    </row>
    <row r="161" spans="2:6" ht="15" x14ac:dyDescent="0.2">
      <c r="B161" s="12"/>
      <c r="C161" t="s">
        <v>116</v>
      </c>
      <c r="D161" s="21">
        <v>0.67800000000000005</v>
      </c>
      <c r="E161" s="44">
        <v>50000</v>
      </c>
      <c r="F161" s="21">
        <f>E161*D161</f>
        <v>33900</v>
      </c>
    </row>
    <row r="162" spans="2:6" ht="15" x14ac:dyDescent="0.2">
      <c r="B162" s="12"/>
      <c r="C162" t="s">
        <v>117</v>
      </c>
      <c r="D162" s="21">
        <v>0.45</v>
      </c>
      <c r="E162" s="44">
        <v>50000</v>
      </c>
      <c r="F162" s="21">
        <f>E162*D162</f>
        <v>22500</v>
      </c>
    </row>
    <row r="163" spans="2:6" x14ac:dyDescent="0.2">
      <c r="B163" s="12"/>
      <c r="C163" t="s">
        <v>62</v>
      </c>
      <c r="D163" s="21"/>
      <c r="F163" s="21">
        <f>F159+F160+F161+F162</f>
        <v>125750</v>
      </c>
    </row>
  </sheetData>
  <mergeCells count="23">
    <mergeCell ref="C2:D2"/>
    <mergeCell ref="C37:Q37"/>
    <mergeCell ref="C39:Q39"/>
    <mergeCell ref="C46:Q46"/>
    <mergeCell ref="C95:Q95"/>
    <mergeCell ref="C47:Q47"/>
    <mergeCell ref="C54:Q54"/>
    <mergeCell ref="C55:Q55"/>
    <mergeCell ref="C63:Q63"/>
    <mergeCell ref="C64:Q64"/>
    <mergeCell ref="C71:Q71"/>
    <mergeCell ref="C72:Q72"/>
    <mergeCell ref="C79:Q79"/>
    <mergeCell ref="C80:Q80"/>
    <mergeCell ref="C87:Q87"/>
    <mergeCell ref="C88:Q88"/>
    <mergeCell ref="C96:Q96"/>
    <mergeCell ref="C102:Q102"/>
    <mergeCell ref="C103:Q103"/>
    <mergeCell ref="C116:Q116"/>
    <mergeCell ref="C117:Q117"/>
    <mergeCell ref="C109:Q109"/>
    <mergeCell ref="C110:Q110"/>
  </mergeCells>
  <printOptions horizontalCentered="1"/>
  <pageMargins left="0.4" right="0.4" top="0.4" bottom="0.4" header="0.3" footer="0.3"/>
  <pageSetup paperSize="9" scale="50" fitToHeight="0" orientation="landscape"/>
  <headerFooter differentFirst="1">
    <oddFooter>Page &amp;P of &amp;N</oddFooter>
  </headerFooter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A5FF024-B188-4156-BA37-E2B70FE7D25C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Gastos!D119:O119</xm:f>
              <xm:sqref>Q119</xm:sqref>
            </x14:sparkline>
          </x14:sparklines>
        </x14:sparklineGroup>
        <x14:sparklineGroup displayEmptyCellsAs="gap" high="1" low="1" xr2:uid="{E7B71896-01D4-4D5C-9A43-CC1AD40D619A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Gastos!D106:O106</xm:f>
              <xm:sqref>Q106</xm:sqref>
            </x14:sparkline>
            <x14:sparkline>
              <xm:f>Gastos!D107:O107</xm:f>
              <xm:sqref>Q107</xm:sqref>
            </x14:sparkline>
            <x14:sparkline>
              <xm:f>Gastos!D108:O108</xm:f>
              <xm:sqref>Q108</xm:sqref>
            </x14:sparkline>
          </x14:sparklines>
        </x14:sparklineGroup>
        <x14:sparklineGroup displayEmptyCellsAs="gap" high="1" low="1" xr2:uid="{816F6434-9DE7-49C6-B3F4-9CFC4B111B94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Gastos!D50:O50</xm:f>
              <xm:sqref>Q50</xm:sqref>
            </x14:sparkline>
            <x14:sparkline>
              <xm:f>Gastos!D51:O51</xm:f>
              <xm:sqref>Q51</xm:sqref>
            </x14:sparkline>
            <x14:sparkline>
              <xm:f>Gastos!D52:O52</xm:f>
              <xm:sqref>Q52</xm:sqref>
            </x14:sparkline>
            <x14:sparkline>
              <xm:f>Gastos!D53:O53</xm:f>
              <xm:sqref>Q53</xm:sqref>
            </x14:sparkline>
          </x14:sparklines>
        </x14:sparklineGroup>
        <x14:sparklineGroup displayEmptyCellsAs="gap" high="1" low="1" xr2:uid="{2264677A-6611-41D1-88EE-797FBFF79070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Gastos!D58:O58</xm:f>
              <xm:sqref>Q58</xm:sqref>
            </x14:sparkline>
            <x14:sparkline>
              <xm:f>Gastos!D59:O59</xm:f>
              <xm:sqref>Q59</xm:sqref>
            </x14:sparkline>
            <x14:sparkline>
              <xm:f>Gastos!D60:O60</xm:f>
              <xm:sqref>Q60</xm:sqref>
            </x14:sparkline>
            <x14:sparkline>
              <xm:f>Gastos!D61:O61</xm:f>
              <xm:sqref>Q61</xm:sqref>
            </x14:sparkline>
            <x14:sparkline>
              <xm:f>Gastos!D62:O62</xm:f>
              <xm:sqref>Q62</xm:sqref>
            </x14:sparkline>
          </x14:sparklines>
        </x14:sparklineGroup>
        <x14:sparklineGroup displayEmptyCellsAs="gap" high="1" low="1" xr2:uid="{75DD122C-4183-4728-9A76-A03B6B9CD9E7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Gastos!D67:O67</xm:f>
              <xm:sqref>Q67</xm:sqref>
            </x14:sparkline>
            <x14:sparkline>
              <xm:f>Gastos!D68:O68</xm:f>
              <xm:sqref>Q68</xm:sqref>
            </x14:sparkline>
            <x14:sparkline>
              <xm:f>Gastos!D69:O69</xm:f>
              <xm:sqref>Q69</xm:sqref>
            </x14:sparkline>
            <x14:sparkline>
              <xm:f>Gastos!D70:O70</xm:f>
              <xm:sqref>Q70</xm:sqref>
            </x14:sparkline>
          </x14:sparklines>
        </x14:sparklineGroup>
        <x14:sparklineGroup displayEmptyCellsAs="gap" high="1" low="1" xr2:uid="{0BABE62C-DFB7-4D19-A221-28A6DEED7C54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Gastos!D75:O75</xm:f>
              <xm:sqref>Q75</xm:sqref>
            </x14:sparkline>
            <x14:sparkline>
              <xm:f>Gastos!D76:O76</xm:f>
              <xm:sqref>Q76</xm:sqref>
            </x14:sparkline>
            <x14:sparkline>
              <xm:f>Gastos!D77:O77</xm:f>
              <xm:sqref>Q77</xm:sqref>
            </x14:sparkline>
            <x14:sparkline>
              <xm:f>Gastos!D78:O78</xm:f>
              <xm:sqref>Q78</xm:sqref>
            </x14:sparkline>
          </x14:sparklines>
        </x14:sparklineGroup>
        <x14:sparklineGroup displayEmptyCellsAs="gap" high="1" low="1" xr2:uid="{A7F2795D-C056-461C-951B-F8E166AFC889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Gastos!D83:O83</xm:f>
              <xm:sqref>Q83</xm:sqref>
            </x14:sparkline>
            <x14:sparkline>
              <xm:f>Gastos!D84:O84</xm:f>
              <xm:sqref>Q84</xm:sqref>
            </x14:sparkline>
            <x14:sparkline>
              <xm:f>Gastos!D85:O85</xm:f>
              <xm:sqref>Q85</xm:sqref>
            </x14:sparkline>
            <x14:sparkline>
              <xm:f>Gastos!D86:O86</xm:f>
              <xm:sqref>Q86</xm:sqref>
            </x14:sparkline>
          </x14:sparklines>
        </x14:sparklineGroup>
        <x14:sparklineGroup displayEmptyCellsAs="gap" high="1" low="1" xr2:uid="{6E5BD534-D1B3-4A7F-AD4C-938A6682F50B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Gastos!D91:O91</xm:f>
              <xm:sqref>Q91</xm:sqref>
            </x14:sparkline>
            <x14:sparkline>
              <xm:f>Gastos!D92:O92</xm:f>
              <xm:sqref>Q92</xm:sqref>
            </x14:sparkline>
            <x14:sparkline>
              <xm:f>Gastos!D93:O93</xm:f>
              <xm:sqref>Q93</xm:sqref>
            </x14:sparkline>
            <x14:sparkline>
              <xm:f>Gastos!D94:O94</xm:f>
              <xm:sqref>Q94</xm:sqref>
            </x14:sparkline>
          </x14:sparklines>
        </x14:sparklineGroup>
        <x14:sparklineGroup displayEmptyCellsAs="gap" high="1" low="1" xr2:uid="{73932302-5CC2-4C24-A046-106A8103BDB0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Gastos!D99:O99</xm:f>
              <xm:sqref>Q99</xm:sqref>
            </x14:sparkline>
            <x14:sparkline>
              <xm:f>Gastos!D100:O100</xm:f>
              <xm:sqref>Q100</xm:sqref>
            </x14:sparkline>
            <x14:sparkline>
              <xm:f>Gastos!D101:O101</xm:f>
              <xm:sqref>Q101</xm:sqref>
            </x14:sparkline>
          </x14:sparklines>
        </x14:sparklineGroup>
        <x14:sparklineGroup displayEmptyCellsAs="gap" high="1" low="1" xr2:uid="{977136B7-AC74-4BDB-ABBF-E7FB481B6B90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Gastos!D42:O42</xm:f>
              <xm:sqref>Q42</xm:sqref>
            </x14:sparkline>
            <x14:sparkline>
              <xm:f>Gastos!D43:O43</xm:f>
              <xm:sqref>Q43</xm:sqref>
            </x14:sparkline>
            <x14:sparkline>
              <xm:f>Gastos!D44:O44</xm:f>
              <xm:sqref>Q44</xm:sqref>
            </x14:sparkline>
            <x14:sparkline>
              <xm:f>Gastos!D45:O45</xm:f>
              <xm:sqref>Q45</xm:sqref>
            </x14:sparkline>
          </x14:sparklines>
        </x14:sparklineGroup>
        <x14:sparklineGroup displayEmptyCellsAs="gap" high="1" low="1" xr2:uid="{49750923-49BF-4E17-BFCA-75E687F1DC73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Gastos!D8:O8</xm:f>
              <xm:sqref>Q8</xm:sqref>
            </x14:sparkline>
            <x14:sparkline>
              <xm:f>Gastos!D9:O9</xm:f>
              <xm:sqref>Q9</xm:sqref>
            </x14:sparkline>
            <x14:sparkline>
              <xm:f>Gastos!D10:O10</xm:f>
              <xm:sqref>Q10</xm:sqref>
            </x14:sparkline>
            <x14:sparkline>
              <xm:f>Gastos!D11:O11</xm:f>
              <xm:sqref>Q11</xm:sqref>
            </x14:sparkline>
            <x14:sparkline>
              <xm:f>Gastos!D12:O12</xm:f>
              <xm:sqref>Q12</xm:sqref>
            </x14:sparkline>
            <x14:sparkline>
              <xm:f>Gastos!D13:O13</xm:f>
              <xm:sqref>Q13</xm:sqref>
            </x14:sparkline>
            <x14:sparkline>
              <xm:f>Gastos!D14:O14</xm:f>
              <xm:sqref>Q14</xm:sqref>
            </x14:sparkline>
            <x14:sparkline>
              <xm:f>Gastos!D15:O15</xm:f>
              <xm:sqref>Q15</xm:sqref>
            </x14:sparkline>
            <x14:sparkline>
              <xm:f>Gastos!D16:O16</xm:f>
              <xm:sqref>Q16</xm:sqref>
            </x14:sparkline>
            <x14:sparkline>
              <xm:f>Gastos!D17:O17</xm:f>
              <xm:sqref>Q17</xm:sqref>
            </x14:sparkline>
            <x14:sparkline>
              <xm:f>Gastos!D18:O18</xm:f>
              <xm:sqref>Q18</xm:sqref>
            </x14:sparkline>
            <x14:sparkline>
              <xm:f>Gastos!D19:O19</xm:f>
              <xm:sqref>Q19</xm:sqref>
            </x14:sparkline>
            <x14:sparkline>
              <xm:f>Gastos!D20:O20</xm:f>
              <xm:sqref>Q20</xm:sqref>
            </x14:sparkline>
            <x14:sparkline>
              <xm:f>Gastos!D21:O21</xm:f>
              <xm:sqref>Q21</xm:sqref>
            </x14:sparkline>
            <x14:sparkline>
              <xm:f>Gastos!D22:O22</xm:f>
              <xm:sqref>Q22</xm:sqref>
            </x14:sparkline>
            <x14:sparkline>
              <xm:f>Gastos!D23:O23</xm:f>
              <xm:sqref>Q23</xm:sqref>
            </x14:sparkline>
            <x14:sparkline>
              <xm:f>Gastos!D24:O24</xm:f>
              <xm:sqref>Q24</xm:sqref>
            </x14:sparkline>
            <x14:sparkline>
              <xm:f>Gastos!D25:O25</xm:f>
              <xm:sqref>Q25</xm:sqref>
            </x14:sparkline>
            <x14:sparkline>
              <xm:f>Gastos!D26:O26</xm:f>
              <xm:sqref>Q26</xm:sqref>
            </x14:sparkline>
            <x14:sparkline>
              <xm:f>Gastos!D27:O27</xm:f>
              <xm:sqref>Q27</xm:sqref>
            </x14:sparkline>
            <x14:sparkline>
              <xm:f>Gastos!D28:O28</xm:f>
              <xm:sqref>Q28</xm:sqref>
            </x14:sparkline>
            <x14:sparkline>
              <xm:f>Gastos!D29:O29</xm:f>
              <xm:sqref>Q29</xm:sqref>
            </x14:sparkline>
            <x14:sparkline>
              <xm:f>Gastos!D30:O30</xm:f>
              <xm:sqref>Q30</xm:sqref>
            </x14:sparkline>
            <x14:sparkline>
              <xm:f>Gastos!D31:O31</xm:f>
              <xm:sqref>Q31</xm:sqref>
            </x14:sparkline>
            <x14:sparkline>
              <xm:f>Gastos!D32:O32</xm:f>
              <xm:sqref>Q32</xm:sqref>
            </x14:sparkline>
            <x14:sparkline>
              <xm:f>Gastos!D33:O33</xm:f>
              <xm:sqref>Q33</xm:sqref>
            </x14:sparkline>
            <x14:sparkline>
              <xm:f>Gastos!D34:O34</xm:f>
              <xm:sqref>Q34</xm:sqref>
            </x14:sparkline>
            <x14:sparkline>
              <xm:f>Gastos!D35:O35</xm:f>
              <xm:sqref>Q35</xm:sqref>
            </x14:sparkline>
            <x14:sparkline>
              <xm:f>Gastos!D36:O36</xm:f>
              <xm:sqref>Q36</xm:sqref>
            </x14:sparkline>
          </x14:sparklines>
        </x14:sparklineGroup>
        <x14:sparklineGroup displayEmptyCellsAs="gap" high="1" low="1" xr2:uid="{CB2CFEA9-CA8E-43DA-AD3E-5C5CE0D6DB6C}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Gastos!D113:O113</xm:f>
              <xm:sqref>Q113</xm:sqref>
            </x14:sparkline>
            <x14:sparkline>
              <xm:f>Gastos!D114:O114</xm:f>
              <xm:sqref>Q114</xm:sqref>
            </x14:sparkline>
            <x14:sparkline>
              <xm:f>Gastos!D115:O115</xm:f>
              <xm:sqref>Q115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8576-A7E9-4E76-8552-20AE409CBB61}">
  <sheetPr>
    <tabColor rgb="FFFF0000"/>
  </sheetPr>
  <dimension ref="B2:J19"/>
  <sheetViews>
    <sheetView topLeftCell="A11" workbookViewId="0">
      <selection activeCell="E19" sqref="D19:E19"/>
    </sheetView>
  </sheetViews>
  <sheetFormatPr defaultRowHeight="12.75" x14ac:dyDescent="0.2"/>
  <cols>
    <col min="2" max="2" width="18.125" customWidth="1"/>
    <col min="3" max="3" width="12.5" bestFit="1" customWidth="1"/>
    <col min="4" max="4" width="11.375" bestFit="1" customWidth="1"/>
    <col min="5" max="5" width="20.75" customWidth="1"/>
    <col min="6" max="6" width="12.5" bestFit="1" customWidth="1"/>
    <col min="8" max="8" width="9.625" customWidth="1"/>
    <col min="9" max="9" width="13.5" customWidth="1"/>
    <col min="10" max="10" width="25.125" customWidth="1"/>
  </cols>
  <sheetData>
    <row r="2" spans="2:10" ht="51" x14ac:dyDescent="0.2">
      <c r="B2" s="58" t="s">
        <v>119</v>
      </c>
      <c r="C2" s="58" t="s">
        <v>120</v>
      </c>
      <c r="D2" s="58" t="s">
        <v>121</v>
      </c>
      <c r="E2" s="58" t="s">
        <v>122</v>
      </c>
      <c r="F2" s="58" t="s">
        <v>123</v>
      </c>
      <c r="H2" s="58" t="s">
        <v>141</v>
      </c>
      <c r="I2" s="58" t="s">
        <v>142</v>
      </c>
      <c r="J2" s="58" t="s">
        <v>143</v>
      </c>
    </row>
    <row r="3" spans="2:10" x14ac:dyDescent="0.2">
      <c r="B3" s="60" t="s">
        <v>124</v>
      </c>
      <c r="C3" s="62">
        <v>1122783</v>
      </c>
      <c r="D3" s="62">
        <f>Table1[[#This Row],[SOCIOS]]*0.1</f>
        <v>112278.3</v>
      </c>
      <c r="E3" s="62">
        <f>Table1[[#This Row],[SOCIOS]]*0.4</f>
        <v>449113.2</v>
      </c>
      <c r="F3" s="62">
        <f>SUM(Table1[[#This Row],[SOCIOS]:[GOBIERNO FEDERAL]])</f>
        <v>1684174.5</v>
      </c>
      <c r="H3" s="59" t="s">
        <v>144</v>
      </c>
      <c r="I3" s="59">
        <v>10</v>
      </c>
      <c r="J3" s="59">
        <v>5</v>
      </c>
    </row>
    <row r="4" spans="2:10" ht="25.5" x14ac:dyDescent="0.2">
      <c r="B4" s="59" t="s">
        <v>125</v>
      </c>
      <c r="C4" s="62">
        <v>0</v>
      </c>
      <c r="D4" s="62">
        <f>Table1[[#This Row],[SOCIOS]]*0.1</f>
        <v>0</v>
      </c>
      <c r="E4" s="62">
        <f>Table1[[#This Row],[SOCIOS]]*0.4</f>
        <v>0</v>
      </c>
      <c r="F4" s="62">
        <f>SUM(Table1[[#This Row],[SOCIOS]:[GOBIERNO FEDERAL]])</f>
        <v>0</v>
      </c>
      <c r="H4" s="59" t="s">
        <v>145</v>
      </c>
      <c r="I4" s="59">
        <v>10</v>
      </c>
      <c r="J4" s="59">
        <v>5</v>
      </c>
    </row>
    <row r="5" spans="2:10" ht="25.5" x14ac:dyDescent="0.2">
      <c r="B5" s="59" t="s">
        <v>126</v>
      </c>
      <c r="C5" s="62">
        <v>206063</v>
      </c>
      <c r="D5" s="62">
        <f>Table1[[#This Row],[SOCIOS]]*0.1</f>
        <v>20606.300000000003</v>
      </c>
      <c r="E5" s="62">
        <f>Table1[[#This Row],[SOCIOS]]*0.4</f>
        <v>82425.200000000012</v>
      </c>
      <c r="F5" s="62">
        <f>SUM(Table1[[#This Row],[SOCIOS]:[GOBIERNO FEDERAL]])</f>
        <v>309094.5</v>
      </c>
      <c r="H5" s="59" t="s">
        <v>146</v>
      </c>
      <c r="I5" s="59">
        <v>10</v>
      </c>
      <c r="J5" s="59">
        <v>5</v>
      </c>
    </row>
    <row r="6" spans="2:10" ht="25.5" x14ac:dyDescent="0.2">
      <c r="B6" s="59" t="s">
        <v>127</v>
      </c>
      <c r="C6" s="62">
        <v>810000</v>
      </c>
      <c r="D6" s="62">
        <f>Table1[[#This Row],[SOCIOS]]*0.1</f>
        <v>81000</v>
      </c>
      <c r="E6" s="62">
        <f>Table1[[#This Row],[SOCIOS]]*0.4</f>
        <v>324000</v>
      </c>
      <c r="F6" s="62">
        <f>SUM(Table1[[#This Row],[SOCIOS]:[GOBIERNO FEDERAL]])</f>
        <v>1215000</v>
      </c>
      <c r="H6" s="59" t="s">
        <v>147</v>
      </c>
      <c r="I6" s="59">
        <v>10</v>
      </c>
      <c r="J6" s="59">
        <v>5</v>
      </c>
    </row>
    <row r="7" spans="2:10" x14ac:dyDescent="0.2">
      <c r="B7" s="59" t="s">
        <v>128</v>
      </c>
      <c r="C7" s="62">
        <v>515157</v>
      </c>
      <c r="D7" s="62">
        <f>Table1[[#This Row],[SOCIOS]]*0.1</f>
        <v>51515.700000000004</v>
      </c>
      <c r="E7" s="62">
        <f>Table1[[#This Row],[SOCIOS]]*0.4</f>
        <v>206062.80000000002</v>
      </c>
      <c r="F7" s="62">
        <f>SUM(Table1[[#This Row],[SOCIOS]:[GOBIERNO FEDERAL]])</f>
        <v>772735.5</v>
      </c>
      <c r="H7" s="59" t="s">
        <v>148</v>
      </c>
      <c r="I7" s="59">
        <v>10</v>
      </c>
      <c r="J7" s="59">
        <v>5</v>
      </c>
    </row>
    <row r="8" spans="2:10" x14ac:dyDescent="0.2">
      <c r="B8" s="59" t="s">
        <v>129</v>
      </c>
      <c r="C8" s="62">
        <v>101719</v>
      </c>
      <c r="D8" s="62">
        <f>Table1[[#This Row],[SOCIOS]]*0.1</f>
        <v>10171.900000000001</v>
      </c>
      <c r="E8" s="62">
        <f>Table1[[#This Row],[SOCIOS]]*0.4</f>
        <v>40687.600000000006</v>
      </c>
      <c r="F8" s="62">
        <f>SUM(Table1[[#This Row],[SOCIOS]:[GOBIERNO FEDERAL]])</f>
        <v>152578.5</v>
      </c>
    </row>
    <row r="9" spans="2:10" x14ac:dyDescent="0.2">
      <c r="B9" s="60" t="s">
        <v>130</v>
      </c>
      <c r="C9" s="62"/>
      <c r="D9" s="62"/>
      <c r="E9" s="62"/>
      <c r="F9" s="62"/>
    </row>
    <row r="10" spans="2:10" ht="25.5" x14ac:dyDescent="0.2">
      <c r="B10" s="59" t="s">
        <v>131</v>
      </c>
      <c r="C10" s="62">
        <v>206063</v>
      </c>
      <c r="D10" s="62">
        <f>Table1[[#This Row],[SOCIOS]]*0.1</f>
        <v>20606.300000000003</v>
      </c>
      <c r="E10" s="62">
        <f>Table1[[#This Row],[SOCIOS]]*0.4</f>
        <v>82425.200000000012</v>
      </c>
      <c r="F10" s="62">
        <f>SUM(Table1[[#This Row],[SOCIOS]:[GOBIERNO FEDERAL]])</f>
        <v>309094.5</v>
      </c>
    </row>
    <row r="11" spans="2:10" x14ac:dyDescent="0.2">
      <c r="B11" s="59" t="s">
        <v>132</v>
      </c>
      <c r="C11" s="62">
        <v>206063</v>
      </c>
      <c r="D11" s="62">
        <f>Table1[[#This Row],[SOCIOS]]*0.1</f>
        <v>20606.300000000003</v>
      </c>
      <c r="E11" s="62">
        <f>Table1[[#This Row],[SOCIOS]]*0.4</f>
        <v>82425.200000000012</v>
      </c>
      <c r="F11" s="62">
        <f>SUM(Table1[[#This Row],[SOCIOS]:[GOBIERNO FEDERAL]])</f>
        <v>309094.5</v>
      </c>
    </row>
    <row r="12" spans="2:10" x14ac:dyDescent="0.2">
      <c r="B12" s="59" t="s">
        <v>133</v>
      </c>
      <c r="C12" s="62">
        <v>68688</v>
      </c>
      <c r="D12" s="62">
        <f>Table1[[#This Row],[SOCIOS]]*0.1</f>
        <v>6868.8</v>
      </c>
      <c r="E12" s="62">
        <f>Table1[[#This Row],[SOCIOS]]*0.4</f>
        <v>27475.200000000001</v>
      </c>
      <c r="F12" s="62">
        <f>SUM(Table1[[#This Row],[SOCIOS]:[GOBIERNO FEDERAL]])</f>
        <v>103032</v>
      </c>
    </row>
    <row r="13" spans="2:10" ht="25.5" x14ac:dyDescent="0.2">
      <c r="B13" s="59" t="s">
        <v>134</v>
      </c>
      <c r="C13" s="62">
        <v>309096</v>
      </c>
      <c r="D13" s="62">
        <f>Table1[[#This Row],[SOCIOS]]*0.1</f>
        <v>30909.600000000002</v>
      </c>
      <c r="E13" s="62">
        <f>Table1[[#This Row],[SOCIOS]]*0.4</f>
        <v>123638.40000000001</v>
      </c>
      <c r="F13" s="62">
        <f>SUM(Table1[[#This Row],[SOCIOS]:[GOBIERNO FEDERAL]])</f>
        <v>463644</v>
      </c>
    </row>
    <row r="14" spans="2:10" ht="25.5" x14ac:dyDescent="0.2">
      <c r="B14" s="59" t="s">
        <v>135</v>
      </c>
      <c r="C14" s="62">
        <v>515157</v>
      </c>
      <c r="D14" s="62">
        <f>Table1[[#This Row],[SOCIOS]]*0.1</f>
        <v>51515.700000000004</v>
      </c>
      <c r="E14" s="62">
        <f>Table1[[#This Row],[SOCIOS]]*0.4</f>
        <v>206062.80000000002</v>
      </c>
      <c r="F14" s="62">
        <f>SUM(Table1[[#This Row],[SOCIOS]:[GOBIERNO FEDERAL]])</f>
        <v>772735.5</v>
      </c>
    </row>
    <row r="15" spans="2:10" ht="25.5" x14ac:dyDescent="0.2">
      <c r="B15" s="59" t="s">
        <v>136</v>
      </c>
      <c r="C15" s="62">
        <v>828251</v>
      </c>
      <c r="D15" s="62">
        <f>Table1[[#This Row],[SOCIOS]]*0.1</f>
        <v>82825.100000000006</v>
      </c>
      <c r="E15" s="62">
        <f>Table1[[#This Row],[SOCIOS]]*0.4</f>
        <v>331300.40000000002</v>
      </c>
      <c r="F15" s="62">
        <f>SUM(Table1[[#This Row],[SOCIOS]:[GOBIERNO FEDERAL]])</f>
        <v>1242376.5</v>
      </c>
    </row>
    <row r="16" spans="2:10" ht="25.5" x14ac:dyDescent="0.2">
      <c r="B16" s="59" t="s">
        <v>137</v>
      </c>
      <c r="C16" s="62">
        <v>343190</v>
      </c>
      <c r="D16" s="62">
        <f>Table1[[#This Row],[SOCIOS]]*0.1</f>
        <v>34319</v>
      </c>
      <c r="E16" s="62">
        <f>Table1[[#This Row],[SOCIOS]]*0.4</f>
        <v>137276</v>
      </c>
      <c r="F16" s="62">
        <f>SUM(Table1[[#This Row],[SOCIOS]:[GOBIERNO FEDERAL]])</f>
        <v>514785</v>
      </c>
    </row>
    <row r="17" spans="2:6" x14ac:dyDescent="0.2">
      <c r="B17" s="60" t="s">
        <v>138</v>
      </c>
      <c r="C17" s="62"/>
      <c r="D17" s="62"/>
      <c r="E17" s="62"/>
      <c r="F17" s="62"/>
    </row>
    <row r="18" spans="2:6" x14ac:dyDescent="0.2">
      <c r="B18" s="59" t="s">
        <v>139</v>
      </c>
      <c r="C18" s="62">
        <v>5040000</v>
      </c>
      <c r="D18" s="62">
        <f>Table1[[#This Row],[SOCIOS]]*0.1</f>
        <v>504000</v>
      </c>
      <c r="E18" s="62">
        <f>Table1[[#This Row],[SOCIOS]]*0.4</f>
        <v>2016000</v>
      </c>
      <c r="F18" s="62">
        <f>SUM(Table1[[#This Row],[SOCIOS]:[GOBIERNO FEDERAL]])</f>
        <v>7560000</v>
      </c>
    </row>
    <row r="19" spans="2:6" x14ac:dyDescent="0.2">
      <c r="B19" s="60" t="s">
        <v>140</v>
      </c>
      <c r="C19" s="63">
        <f>SUM(C3:C18)</f>
        <v>10272230</v>
      </c>
      <c r="D19" s="63">
        <f t="shared" ref="D19:F19" si="0">SUM(D3:D18)</f>
        <v>1027223</v>
      </c>
      <c r="E19" s="63">
        <f t="shared" si="0"/>
        <v>4108892</v>
      </c>
      <c r="F19" s="63">
        <f t="shared" si="0"/>
        <v>15408345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EF49-FC49-4B42-8401-4BD858E0DA23}">
  <sheetPr>
    <tabColor rgb="FFFFFF00"/>
  </sheetPr>
  <dimension ref="B2:I80"/>
  <sheetViews>
    <sheetView topLeftCell="E60" workbookViewId="0">
      <selection activeCell="F66" sqref="F66"/>
    </sheetView>
  </sheetViews>
  <sheetFormatPr defaultRowHeight="12.75" x14ac:dyDescent="0.2"/>
  <cols>
    <col min="3" max="3" width="11.375" customWidth="1"/>
    <col min="4" max="4" width="16.5" customWidth="1"/>
    <col min="5" max="5" width="19.25" customWidth="1"/>
    <col min="6" max="6" width="29.875" customWidth="1"/>
    <col min="7" max="7" width="27.75" customWidth="1"/>
    <col min="8" max="8" width="27.375" customWidth="1"/>
    <col min="9" max="9" width="14.75" customWidth="1"/>
  </cols>
  <sheetData>
    <row r="2" spans="2:9" ht="63.75" x14ac:dyDescent="0.2">
      <c r="B2" s="58" t="s">
        <v>29</v>
      </c>
      <c r="C2" s="58" t="s">
        <v>149</v>
      </c>
      <c r="D2" s="58" t="s">
        <v>150</v>
      </c>
      <c r="E2" s="58" t="s">
        <v>151</v>
      </c>
      <c r="F2" s="58" t="s">
        <v>152</v>
      </c>
      <c r="G2" s="58" t="s">
        <v>153</v>
      </c>
      <c r="H2" s="58" t="s">
        <v>154</v>
      </c>
      <c r="I2" s="58" t="s">
        <v>155</v>
      </c>
    </row>
    <row r="3" spans="2:9" x14ac:dyDescent="0.2">
      <c r="B3" s="59">
        <v>1</v>
      </c>
      <c r="C3" s="64">
        <v>45778</v>
      </c>
      <c r="D3" s="59">
        <v>0</v>
      </c>
      <c r="E3" s="59">
        <v>0</v>
      </c>
      <c r="F3" s="59">
        <v>0</v>
      </c>
      <c r="G3" s="62">
        <f>Table3[[#This Row],[Usuarios Premium]]*149</f>
        <v>0</v>
      </c>
      <c r="H3" s="62">
        <f>Table3[[#This Row],[Empresas con datos vendidos]]*55000</f>
        <v>0</v>
      </c>
      <c r="I3" s="62">
        <f>SUM(Table3[[#This Row],[Ingreso Premium (149 c/u)]:[Ingreso por venta de datos]])</f>
        <v>0</v>
      </c>
    </row>
    <row r="4" spans="2:9" x14ac:dyDescent="0.2">
      <c r="B4" s="59">
        <v>1</v>
      </c>
      <c r="C4" s="59" t="s">
        <v>22</v>
      </c>
      <c r="D4" s="65">
        <v>1000</v>
      </c>
      <c r="E4" s="65">
        <v>10</v>
      </c>
      <c r="F4" s="59">
        <v>1</v>
      </c>
      <c r="G4" s="62">
        <f>Table3[[#This Row],[Usuarios Premium]]*149</f>
        <v>1490</v>
      </c>
      <c r="H4" s="62">
        <f>Table3[[#This Row],[Empresas con datos vendidos]]*55000</f>
        <v>55000</v>
      </c>
      <c r="I4" s="62">
        <f>SUM(Table3[[#This Row],[Ingreso Premium (149 c/u)]:[Ingreso por venta de datos]])</f>
        <v>56490</v>
      </c>
    </row>
    <row r="5" spans="2:9" x14ac:dyDescent="0.2">
      <c r="B5" s="59">
        <v>1</v>
      </c>
      <c r="C5" s="59" t="s">
        <v>23</v>
      </c>
      <c r="D5" s="65">
        <v>2000</v>
      </c>
      <c r="E5" s="65">
        <v>25</v>
      </c>
      <c r="F5" s="59">
        <v>3</v>
      </c>
      <c r="G5" s="62">
        <f>Table3[[#This Row],[Usuarios Premium]]*149</f>
        <v>3725</v>
      </c>
      <c r="H5" s="62">
        <f>Table3[[#This Row],[Empresas con datos vendidos]]*55000</f>
        <v>165000</v>
      </c>
      <c r="I5" s="62">
        <f>SUM(Table3[[#This Row],[Ingreso Premium (149 c/u)]:[Ingreso por venta de datos]])</f>
        <v>168725</v>
      </c>
    </row>
    <row r="6" spans="2:9" x14ac:dyDescent="0.2">
      <c r="B6" s="59">
        <v>1</v>
      </c>
      <c r="C6" s="59" t="s">
        <v>161</v>
      </c>
      <c r="D6" s="65">
        <v>10000</v>
      </c>
      <c r="E6" s="65">
        <v>30</v>
      </c>
      <c r="F6" s="59">
        <v>4</v>
      </c>
      <c r="G6" s="62">
        <f>Table3[[#This Row],[Usuarios Premium]]*149</f>
        <v>4470</v>
      </c>
      <c r="H6" s="62">
        <f>Table3[[#This Row],[Empresas con datos vendidos]]*55000</f>
        <v>220000</v>
      </c>
      <c r="I6" s="62">
        <f>SUM(Table3[[#This Row],[Ingreso Premium (149 c/u)]:[Ingreso por venta de datos]])</f>
        <v>224470</v>
      </c>
    </row>
    <row r="7" spans="2:9" x14ac:dyDescent="0.2">
      <c r="B7" s="59">
        <v>1</v>
      </c>
      <c r="C7" s="59" t="s">
        <v>162</v>
      </c>
      <c r="D7" s="65">
        <v>15000</v>
      </c>
      <c r="E7" s="65">
        <v>45</v>
      </c>
      <c r="F7" s="59">
        <v>5</v>
      </c>
      <c r="G7" s="62">
        <f>Table3[[#This Row],[Usuarios Premium]]*149</f>
        <v>6705</v>
      </c>
      <c r="H7" s="62">
        <f>Table3[[#This Row],[Empresas con datos vendidos]]*55000</f>
        <v>275000</v>
      </c>
      <c r="I7" s="62">
        <f>SUM(Table3[[#This Row],[Ingreso Premium (149 c/u)]:[Ingreso por venta de datos]])</f>
        <v>281705</v>
      </c>
    </row>
    <row r="8" spans="2:9" x14ac:dyDescent="0.2">
      <c r="B8" s="59">
        <v>1</v>
      </c>
      <c r="C8" s="59" t="s">
        <v>163</v>
      </c>
      <c r="D8" s="65">
        <v>18000</v>
      </c>
      <c r="E8" s="65">
        <v>50</v>
      </c>
      <c r="F8" s="59">
        <v>8</v>
      </c>
      <c r="G8" s="62">
        <f>Table3[[#This Row],[Usuarios Premium]]*149</f>
        <v>7450</v>
      </c>
      <c r="H8" s="62">
        <f>Table3[[#This Row],[Empresas con datos vendidos]]*55000</f>
        <v>440000</v>
      </c>
      <c r="I8" s="62">
        <f>SUM(Table3[[#This Row],[Ingreso Premium (149 c/u)]:[Ingreso por venta de datos]])</f>
        <v>447450</v>
      </c>
    </row>
    <row r="9" spans="2:9" x14ac:dyDescent="0.2">
      <c r="B9" s="59">
        <v>1</v>
      </c>
      <c r="C9" s="59" t="s">
        <v>158</v>
      </c>
      <c r="D9" s="65">
        <v>20000</v>
      </c>
      <c r="E9" s="65">
        <v>69</v>
      </c>
      <c r="F9" s="59">
        <v>10</v>
      </c>
      <c r="G9" s="62">
        <f>Table3[[#This Row],[Usuarios Premium]]*149</f>
        <v>10281</v>
      </c>
      <c r="H9" s="62">
        <f>Table3[[#This Row],[Empresas con datos vendidos]]*55000</f>
        <v>550000</v>
      </c>
      <c r="I9" s="62">
        <f>SUM(Table3[[#This Row],[Ingreso Premium (149 c/u)]:[Ingreso por venta de datos]])</f>
        <v>560281</v>
      </c>
    </row>
    <row r="10" spans="2:9" x14ac:dyDescent="0.2">
      <c r="B10" s="59">
        <v>1</v>
      </c>
      <c r="C10" s="59" t="s">
        <v>157</v>
      </c>
      <c r="D10" s="65">
        <v>24000</v>
      </c>
      <c r="E10" s="65">
        <v>100</v>
      </c>
      <c r="F10" s="59">
        <v>13</v>
      </c>
      <c r="G10" s="62">
        <f>Table3[[#This Row],[Usuarios Premium]]*149</f>
        <v>14900</v>
      </c>
      <c r="H10" s="62">
        <f>Table3[[#This Row],[Empresas con datos vendidos]]*55000</f>
        <v>715000</v>
      </c>
      <c r="I10" s="62">
        <f>SUM(Table3[[#This Row],[Ingreso Premium (149 c/u)]:[Ingreso por venta de datos]])</f>
        <v>729900</v>
      </c>
    </row>
    <row r="11" spans="2:9" x14ac:dyDescent="0.2">
      <c r="B11" s="59"/>
      <c r="C11" s="59"/>
      <c r="D11" s="59"/>
      <c r="E11" s="59"/>
      <c r="F11" s="59"/>
      <c r="G11" s="59"/>
      <c r="H11" s="59"/>
      <c r="I11" s="59"/>
    </row>
    <row r="12" spans="2:9" ht="25.5" x14ac:dyDescent="0.2">
      <c r="B12" s="60" t="s">
        <v>156</v>
      </c>
      <c r="C12" s="59"/>
      <c r="D12" s="59"/>
      <c r="E12" s="59"/>
      <c r="F12" s="59"/>
      <c r="G12" s="63">
        <f>SUM(G3:G10)</f>
        <v>49021</v>
      </c>
      <c r="H12" s="63">
        <f>SUM(H3:H10)</f>
        <v>2420000</v>
      </c>
      <c r="I12" s="63">
        <f>SUM(I3:I10)</f>
        <v>2469021</v>
      </c>
    </row>
    <row r="14" spans="2:9" x14ac:dyDescent="0.2">
      <c r="B14" s="58" t="s">
        <v>29</v>
      </c>
      <c r="C14" s="58" t="s">
        <v>149</v>
      </c>
      <c r="D14" s="58" t="s">
        <v>150</v>
      </c>
      <c r="E14" s="58" t="s">
        <v>151</v>
      </c>
      <c r="F14" s="58" t="s">
        <v>152</v>
      </c>
      <c r="G14" s="58" t="s">
        <v>153</v>
      </c>
      <c r="H14" s="58" t="s">
        <v>154</v>
      </c>
      <c r="I14" s="58" t="s">
        <v>155</v>
      </c>
    </row>
    <row r="15" spans="2:9" x14ac:dyDescent="0.2">
      <c r="B15" s="60">
        <v>2</v>
      </c>
      <c r="C15" s="59" t="s">
        <v>159</v>
      </c>
      <c r="D15" s="65">
        <v>30000</v>
      </c>
      <c r="E15" s="59">
        <v>110</v>
      </c>
      <c r="F15" s="66">
        <v>13</v>
      </c>
      <c r="G15" s="62">
        <f>Table35[[#This Row],[Usuarios Premium]]*149</f>
        <v>16390</v>
      </c>
      <c r="H15" s="62">
        <f>Table35[[#This Row],[Empresas con datos vendidos]]*55000</f>
        <v>715000</v>
      </c>
      <c r="I15" s="62">
        <f>SUM(Table35[[#This Row],[Ingreso Premium (149 c/u)]:[Ingreso por venta de datos]])</f>
        <v>731390</v>
      </c>
    </row>
    <row r="16" spans="2:9" x14ac:dyDescent="0.2">
      <c r="B16" s="60">
        <v>2</v>
      </c>
      <c r="C16" s="59" t="s">
        <v>160</v>
      </c>
      <c r="D16" s="65">
        <v>40000</v>
      </c>
      <c r="E16" s="59">
        <v>130</v>
      </c>
      <c r="F16" s="66">
        <v>14</v>
      </c>
      <c r="G16" s="62">
        <f>Table35[[#This Row],[Usuarios Premium]]*149</f>
        <v>19370</v>
      </c>
      <c r="H16" s="62">
        <f>Table35[[#This Row],[Empresas con datos vendidos]]*55000</f>
        <v>770000</v>
      </c>
      <c r="I16" s="62">
        <f>SUM(Table35[[#This Row],[Ingreso Premium (149 c/u)]:[Ingreso por venta de datos]])</f>
        <v>789370</v>
      </c>
    </row>
    <row r="17" spans="2:9" x14ac:dyDescent="0.2">
      <c r="B17" s="59">
        <v>2</v>
      </c>
      <c r="C17" s="59" t="s">
        <v>19</v>
      </c>
      <c r="D17" s="65">
        <v>50000</v>
      </c>
      <c r="E17" s="59">
        <v>150</v>
      </c>
      <c r="F17" s="66">
        <v>16</v>
      </c>
      <c r="G17" s="62">
        <f>Table35[[#This Row],[Usuarios Premium]]*149</f>
        <v>22350</v>
      </c>
      <c r="H17" s="62">
        <f>Table35[[#This Row],[Empresas con datos vendidos]]*55000</f>
        <v>880000</v>
      </c>
      <c r="I17" s="62">
        <f>SUM(Table35[[#This Row],[Ingreso Premium (149 c/u)]:[Ingreso por venta de datos]])</f>
        <v>902350</v>
      </c>
    </row>
    <row r="18" spans="2:9" x14ac:dyDescent="0.2">
      <c r="B18" s="59">
        <v>2</v>
      </c>
      <c r="C18" s="59" t="s">
        <v>20</v>
      </c>
      <c r="D18" s="65">
        <v>60000</v>
      </c>
      <c r="E18" s="59">
        <v>170</v>
      </c>
      <c r="F18" s="66">
        <v>17.3333333333333</v>
      </c>
      <c r="G18" s="62">
        <f>Table35[[#This Row],[Usuarios Premium]]*149</f>
        <v>25330</v>
      </c>
      <c r="H18" s="62">
        <f>Table35[[#This Row],[Empresas con datos vendidos]]*55000</f>
        <v>953333.33333333151</v>
      </c>
      <c r="I18" s="62">
        <f>SUM(Table35[[#This Row],[Ingreso Premium (149 c/u)]:[Ingreso por venta de datos]])</f>
        <v>978663.33333333151</v>
      </c>
    </row>
    <row r="19" spans="2:9" x14ac:dyDescent="0.2">
      <c r="B19" s="59">
        <v>2</v>
      </c>
      <c r="C19" s="59" t="s">
        <v>21</v>
      </c>
      <c r="D19" s="65">
        <v>70000</v>
      </c>
      <c r="E19" s="59">
        <v>190</v>
      </c>
      <c r="F19" s="66">
        <v>18.8333333333333</v>
      </c>
      <c r="G19" s="62">
        <f>Table35[[#This Row],[Usuarios Premium]]*149</f>
        <v>28310</v>
      </c>
      <c r="H19" s="62">
        <f>Table35[[#This Row],[Empresas con datos vendidos]]*55000</f>
        <v>1035833.3333333315</v>
      </c>
      <c r="I19" s="62">
        <f>SUM(Table35[[#This Row],[Ingreso Premium (149 c/u)]:[Ingreso por venta de datos]])</f>
        <v>1064143.3333333316</v>
      </c>
    </row>
    <row r="20" spans="2:9" x14ac:dyDescent="0.2">
      <c r="B20" s="59">
        <v>2</v>
      </c>
      <c r="C20" s="59" t="s">
        <v>22</v>
      </c>
      <c r="D20" s="65">
        <v>80000</v>
      </c>
      <c r="E20" s="59">
        <v>210</v>
      </c>
      <c r="F20" s="66">
        <v>20.3333333333333</v>
      </c>
      <c r="G20" s="62">
        <f>Table35[[#This Row],[Usuarios Premium]]*149</f>
        <v>31290</v>
      </c>
      <c r="H20" s="62">
        <f>Table35[[#This Row],[Empresas con datos vendidos]]*55000</f>
        <v>1118333.3333333316</v>
      </c>
      <c r="I20" s="62">
        <f>SUM(Table35[[#This Row],[Ingreso Premium (149 c/u)]:[Ingreso por venta de datos]])</f>
        <v>1149623.3333333316</v>
      </c>
    </row>
    <row r="21" spans="2:9" x14ac:dyDescent="0.2">
      <c r="B21" s="59">
        <v>2</v>
      </c>
      <c r="C21" s="59" t="s">
        <v>23</v>
      </c>
      <c r="D21" s="65">
        <v>90000</v>
      </c>
      <c r="E21" s="59">
        <v>230</v>
      </c>
      <c r="F21" s="66">
        <v>21.8333333333333</v>
      </c>
      <c r="G21" s="62">
        <f>Table35[[#This Row],[Usuarios Premium]]*149</f>
        <v>34270</v>
      </c>
      <c r="H21" s="62">
        <f>Table35[[#This Row],[Empresas con datos vendidos]]*55000</f>
        <v>1200833.3333333316</v>
      </c>
      <c r="I21" s="62">
        <f>SUM(Table35[[#This Row],[Ingreso Premium (149 c/u)]:[Ingreso por venta de datos]])</f>
        <v>1235103.3333333316</v>
      </c>
    </row>
    <row r="22" spans="2:9" x14ac:dyDescent="0.2">
      <c r="B22" s="59">
        <v>2</v>
      </c>
      <c r="C22" s="59" t="s">
        <v>161</v>
      </c>
      <c r="D22" s="65">
        <v>100000</v>
      </c>
      <c r="E22" s="59">
        <v>250</v>
      </c>
      <c r="F22" s="66">
        <v>23.3333333333333</v>
      </c>
      <c r="G22" s="62">
        <f>Table35[[#This Row],[Usuarios Premium]]*149</f>
        <v>37250</v>
      </c>
      <c r="H22" s="62">
        <f>Table35[[#This Row],[Empresas con datos vendidos]]*55000</f>
        <v>1283333.3333333316</v>
      </c>
      <c r="I22" s="62">
        <f>SUM(Table35[[#This Row],[Ingreso Premium (149 c/u)]:[Ingreso por venta de datos]])</f>
        <v>1320583.3333333316</v>
      </c>
    </row>
    <row r="23" spans="2:9" x14ac:dyDescent="0.2">
      <c r="B23" s="59">
        <v>2</v>
      </c>
      <c r="C23" s="59" t="s">
        <v>162</v>
      </c>
      <c r="D23" s="65">
        <v>110000</v>
      </c>
      <c r="E23" s="59">
        <v>270</v>
      </c>
      <c r="F23" s="66">
        <v>24.8333333333333</v>
      </c>
      <c r="G23" s="62">
        <f>Table35[[#This Row],[Usuarios Premium]]*149</f>
        <v>40230</v>
      </c>
      <c r="H23" s="62">
        <f>Table35[[#This Row],[Empresas con datos vendidos]]*55000</f>
        <v>1365833.3333333316</v>
      </c>
      <c r="I23" s="62">
        <f>SUM(Table35[[#This Row],[Ingreso Premium (149 c/u)]:[Ingreso por venta de datos]])</f>
        <v>1406063.3333333316</v>
      </c>
    </row>
    <row r="24" spans="2:9" x14ac:dyDescent="0.2">
      <c r="B24" s="59">
        <v>2</v>
      </c>
      <c r="C24" s="59" t="s">
        <v>163</v>
      </c>
      <c r="D24" s="65">
        <v>120000</v>
      </c>
      <c r="E24" s="59">
        <v>290</v>
      </c>
      <c r="F24" s="66">
        <v>26.3333333333333</v>
      </c>
      <c r="G24" s="62">
        <f>Table35[[#This Row],[Usuarios Premium]]*149</f>
        <v>43210</v>
      </c>
      <c r="H24" s="62">
        <f>Table35[[#This Row],[Empresas con datos vendidos]]*55000</f>
        <v>1448333.3333333316</v>
      </c>
      <c r="I24" s="62">
        <f>SUM(Table35[[#This Row],[Ingreso Premium (149 c/u)]:[Ingreso por venta de datos]])</f>
        <v>1491543.3333333316</v>
      </c>
    </row>
    <row r="25" spans="2:9" x14ac:dyDescent="0.2">
      <c r="B25" s="59">
        <v>2</v>
      </c>
      <c r="C25" s="59" t="s">
        <v>158</v>
      </c>
      <c r="D25" s="65">
        <v>130000</v>
      </c>
      <c r="E25" s="59">
        <v>310</v>
      </c>
      <c r="F25" s="66">
        <v>27.8333333333333</v>
      </c>
      <c r="G25" s="62">
        <f>Table35[[#This Row],[Usuarios Premium]]*149</f>
        <v>46190</v>
      </c>
      <c r="H25" s="62">
        <f>Table35[[#This Row],[Empresas con datos vendidos]]*55000</f>
        <v>1530833.3333333316</v>
      </c>
      <c r="I25" s="62">
        <f>SUM(Table35[[#This Row],[Ingreso Premium (149 c/u)]:[Ingreso por venta de datos]])</f>
        <v>1577023.3333333316</v>
      </c>
    </row>
    <row r="26" spans="2:9" x14ac:dyDescent="0.2">
      <c r="B26" s="59">
        <v>2</v>
      </c>
      <c r="C26" s="59" t="s">
        <v>157</v>
      </c>
      <c r="D26" s="65">
        <v>140000</v>
      </c>
      <c r="E26" s="59">
        <v>330</v>
      </c>
      <c r="F26" s="66">
        <v>29.3333333333333</v>
      </c>
      <c r="G26" s="62">
        <f>Table35[[#This Row],[Usuarios Premium]]*149</f>
        <v>49170</v>
      </c>
      <c r="H26" s="62">
        <f>Table35[[#This Row],[Empresas con datos vendidos]]*55000</f>
        <v>1613333.3333333316</v>
      </c>
      <c r="I26" s="62">
        <f>SUM(Table35[[#This Row],[Ingreso Premium (149 c/u)]:[Ingreso por venta de datos]])</f>
        <v>1662503.3333333316</v>
      </c>
    </row>
    <row r="27" spans="2:9" x14ac:dyDescent="0.2">
      <c r="B27" s="59"/>
      <c r="C27" s="59"/>
      <c r="D27" s="59"/>
      <c r="E27" s="59"/>
      <c r="F27" s="59"/>
      <c r="G27" s="59"/>
      <c r="H27" s="59"/>
      <c r="I27" s="59"/>
    </row>
    <row r="28" spans="2:9" ht="25.5" x14ac:dyDescent="0.2">
      <c r="B28" s="60" t="s">
        <v>164</v>
      </c>
      <c r="C28" s="59"/>
      <c r="D28" s="59"/>
      <c r="E28" s="59"/>
      <c r="F28" s="59"/>
      <c r="G28" s="63">
        <f>SUM(G17:G26)</f>
        <v>357600</v>
      </c>
      <c r="H28" s="63">
        <f>SUM(H17:H26)</f>
        <v>12429999.999999987</v>
      </c>
      <c r="I28" s="63">
        <f>SUM(I17:I26)</f>
        <v>12787599.999999987</v>
      </c>
    </row>
    <row r="29" spans="2:9" x14ac:dyDescent="0.2">
      <c r="B29" s="59" t="s">
        <v>81</v>
      </c>
      <c r="C29" s="59"/>
      <c r="D29" s="65"/>
      <c r="E29" s="65"/>
      <c r="F29" s="59"/>
      <c r="G29" s="62"/>
      <c r="H29" s="62"/>
      <c r="I29" s="62"/>
    </row>
    <row r="31" spans="2:9" x14ac:dyDescent="0.2">
      <c r="B31" s="58" t="s">
        <v>29</v>
      </c>
      <c r="C31" s="58" t="s">
        <v>149</v>
      </c>
      <c r="D31" s="58" t="s">
        <v>150</v>
      </c>
      <c r="E31" s="58" t="s">
        <v>151</v>
      </c>
      <c r="F31" s="58" t="s">
        <v>152</v>
      </c>
      <c r="G31" s="58" t="s">
        <v>153</v>
      </c>
      <c r="H31" s="58" t="s">
        <v>154</v>
      </c>
      <c r="I31" s="58" t="s">
        <v>155</v>
      </c>
    </row>
    <row r="32" spans="2:9" x14ac:dyDescent="0.2">
      <c r="B32" s="60">
        <v>3</v>
      </c>
      <c r="C32" s="59" t="s">
        <v>159</v>
      </c>
      <c r="D32" s="65">
        <v>120000</v>
      </c>
      <c r="E32" s="59">
        <v>310</v>
      </c>
      <c r="F32" s="66">
        <v>26.3333333333333</v>
      </c>
      <c r="G32" s="62">
        <f>Table356[[#This Row],[Usuarios Premium]]*149</f>
        <v>46190</v>
      </c>
      <c r="H32" s="62">
        <f>Table356[[#This Row],[Empresas con datos vendidos]]*55000</f>
        <v>1448333.3333333316</v>
      </c>
      <c r="I32" s="62">
        <f>SUM(Table356[[#This Row],[Ingreso Premium (149 c/u)]:[Ingreso por venta de datos]])</f>
        <v>1494523.3333333316</v>
      </c>
    </row>
    <row r="33" spans="2:9" x14ac:dyDescent="0.2">
      <c r="B33" s="60">
        <v>3</v>
      </c>
      <c r="C33" s="59" t="s">
        <v>160</v>
      </c>
      <c r="D33" s="65">
        <v>130000</v>
      </c>
      <c r="E33" s="59">
        <v>330</v>
      </c>
      <c r="F33" s="66">
        <v>27.8333333333333</v>
      </c>
      <c r="G33" s="62">
        <f>Table356[[#This Row],[Usuarios Premium]]*149</f>
        <v>49170</v>
      </c>
      <c r="H33" s="62">
        <f>Table356[[#This Row],[Empresas con datos vendidos]]*55000</f>
        <v>1530833.3333333316</v>
      </c>
      <c r="I33" s="62">
        <f>SUM(Table356[[#This Row],[Ingreso Premium (149 c/u)]:[Ingreso por venta de datos]])</f>
        <v>1580003.3333333316</v>
      </c>
    </row>
    <row r="34" spans="2:9" x14ac:dyDescent="0.2">
      <c r="B34" s="59">
        <v>3</v>
      </c>
      <c r="C34" s="59" t="s">
        <v>19</v>
      </c>
      <c r="D34" s="65">
        <v>140000</v>
      </c>
      <c r="E34" s="59">
        <v>350</v>
      </c>
      <c r="F34" s="66">
        <v>29.3333333333333</v>
      </c>
      <c r="G34" s="62">
        <f>Table356[[#This Row],[Usuarios Premium]]*149</f>
        <v>52150</v>
      </c>
      <c r="H34" s="62">
        <f>Table356[[#This Row],[Empresas con datos vendidos]]*55000</f>
        <v>1613333.3333333316</v>
      </c>
      <c r="I34" s="62">
        <f>SUM(Table356[[#This Row],[Ingreso Premium (149 c/u)]:[Ingreso por venta de datos]])</f>
        <v>1665483.3333333316</v>
      </c>
    </row>
    <row r="35" spans="2:9" x14ac:dyDescent="0.2">
      <c r="B35" s="59">
        <v>3</v>
      </c>
      <c r="C35" s="59" t="s">
        <v>20</v>
      </c>
      <c r="D35" s="65">
        <v>150000</v>
      </c>
      <c r="E35" s="59">
        <v>370</v>
      </c>
      <c r="F35" s="66">
        <v>30.8333333333333</v>
      </c>
      <c r="G35" s="62">
        <f>Table356[[#This Row],[Usuarios Premium]]*149</f>
        <v>55130</v>
      </c>
      <c r="H35" s="62">
        <f>Table356[[#This Row],[Empresas con datos vendidos]]*55000</f>
        <v>1695833.3333333316</v>
      </c>
      <c r="I35" s="62">
        <f>SUM(Table356[[#This Row],[Ingreso Premium (149 c/u)]:[Ingreso por venta de datos]])</f>
        <v>1750963.3333333316</v>
      </c>
    </row>
    <row r="36" spans="2:9" x14ac:dyDescent="0.2">
      <c r="B36" s="59">
        <v>3</v>
      </c>
      <c r="C36" s="59" t="s">
        <v>21</v>
      </c>
      <c r="D36" s="65">
        <v>160000</v>
      </c>
      <c r="E36" s="59">
        <v>390</v>
      </c>
      <c r="F36" s="66">
        <v>32.3333333333333</v>
      </c>
      <c r="G36" s="62">
        <f>Table356[[#This Row],[Usuarios Premium]]*149</f>
        <v>58110</v>
      </c>
      <c r="H36" s="62">
        <f>Table356[[#This Row],[Empresas con datos vendidos]]*55000</f>
        <v>1778333.3333333316</v>
      </c>
      <c r="I36" s="62">
        <f>SUM(Table356[[#This Row],[Ingreso Premium (149 c/u)]:[Ingreso por venta de datos]])</f>
        <v>1836443.3333333316</v>
      </c>
    </row>
    <row r="37" spans="2:9" x14ac:dyDescent="0.2">
      <c r="B37" s="59">
        <v>3</v>
      </c>
      <c r="C37" s="59" t="s">
        <v>22</v>
      </c>
      <c r="D37" s="65">
        <v>170000</v>
      </c>
      <c r="E37" s="59">
        <v>410</v>
      </c>
      <c r="F37" s="66">
        <v>33.8333333333333</v>
      </c>
      <c r="G37" s="62">
        <f>Table356[[#This Row],[Usuarios Premium]]*149</f>
        <v>61090</v>
      </c>
      <c r="H37" s="62">
        <f>Table356[[#This Row],[Empresas con datos vendidos]]*55000</f>
        <v>1860833.3333333316</v>
      </c>
      <c r="I37" s="62">
        <f>SUM(Table356[[#This Row],[Ingreso Premium (149 c/u)]:[Ingreso por venta de datos]])</f>
        <v>1921923.3333333316</v>
      </c>
    </row>
    <row r="38" spans="2:9" x14ac:dyDescent="0.2">
      <c r="B38" s="59">
        <v>3</v>
      </c>
      <c r="C38" s="59" t="s">
        <v>23</v>
      </c>
      <c r="D38" s="65">
        <v>180000</v>
      </c>
      <c r="E38" s="59">
        <v>430</v>
      </c>
      <c r="F38" s="66">
        <v>35.3333333333333</v>
      </c>
      <c r="G38" s="62">
        <f>Table356[[#This Row],[Usuarios Premium]]*149</f>
        <v>64070</v>
      </c>
      <c r="H38" s="62">
        <f>Table356[[#This Row],[Empresas con datos vendidos]]*55000</f>
        <v>1943333.3333333316</v>
      </c>
      <c r="I38" s="62">
        <f>SUM(Table356[[#This Row],[Ingreso Premium (149 c/u)]:[Ingreso por venta de datos]])</f>
        <v>2007403.3333333316</v>
      </c>
    </row>
    <row r="39" spans="2:9" x14ac:dyDescent="0.2">
      <c r="B39" s="59">
        <v>3</v>
      </c>
      <c r="C39" s="59" t="s">
        <v>161</v>
      </c>
      <c r="D39" s="65">
        <v>190000</v>
      </c>
      <c r="E39" s="59">
        <v>450</v>
      </c>
      <c r="F39" s="66">
        <v>36.8333333333333</v>
      </c>
      <c r="G39" s="62">
        <f>Table356[[#This Row],[Usuarios Premium]]*149</f>
        <v>67050</v>
      </c>
      <c r="H39" s="62">
        <f>Table356[[#This Row],[Empresas con datos vendidos]]*55000</f>
        <v>2025833.3333333316</v>
      </c>
      <c r="I39" s="62">
        <f>SUM(Table356[[#This Row],[Ingreso Premium (149 c/u)]:[Ingreso por venta de datos]])</f>
        <v>2092883.3333333316</v>
      </c>
    </row>
    <row r="40" spans="2:9" x14ac:dyDescent="0.2">
      <c r="B40" s="59">
        <v>3</v>
      </c>
      <c r="C40" s="59" t="s">
        <v>162</v>
      </c>
      <c r="D40" s="65">
        <v>200000</v>
      </c>
      <c r="E40" s="59">
        <v>470</v>
      </c>
      <c r="F40" s="66">
        <v>38.3333333333333</v>
      </c>
      <c r="G40" s="62">
        <f>Table356[[#This Row],[Usuarios Premium]]*149</f>
        <v>70030</v>
      </c>
      <c r="H40" s="62">
        <f>Table356[[#This Row],[Empresas con datos vendidos]]*55000</f>
        <v>2108333.3333333316</v>
      </c>
      <c r="I40" s="62">
        <f>SUM(Table356[[#This Row],[Ingreso Premium (149 c/u)]:[Ingreso por venta de datos]])</f>
        <v>2178363.3333333316</v>
      </c>
    </row>
    <row r="41" spans="2:9" x14ac:dyDescent="0.2">
      <c r="B41" s="59">
        <v>3</v>
      </c>
      <c r="C41" s="59" t="s">
        <v>163</v>
      </c>
      <c r="D41" s="65">
        <v>210000</v>
      </c>
      <c r="E41" s="59">
        <v>490</v>
      </c>
      <c r="F41" s="66">
        <v>39.8333333333333</v>
      </c>
      <c r="G41" s="62">
        <f>Table356[[#This Row],[Usuarios Premium]]*149</f>
        <v>73010</v>
      </c>
      <c r="H41" s="62">
        <f>Table356[[#This Row],[Empresas con datos vendidos]]*55000</f>
        <v>2190833.3333333316</v>
      </c>
      <c r="I41" s="62">
        <f>SUM(Table356[[#This Row],[Ingreso Premium (149 c/u)]:[Ingreso por venta de datos]])</f>
        <v>2263843.3333333316</v>
      </c>
    </row>
    <row r="42" spans="2:9" x14ac:dyDescent="0.2">
      <c r="B42" s="59">
        <v>2</v>
      </c>
      <c r="C42" s="59" t="s">
        <v>158</v>
      </c>
      <c r="D42" s="65">
        <v>220000</v>
      </c>
      <c r="E42" s="59">
        <v>510</v>
      </c>
      <c r="F42" s="66">
        <v>41.3333333333333</v>
      </c>
      <c r="G42" s="62">
        <f>Table356[[#This Row],[Usuarios Premium]]*149</f>
        <v>75990</v>
      </c>
      <c r="H42" s="62">
        <f>Table356[[#This Row],[Empresas con datos vendidos]]*55000</f>
        <v>2273333.3333333316</v>
      </c>
      <c r="I42" s="62">
        <f>SUM(Table356[[#This Row],[Ingreso Premium (149 c/u)]:[Ingreso por venta de datos]])</f>
        <v>2349323.3333333316</v>
      </c>
    </row>
    <row r="43" spans="2:9" x14ac:dyDescent="0.2">
      <c r="B43" s="59">
        <v>3</v>
      </c>
      <c r="C43" s="59" t="s">
        <v>157</v>
      </c>
      <c r="D43" s="65">
        <v>230000</v>
      </c>
      <c r="E43" s="59">
        <v>530</v>
      </c>
      <c r="F43" s="66">
        <v>42.8333333333333</v>
      </c>
      <c r="G43" s="62">
        <f>Table356[[#This Row],[Usuarios Premium]]*149</f>
        <v>78970</v>
      </c>
      <c r="H43" s="62">
        <f>Table356[[#This Row],[Empresas con datos vendidos]]*55000</f>
        <v>2355833.3333333316</v>
      </c>
      <c r="I43" s="62">
        <f>SUM(Table356[[#This Row],[Ingreso Premium (149 c/u)]:[Ingreso por venta de datos]])</f>
        <v>2434803.3333333316</v>
      </c>
    </row>
    <row r="44" spans="2:9" x14ac:dyDescent="0.2">
      <c r="B44" s="59"/>
      <c r="C44" s="59"/>
      <c r="D44" s="59"/>
      <c r="E44" s="59"/>
      <c r="F44" s="59"/>
      <c r="G44" s="59"/>
      <c r="H44" s="59"/>
      <c r="I44" s="59"/>
    </row>
    <row r="45" spans="2:9" ht="25.5" x14ac:dyDescent="0.2">
      <c r="B45" s="60" t="s">
        <v>165</v>
      </c>
      <c r="C45" s="59"/>
      <c r="D45" s="59"/>
      <c r="E45" s="59"/>
      <c r="F45" s="59"/>
      <c r="G45" s="63">
        <f>SUM(G34:G43)</f>
        <v>655600</v>
      </c>
      <c r="H45" s="63">
        <f>SUM(H34:H43)</f>
        <v>19845833.333333317</v>
      </c>
      <c r="I45" s="63">
        <f>SUM(I34:I43)</f>
        <v>20501433.333333317</v>
      </c>
    </row>
    <row r="46" spans="2:9" x14ac:dyDescent="0.2">
      <c r="B46" s="59" t="s">
        <v>81</v>
      </c>
      <c r="C46" s="59"/>
      <c r="D46" s="65"/>
      <c r="E46" s="65"/>
      <c r="F46" s="59"/>
      <c r="G46" s="62"/>
      <c r="H46" s="62"/>
      <c r="I46" s="62"/>
    </row>
    <row r="48" spans="2:9" x14ac:dyDescent="0.2">
      <c r="B48" s="58" t="s">
        <v>29</v>
      </c>
      <c r="C48" s="58" t="s">
        <v>149</v>
      </c>
      <c r="D48" s="58" t="s">
        <v>150</v>
      </c>
      <c r="E48" s="58" t="s">
        <v>151</v>
      </c>
      <c r="F48" s="58" t="s">
        <v>152</v>
      </c>
      <c r="G48" s="58" t="s">
        <v>153</v>
      </c>
      <c r="H48" s="58" t="s">
        <v>154</v>
      </c>
      <c r="I48" s="58" t="s">
        <v>155</v>
      </c>
    </row>
    <row r="49" spans="2:9" x14ac:dyDescent="0.2">
      <c r="B49" s="60">
        <v>4</v>
      </c>
      <c r="C49" s="59" t="s">
        <v>159</v>
      </c>
      <c r="D49" s="65">
        <v>220000</v>
      </c>
      <c r="E49" s="59">
        <v>510</v>
      </c>
      <c r="F49" s="66">
        <v>41.3333333333333</v>
      </c>
      <c r="G49" s="62">
        <f>Table3567[[#This Row],[Usuarios Premium]]*149</f>
        <v>75990</v>
      </c>
      <c r="H49" s="62">
        <f>Table3567[[#This Row],[Empresas con datos vendidos]]*55000</f>
        <v>2273333.3333333316</v>
      </c>
      <c r="I49" s="62">
        <f>SUM(Table3567[[#This Row],[Ingreso Premium (149 c/u)]:[Ingreso por venta de datos]])</f>
        <v>2349323.3333333316</v>
      </c>
    </row>
    <row r="50" spans="2:9" x14ac:dyDescent="0.2">
      <c r="B50" s="60">
        <v>4</v>
      </c>
      <c r="C50" s="59" t="s">
        <v>160</v>
      </c>
      <c r="D50" s="65">
        <v>230000</v>
      </c>
      <c r="E50" s="59">
        <v>530</v>
      </c>
      <c r="F50" s="66">
        <v>42.8333333333333</v>
      </c>
      <c r="G50" s="62">
        <f>Table3567[[#This Row],[Usuarios Premium]]*149</f>
        <v>78970</v>
      </c>
      <c r="H50" s="62">
        <f>Table3567[[#This Row],[Empresas con datos vendidos]]*55000</f>
        <v>2355833.3333333316</v>
      </c>
      <c r="I50" s="62">
        <f>SUM(Table3567[[#This Row],[Ingreso Premium (149 c/u)]:[Ingreso por venta de datos]])</f>
        <v>2434803.3333333316</v>
      </c>
    </row>
    <row r="51" spans="2:9" x14ac:dyDescent="0.2">
      <c r="B51" s="59">
        <v>4</v>
      </c>
      <c r="C51" s="59" t="s">
        <v>19</v>
      </c>
      <c r="D51" s="65">
        <v>240000</v>
      </c>
      <c r="E51" s="59">
        <v>550</v>
      </c>
      <c r="F51" s="66">
        <v>44.3333333333333</v>
      </c>
      <c r="G51" s="62">
        <f>Table3567[[#This Row],[Usuarios Premium]]*149</f>
        <v>81950</v>
      </c>
      <c r="H51" s="62">
        <f>Table3567[[#This Row],[Empresas con datos vendidos]]*55000</f>
        <v>2438333.3333333316</v>
      </c>
      <c r="I51" s="62">
        <f>SUM(Table3567[[#This Row],[Ingreso Premium (149 c/u)]:[Ingreso por venta de datos]])</f>
        <v>2520283.3333333316</v>
      </c>
    </row>
    <row r="52" spans="2:9" x14ac:dyDescent="0.2">
      <c r="B52" s="59">
        <v>4</v>
      </c>
      <c r="C52" s="59" t="s">
        <v>20</v>
      </c>
      <c r="D52" s="65">
        <v>250000</v>
      </c>
      <c r="E52" s="59">
        <v>570</v>
      </c>
      <c r="F52" s="66">
        <v>45.8333333333333</v>
      </c>
      <c r="G52" s="62">
        <f>Table3567[[#This Row],[Usuarios Premium]]*149</f>
        <v>84930</v>
      </c>
      <c r="H52" s="62">
        <f>Table3567[[#This Row],[Empresas con datos vendidos]]*55000</f>
        <v>2520833.3333333316</v>
      </c>
      <c r="I52" s="62">
        <f>SUM(Table3567[[#This Row],[Ingreso Premium (149 c/u)]:[Ingreso por venta de datos]])</f>
        <v>2605763.3333333316</v>
      </c>
    </row>
    <row r="53" spans="2:9" x14ac:dyDescent="0.2">
      <c r="B53" s="59">
        <v>4</v>
      </c>
      <c r="C53" s="59" t="s">
        <v>21</v>
      </c>
      <c r="D53" s="65">
        <v>260000</v>
      </c>
      <c r="E53" s="59">
        <v>590</v>
      </c>
      <c r="F53" s="66">
        <v>47.3333333333333</v>
      </c>
      <c r="G53" s="62">
        <f>Table3567[[#This Row],[Usuarios Premium]]*149</f>
        <v>87910</v>
      </c>
      <c r="H53" s="62">
        <f>Table3567[[#This Row],[Empresas con datos vendidos]]*55000</f>
        <v>2603333.3333333316</v>
      </c>
      <c r="I53" s="62">
        <f>SUM(Table3567[[#This Row],[Ingreso Premium (149 c/u)]:[Ingreso por venta de datos]])</f>
        <v>2691243.3333333316</v>
      </c>
    </row>
    <row r="54" spans="2:9" x14ac:dyDescent="0.2">
      <c r="B54" s="59">
        <v>4</v>
      </c>
      <c r="C54" s="59" t="s">
        <v>22</v>
      </c>
      <c r="D54" s="65">
        <v>270000</v>
      </c>
      <c r="E54" s="59">
        <v>610</v>
      </c>
      <c r="F54" s="66">
        <v>48.8333333333333</v>
      </c>
      <c r="G54" s="62">
        <f>Table3567[[#This Row],[Usuarios Premium]]*149</f>
        <v>90890</v>
      </c>
      <c r="H54" s="62">
        <f>Table3567[[#This Row],[Empresas con datos vendidos]]*55000</f>
        <v>2685833.3333333316</v>
      </c>
      <c r="I54" s="62">
        <f>SUM(Table3567[[#This Row],[Ingreso Premium (149 c/u)]:[Ingreso por venta de datos]])</f>
        <v>2776723.3333333316</v>
      </c>
    </row>
    <row r="55" spans="2:9" x14ac:dyDescent="0.2">
      <c r="B55" s="59">
        <v>4</v>
      </c>
      <c r="C55" s="59" t="s">
        <v>23</v>
      </c>
      <c r="D55" s="65">
        <v>280000</v>
      </c>
      <c r="E55" s="59">
        <v>630</v>
      </c>
      <c r="F55" s="66">
        <v>50.3333333333333</v>
      </c>
      <c r="G55" s="62">
        <f>Table3567[[#This Row],[Usuarios Premium]]*149</f>
        <v>93870</v>
      </c>
      <c r="H55" s="62">
        <f>Table3567[[#This Row],[Empresas con datos vendidos]]*55000</f>
        <v>2768333.3333333316</v>
      </c>
      <c r="I55" s="62">
        <f>SUM(Table3567[[#This Row],[Ingreso Premium (149 c/u)]:[Ingreso por venta de datos]])</f>
        <v>2862203.3333333316</v>
      </c>
    </row>
    <row r="56" spans="2:9" x14ac:dyDescent="0.2">
      <c r="B56" s="59">
        <v>4</v>
      </c>
      <c r="C56" s="59" t="s">
        <v>161</v>
      </c>
      <c r="D56" s="65">
        <v>290000</v>
      </c>
      <c r="E56" s="59">
        <v>650</v>
      </c>
      <c r="F56" s="66">
        <v>51.8333333333333</v>
      </c>
      <c r="G56" s="62">
        <f>Table3567[[#This Row],[Usuarios Premium]]*149</f>
        <v>96850</v>
      </c>
      <c r="H56" s="62">
        <f>Table3567[[#This Row],[Empresas con datos vendidos]]*55000</f>
        <v>2850833.3333333316</v>
      </c>
      <c r="I56" s="62">
        <f>SUM(Table3567[[#This Row],[Ingreso Premium (149 c/u)]:[Ingreso por venta de datos]])</f>
        <v>2947683.3333333316</v>
      </c>
    </row>
    <row r="57" spans="2:9" x14ac:dyDescent="0.2">
      <c r="B57" s="59">
        <v>4</v>
      </c>
      <c r="C57" s="59" t="s">
        <v>162</v>
      </c>
      <c r="D57" s="65">
        <v>300000</v>
      </c>
      <c r="E57" s="59">
        <v>670</v>
      </c>
      <c r="F57" s="66">
        <v>53.3333333333333</v>
      </c>
      <c r="G57" s="62">
        <f>Table3567[[#This Row],[Usuarios Premium]]*149</f>
        <v>99830</v>
      </c>
      <c r="H57" s="62">
        <f>Table3567[[#This Row],[Empresas con datos vendidos]]*55000</f>
        <v>2933333.3333333316</v>
      </c>
      <c r="I57" s="62">
        <f>SUM(Table3567[[#This Row],[Ingreso Premium (149 c/u)]:[Ingreso por venta de datos]])</f>
        <v>3033163.3333333316</v>
      </c>
    </row>
    <row r="58" spans="2:9" x14ac:dyDescent="0.2">
      <c r="B58" s="59">
        <v>4</v>
      </c>
      <c r="C58" s="59" t="s">
        <v>163</v>
      </c>
      <c r="D58" s="65">
        <v>310000</v>
      </c>
      <c r="E58" s="59">
        <v>690</v>
      </c>
      <c r="F58" s="66">
        <v>54.8333333333333</v>
      </c>
      <c r="G58" s="62">
        <f>Table3567[[#This Row],[Usuarios Premium]]*149</f>
        <v>102810</v>
      </c>
      <c r="H58" s="62">
        <f>Table3567[[#This Row],[Empresas con datos vendidos]]*55000</f>
        <v>3015833.3333333316</v>
      </c>
      <c r="I58" s="62">
        <f>SUM(Table3567[[#This Row],[Ingreso Premium (149 c/u)]:[Ingreso por venta de datos]])</f>
        <v>3118643.3333333316</v>
      </c>
    </row>
    <row r="59" spans="2:9" x14ac:dyDescent="0.2">
      <c r="B59" s="59">
        <v>4</v>
      </c>
      <c r="C59" s="59" t="s">
        <v>158</v>
      </c>
      <c r="D59" s="65">
        <v>320000</v>
      </c>
      <c r="E59" s="59">
        <v>710</v>
      </c>
      <c r="F59" s="66">
        <v>56.3333333333333</v>
      </c>
      <c r="G59" s="62">
        <f>Table3567[[#This Row],[Usuarios Premium]]*149</f>
        <v>105790</v>
      </c>
      <c r="H59" s="62">
        <f>Table3567[[#This Row],[Empresas con datos vendidos]]*55000</f>
        <v>3098333.3333333316</v>
      </c>
      <c r="I59" s="62">
        <f>SUM(Table3567[[#This Row],[Ingreso Premium (149 c/u)]:[Ingreso por venta de datos]])</f>
        <v>3204123.3333333316</v>
      </c>
    </row>
    <row r="60" spans="2:9" x14ac:dyDescent="0.2">
      <c r="B60" s="59">
        <v>4</v>
      </c>
      <c r="C60" s="59" t="s">
        <v>157</v>
      </c>
      <c r="D60" s="65">
        <v>330000</v>
      </c>
      <c r="E60" s="59">
        <v>730</v>
      </c>
      <c r="F60" s="66">
        <v>57.8333333333333</v>
      </c>
      <c r="G60" s="62">
        <f>Table3567[[#This Row],[Usuarios Premium]]*149</f>
        <v>108770</v>
      </c>
      <c r="H60" s="62">
        <f>Table3567[[#This Row],[Empresas con datos vendidos]]*55000</f>
        <v>3180833.3333333316</v>
      </c>
      <c r="I60" s="62">
        <f>SUM(Table3567[[#This Row],[Ingreso Premium (149 c/u)]:[Ingreso por venta de datos]])</f>
        <v>3289603.3333333316</v>
      </c>
    </row>
    <row r="61" spans="2:9" x14ac:dyDescent="0.2">
      <c r="B61" s="59"/>
      <c r="C61" s="59"/>
      <c r="D61" s="59"/>
      <c r="E61" s="59"/>
      <c r="F61" s="59"/>
      <c r="G61" s="59"/>
      <c r="H61" s="59"/>
      <c r="I61" s="59"/>
    </row>
    <row r="62" spans="2:9" ht="25.5" x14ac:dyDescent="0.2">
      <c r="B62" s="60" t="s">
        <v>166</v>
      </c>
      <c r="C62" s="59"/>
      <c r="D62" s="59"/>
      <c r="E62" s="59"/>
      <c r="F62" s="59"/>
      <c r="G62" s="63">
        <f>SUM(G51:G60)</f>
        <v>953600</v>
      </c>
      <c r="H62" s="63">
        <f>SUM(H51:H60)</f>
        <v>28095833.333333317</v>
      </c>
      <c r="I62" s="63">
        <f>SUM(I51:I60)</f>
        <v>29049433.333333317</v>
      </c>
    </row>
    <row r="63" spans="2:9" x14ac:dyDescent="0.2">
      <c r="B63" s="59" t="s">
        <v>81</v>
      </c>
      <c r="C63" s="59"/>
      <c r="D63" s="65"/>
      <c r="E63" s="65"/>
      <c r="F63" s="59"/>
      <c r="G63" s="62"/>
      <c r="H63" s="62"/>
      <c r="I63" s="62"/>
    </row>
    <row r="65" spans="2:9" x14ac:dyDescent="0.2">
      <c r="B65" s="58" t="s">
        <v>29</v>
      </c>
      <c r="C65" s="58" t="s">
        <v>149</v>
      </c>
      <c r="D65" s="58" t="s">
        <v>150</v>
      </c>
      <c r="E65" s="58" t="s">
        <v>151</v>
      </c>
      <c r="F65" s="58" t="s">
        <v>152</v>
      </c>
      <c r="G65" s="58" t="s">
        <v>153</v>
      </c>
      <c r="H65" s="58" t="s">
        <v>154</v>
      </c>
      <c r="I65" s="58" t="s">
        <v>155</v>
      </c>
    </row>
    <row r="66" spans="2:9" x14ac:dyDescent="0.2">
      <c r="B66" s="60">
        <v>5</v>
      </c>
      <c r="C66" s="59" t="s">
        <v>159</v>
      </c>
      <c r="D66" s="65">
        <v>330000</v>
      </c>
      <c r="E66" s="59">
        <v>710</v>
      </c>
      <c r="F66" s="66">
        <v>56.3333333333333</v>
      </c>
      <c r="G66" s="62">
        <f>Table35678[[#This Row],[Usuarios Premium]]*149</f>
        <v>105790</v>
      </c>
      <c r="H66" s="62">
        <f>Table35678[[#This Row],[Empresas con datos vendidos]]*55000</f>
        <v>3098333.3333333316</v>
      </c>
      <c r="I66" s="62">
        <f>SUM(Table35678[[#This Row],[Ingreso Premium (149 c/u)]:[Ingreso por venta de datos]])</f>
        <v>3204123.3333333316</v>
      </c>
    </row>
    <row r="67" spans="2:9" x14ac:dyDescent="0.2">
      <c r="B67" s="60">
        <v>5</v>
      </c>
      <c r="C67" s="59" t="s">
        <v>160</v>
      </c>
      <c r="D67" s="65">
        <v>350000</v>
      </c>
      <c r="E67" s="59">
        <v>730</v>
      </c>
      <c r="F67" s="66">
        <v>57.8333333333333</v>
      </c>
      <c r="G67" s="62">
        <f>Table35678[[#This Row],[Usuarios Premium]]*149</f>
        <v>108770</v>
      </c>
      <c r="H67" s="62">
        <f>Table35678[[#This Row],[Empresas con datos vendidos]]*55000</f>
        <v>3180833.3333333316</v>
      </c>
      <c r="I67" s="62">
        <f>SUM(Table35678[[#This Row],[Ingreso Premium (149 c/u)]:[Ingreso por venta de datos]])</f>
        <v>3289603.3333333316</v>
      </c>
    </row>
    <row r="68" spans="2:9" x14ac:dyDescent="0.2">
      <c r="B68" s="59">
        <v>5</v>
      </c>
      <c r="C68" s="59" t="s">
        <v>19</v>
      </c>
      <c r="D68" s="65">
        <v>370000</v>
      </c>
      <c r="E68" s="59">
        <v>750</v>
      </c>
      <c r="F68" s="66">
        <v>59.3333333333333</v>
      </c>
      <c r="G68" s="62">
        <f>Table35678[[#This Row],[Usuarios Premium]]*149</f>
        <v>111750</v>
      </c>
      <c r="H68" s="62">
        <f>Table35678[[#This Row],[Empresas con datos vendidos]]*55000</f>
        <v>3263333.3333333316</v>
      </c>
      <c r="I68" s="62">
        <f>SUM(Table35678[[#This Row],[Ingreso Premium (149 c/u)]:[Ingreso por venta de datos]])</f>
        <v>3375083.3333333316</v>
      </c>
    </row>
    <row r="69" spans="2:9" x14ac:dyDescent="0.2">
      <c r="B69" s="59">
        <v>5</v>
      </c>
      <c r="C69" s="59" t="s">
        <v>20</v>
      </c>
      <c r="D69" s="65">
        <v>390000</v>
      </c>
      <c r="E69" s="59">
        <v>770</v>
      </c>
      <c r="F69" s="66">
        <v>60.8333333333333</v>
      </c>
      <c r="G69" s="62">
        <f>Table35678[[#This Row],[Usuarios Premium]]*149</f>
        <v>114730</v>
      </c>
      <c r="H69" s="62">
        <f>Table35678[[#This Row],[Empresas con datos vendidos]]*55000</f>
        <v>3345833.3333333316</v>
      </c>
      <c r="I69" s="62">
        <f>SUM(Table35678[[#This Row],[Ingreso Premium (149 c/u)]:[Ingreso por venta de datos]])</f>
        <v>3460563.3333333316</v>
      </c>
    </row>
    <row r="70" spans="2:9" x14ac:dyDescent="0.2">
      <c r="B70" s="59">
        <v>5</v>
      </c>
      <c r="C70" s="59" t="s">
        <v>21</v>
      </c>
      <c r="D70" s="65">
        <v>410000</v>
      </c>
      <c r="E70" s="59">
        <v>790</v>
      </c>
      <c r="F70" s="66">
        <v>62.3333333333333</v>
      </c>
      <c r="G70" s="62">
        <f>Table35678[[#This Row],[Usuarios Premium]]*149</f>
        <v>117710</v>
      </c>
      <c r="H70" s="62">
        <f>Table35678[[#This Row],[Empresas con datos vendidos]]*55000</f>
        <v>3428333.3333333316</v>
      </c>
      <c r="I70" s="62">
        <f>SUM(Table35678[[#This Row],[Ingreso Premium (149 c/u)]:[Ingreso por venta de datos]])</f>
        <v>3546043.3333333316</v>
      </c>
    </row>
    <row r="71" spans="2:9" x14ac:dyDescent="0.2">
      <c r="B71" s="59">
        <v>5</v>
      </c>
      <c r="C71" s="59" t="s">
        <v>22</v>
      </c>
      <c r="D71" s="65">
        <v>430000</v>
      </c>
      <c r="E71" s="59">
        <v>810</v>
      </c>
      <c r="F71" s="66">
        <v>63.8333333333333</v>
      </c>
      <c r="G71" s="62">
        <f>Table35678[[#This Row],[Usuarios Premium]]*149</f>
        <v>120690</v>
      </c>
      <c r="H71" s="62">
        <f>Table35678[[#This Row],[Empresas con datos vendidos]]*55000</f>
        <v>3510833.3333333316</v>
      </c>
      <c r="I71" s="62">
        <f>SUM(Table35678[[#This Row],[Ingreso Premium (149 c/u)]:[Ingreso por venta de datos]])</f>
        <v>3631523.3333333316</v>
      </c>
    </row>
    <row r="72" spans="2:9" x14ac:dyDescent="0.2">
      <c r="B72" s="59">
        <v>5</v>
      </c>
      <c r="C72" s="59" t="s">
        <v>23</v>
      </c>
      <c r="D72" s="65">
        <v>450000</v>
      </c>
      <c r="E72" s="59">
        <v>830</v>
      </c>
      <c r="F72" s="66">
        <v>65.3333333333333</v>
      </c>
      <c r="G72" s="62">
        <f>Table35678[[#This Row],[Usuarios Premium]]*149</f>
        <v>123670</v>
      </c>
      <c r="H72" s="62">
        <f>Table35678[[#This Row],[Empresas con datos vendidos]]*55000</f>
        <v>3593333.3333333316</v>
      </c>
      <c r="I72" s="62">
        <f>SUM(Table35678[[#This Row],[Ingreso Premium (149 c/u)]:[Ingreso por venta de datos]])</f>
        <v>3717003.3333333316</v>
      </c>
    </row>
    <row r="73" spans="2:9" x14ac:dyDescent="0.2">
      <c r="B73" s="59">
        <v>5</v>
      </c>
      <c r="C73" s="59" t="s">
        <v>161</v>
      </c>
      <c r="D73" s="65">
        <v>470000</v>
      </c>
      <c r="E73" s="59">
        <v>850</v>
      </c>
      <c r="F73" s="66">
        <v>66.8333333333333</v>
      </c>
      <c r="G73" s="62">
        <f>Table35678[[#This Row],[Usuarios Premium]]*149</f>
        <v>126650</v>
      </c>
      <c r="H73" s="62">
        <f>Table35678[[#This Row],[Empresas con datos vendidos]]*55000</f>
        <v>3675833.3333333316</v>
      </c>
      <c r="I73" s="62">
        <f>SUM(Table35678[[#This Row],[Ingreso Premium (149 c/u)]:[Ingreso por venta de datos]])</f>
        <v>3802483.3333333316</v>
      </c>
    </row>
    <row r="74" spans="2:9" x14ac:dyDescent="0.2">
      <c r="B74" s="59">
        <v>4</v>
      </c>
      <c r="C74" s="59" t="s">
        <v>162</v>
      </c>
      <c r="D74" s="65">
        <v>490000</v>
      </c>
      <c r="E74" s="59">
        <v>870</v>
      </c>
      <c r="F74" s="66">
        <v>68.3333333333333</v>
      </c>
      <c r="G74" s="62">
        <f>Table35678[[#This Row],[Usuarios Premium]]*149</f>
        <v>129630</v>
      </c>
      <c r="H74" s="62">
        <f>Table35678[[#This Row],[Empresas con datos vendidos]]*55000</f>
        <v>3758333.3333333316</v>
      </c>
      <c r="I74" s="62">
        <f>SUM(Table35678[[#This Row],[Ingreso Premium (149 c/u)]:[Ingreso por venta de datos]])</f>
        <v>3887963.3333333316</v>
      </c>
    </row>
    <row r="75" spans="2:9" x14ac:dyDescent="0.2">
      <c r="B75" s="59">
        <v>5</v>
      </c>
      <c r="C75" s="59" t="s">
        <v>163</v>
      </c>
      <c r="D75" s="65">
        <v>510000</v>
      </c>
      <c r="E75" s="59">
        <v>890</v>
      </c>
      <c r="F75" s="66">
        <v>69.8333333333333</v>
      </c>
      <c r="G75" s="62">
        <f>Table35678[[#This Row],[Usuarios Premium]]*149</f>
        <v>132610</v>
      </c>
      <c r="H75" s="62">
        <f>Table35678[[#This Row],[Empresas con datos vendidos]]*55000</f>
        <v>3840833.3333333316</v>
      </c>
      <c r="I75" s="62">
        <f>SUM(Table35678[[#This Row],[Ingreso Premium (149 c/u)]:[Ingreso por venta de datos]])</f>
        <v>3973443.3333333316</v>
      </c>
    </row>
    <row r="76" spans="2:9" x14ac:dyDescent="0.2">
      <c r="B76" s="59">
        <v>5</v>
      </c>
      <c r="C76" s="59" t="s">
        <v>158</v>
      </c>
      <c r="D76" s="65">
        <v>530000</v>
      </c>
      <c r="E76" s="59">
        <v>910</v>
      </c>
      <c r="F76" s="66">
        <v>71.3333333333333</v>
      </c>
      <c r="G76" s="62">
        <f>Table35678[[#This Row],[Usuarios Premium]]*149</f>
        <v>135590</v>
      </c>
      <c r="H76" s="62">
        <f>Table35678[[#This Row],[Empresas con datos vendidos]]*55000</f>
        <v>3923333.3333333316</v>
      </c>
      <c r="I76" s="62">
        <f>SUM(Table35678[[#This Row],[Ingreso Premium (149 c/u)]:[Ingreso por venta de datos]])</f>
        <v>4058923.3333333316</v>
      </c>
    </row>
    <row r="77" spans="2:9" x14ac:dyDescent="0.2">
      <c r="B77" s="59">
        <v>5</v>
      </c>
      <c r="C77" s="59" t="s">
        <v>157</v>
      </c>
      <c r="D77" s="65">
        <v>550000</v>
      </c>
      <c r="E77" s="59">
        <v>930</v>
      </c>
      <c r="F77" s="66">
        <v>72.8333333333333</v>
      </c>
      <c r="G77" s="62">
        <f>Table35678[[#This Row],[Usuarios Premium]]*149</f>
        <v>138570</v>
      </c>
      <c r="H77" s="62">
        <f>Table35678[[#This Row],[Empresas con datos vendidos]]*55000</f>
        <v>4005833.3333333316</v>
      </c>
      <c r="I77" s="62">
        <f>SUM(Table35678[[#This Row],[Ingreso Premium (149 c/u)]:[Ingreso por venta de datos]])</f>
        <v>4144403.3333333316</v>
      </c>
    </row>
    <row r="78" spans="2:9" x14ac:dyDescent="0.2">
      <c r="B78" s="59"/>
      <c r="C78" s="59"/>
      <c r="D78" s="59"/>
      <c r="E78" s="59"/>
      <c r="F78" s="59"/>
      <c r="G78" s="59"/>
      <c r="H78" s="59"/>
      <c r="I78" s="59"/>
    </row>
    <row r="79" spans="2:9" ht="25.5" x14ac:dyDescent="0.2">
      <c r="B79" s="60" t="s">
        <v>167</v>
      </c>
      <c r="C79" s="59"/>
      <c r="D79" s="59"/>
      <c r="E79" s="59"/>
      <c r="F79" s="59"/>
      <c r="G79" s="63">
        <f>SUM(G68:G77)</f>
        <v>1251600</v>
      </c>
      <c r="H79" s="63">
        <f>SUM(H68:H77)</f>
        <v>36345833.333333313</v>
      </c>
      <c r="I79" s="63">
        <f>SUM(I68:I77)</f>
        <v>37597433.333333313</v>
      </c>
    </row>
    <row r="80" spans="2:9" x14ac:dyDescent="0.2">
      <c r="B80" s="59" t="s">
        <v>81</v>
      </c>
      <c r="C80" s="59"/>
      <c r="D80" s="65"/>
      <c r="E80" s="65"/>
      <c r="F80" s="59"/>
      <c r="G80" s="62"/>
      <c r="H80" s="62"/>
      <c r="I80" s="6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FDB4-2911-4DC0-80DD-B4F94804E13B}">
  <sheetPr>
    <tabColor rgb="FF92D050"/>
  </sheetPr>
  <dimension ref="B2:T79"/>
  <sheetViews>
    <sheetView tabSelected="1" topLeftCell="L1" workbookViewId="0">
      <selection activeCell="H17" sqref="H17"/>
    </sheetView>
  </sheetViews>
  <sheetFormatPr defaultRowHeight="12.75" x14ac:dyDescent="0.2"/>
  <cols>
    <col min="2" max="2" width="13" customWidth="1"/>
    <col min="3" max="3" width="11.25" bestFit="1" customWidth="1"/>
    <col min="4" max="4" width="11.25" customWidth="1"/>
    <col min="5" max="5" width="16.25" customWidth="1"/>
    <col min="6" max="6" width="15.75" customWidth="1"/>
    <col min="8" max="8" width="10.375" bestFit="1" customWidth="1"/>
    <col min="9" max="9" width="8.75" bestFit="1" customWidth="1"/>
    <col min="10" max="10" width="9.375" bestFit="1" customWidth="1"/>
    <col min="11" max="11" width="10.5" customWidth="1"/>
    <col min="12" max="12" width="12.625" customWidth="1"/>
    <col min="13" max="13" width="14.25" customWidth="1"/>
    <col min="14" max="14" width="11.75" customWidth="1"/>
    <col min="15" max="15" width="14.5" customWidth="1"/>
    <col min="16" max="16" width="18.875" customWidth="1"/>
    <col min="17" max="17" width="10.125" bestFit="1" customWidth="1"/>
    <col min="18" max="18" width="17.5" bestFit="1" customWidth="1"/>
    <col min="19" max="19" width="29.25" customWidth="1"/>
  </cols>
  <sheetData>
    <row r="2" spans="2:20" ht="63.75" x14ac:dyDescent="0.2">
      <c r="B2" s="58" t="s">
        <v>149</v>
      </c>
      <c r="C2" s="58" t="s">
        <v>168</v>
      </c>
      <c r="D2" s="58" t="s">
        <v>151</v>
      </c>
      <c r="E2" s="58" t="s">
        <v>152</v>
      </c>
      <c r="F2" s="58" t="s">
        <v>169</v>
      </c>
      <c r="G2" s="58" t="s">
        <v>170</v>
      </c>
      <c r="H2" s="58" t="s">
        <v>106</v>
      </c>
      <c r="I2" s="58" t="s">
        <v>105</v>
      </c>
      <c r="J2" s="58" t="s">
        <v>107</v>
      </c>
      <c r="K2" s="58" t="s">
        <v>108</v>
      </c>
      <c r="L2" s="58" t="s">
        <v>173</v>
      </c>
      <c r="M2" s="58" t="s">
        <v>110</v>
      </c>
      <c r="N2" s="58" t="s">
        <v>112</v>
      </c>
      <c r="O2" s="58" t="s">
        <v>174</v>
      </c>
      <c r="P2" s="58" t="s">
        <v>175</v>
      </c>
      <c r="Q2" s="58" t="s">
        <v>176</v>
      </c>
      <c r="R2" s="58" t="s">
        <v>171</v>
      </c>
      <c r="S2" s="58" t="s">
        <v>172</v>
      </c>
    </row>
    <row r="3" spans="2:20" x14ac:dyDescent="0.2">
      <c r="B3" s="59" t="s">
        <v>159</v>
      </c>
      <c r="C3" s="62">
        <f>5040000/12</f>
        <v>420000</v>
      </c>
      <c r="D3" s="62">
        <v>0</v>
      </c>
      <c r="E3" s="62">
        <v>0</v>
      </c>
      <c r="F3" s="62">
        <f>SUM(Table8[[#This Row],[Usuarios Premium]:[Empresas con datos vendidos]])</f>
        <v>0</v>
      </c>
      <c r="G3" s="62">
        <v>25000</v>
      </c>
      <c r="H3" s="68">
        <v>12043</v>
      </c>
      <c r="I3" s="68">
        <v>17890</v>
      </c>
      <c r="J3" s="68">
        <v>1300</v>
      </c>
      <c r="K3" s="68">
        <v>28000</v>
      </c>
      <c r="L3" s="67">
        <v>42600</v>
      </c>
      <c r="M3" s="67">
        <v>14800</v>
      </c>
      <c r="N3" s="62">
        <v>0</v>
      </c>
      <c r="O3" s="62">
        <v>54000</v>
      </c>
      <c r="P3" s="62">
        <f t="shared" ref="P3:P14" si="0">(1027223/5)/12</f>
        <v>17120.383333333335</v>
      </c>
      <c r="Q3" s="62">
        <f t="shared" ref="Q3:Q14" si="1">(4108892/5)/12</f>
        <v>68481.53333333334</v>
      </c>
      <c r="R3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3" s="62">
        <f>Table8[[#This Row],[Total Ingresos]]-Table8[[#This Row],[Total Egresos]]</f>
        <v>-701234.91666666674</v>
      </c>
    </row>
    <row r="4" spans="2:20" x14ac:dyDescent="0.2">
      <c r="B4" s="59" t="s">
        <v>160</v>
      </c>
      <c r="C4" s="62">
        <f t="shared" ref="C4:C14" si="2">5040000/12</f>
        <v>420000</v>
      </c>
      <c r="D4" s="62">
        <v>0</v>
      </c>
      <c r="E4" s="62">
        <v>0</v>
      </c>
      <c r="F4" s="62">
        <f>SUM(Table8[[#This Row],[Usuarios Premium]:[Empresas con datos vendidos]])</f>
        <v>0</v>
      </c>
      <c r="G4" s="62">
        <v>25000</v>
      </c>
      <c r="H4" s="68">
        <v>12043</v>
      </c>
      <c r="I4" s="68">
        <v>17890</v>
      </c>
      <c r="J4" s="68">
        <v>1300</v>
      </c>
      <c r="K4" s="68">
        <v>28000</v>
      </c>
      <c r="L4" s="67">
        <v>42600</v>
      </c>
      <c r="M4" s="67">
        <v>14800</v>
      </c>
      <c r="N4" s="62">
        <v>0</v>
      </c>
      <c r="O4" s="62">
        <v>54000</v>
      </c>
      <c r="P4" s="62">
        <f t="shared" si="0"/>
        <v>17120.383333333335</v>
      </c>
      <c r="Q4" s="62">
        <f t="shared" si="1"/>
        <v>68481.53333333334</v>
      </c>
      <c r="R4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4" s="62">
        <f>Table8[[#This Row],[Total Ingresos]]-Table8[[#This Row],[Total Egresos]]</f>
        <v>-701234.91666666674</v>
      </c>
    </row>
    <row r="5" spans="2:20" x14ac:dyDescent="0.2">
      <c r="B5" s="59" t="s">
        <v>19</v>
      </c>
      <c r="C5" s="62">
        <f t="shared" si="2"/>
        <v>420000</v>
      </c>
      <c r="D5" s="62">
        <v>0</v>
      </c>
      <c r="E5" s="62">
        <v>0</v>
      </c>
      <c r="F5" s="62">
        <f>SUM(Table8[[#This Row],[Usuarios Premium]:[Empresas con datos vendidos]])</f>
        <v>0</v>
      </c>
      <c r="G5" s="62">
        <v>25000</v>
      </c>
      <c r="H5" s="68">
        <v>12043</v>
      </c>
      <c r="I5" s="68">
        <v>17890</v>
      </c>
      <c r="J5" s="68">
        <v>1300</v>
      </c>
      <c r="K5" s="68">
        <v>28000</v>
      </c>
      <c r="L5" s="67">
        <v>42600</v>
      </c>
      <c r="M5" s="67">
        <v>14800</v>
      </c>
      <c r="N5" s="62">
        <v>0</v>
      </c>
      <c r="O5" s="62">
        <v>54000</v>
      </c>
      <c r="P5" s="62">
        <f t="shared" si="0"/>
        <v>17120.383333333335</v>
      </c>
      <c r="Q5" s="62">
        <f t="shared" si="1"/>
        <v>68481.53333333334</v>
      </c>
      <c r="R5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5" s="62">
        <f>Table8[[#This Row],[Total Ingresos]]-Table8[[#This Row],[Total Egresos]]</f>
        <v>-701234.91666666674</v>
      </c>
    </row>
    <row r="6" spans="2:20" x14ac:dyDescent="0.2">
      <c r="B6" s="59" t="s">
        <v>20</v>
      </c>
      <c r="C6" s="62">
        <f t="shared" si="2"/>
        <v>420000</v>
      </c>
      <c r="D6" s="62">
        <v>0</v>
      </c>
      <c r="E6" s="62">
        <v>0</v>
      </c>
      <c r="F6" s="62">
        <f>SUM(Table8[[#This Row],[Usuarios Premium]:[Empresas con datos vendidos]])</f>
        <v>0</v>
      </c>
      <c r="G6" s="62">
        <v>25000</v>
      </c>
      <c r="H6" s="68">
        <v>12043</v>
      </c>
      <c r="I6" s="68">
        <v>17890</v>
      </c>
      <c r="J6" s="68">
        <v>1300</v>
      </c>
      <c r="K6" s="68">
        <v>28000</v>
      </c>
      <c r="L6" s="67">
        <v>42600</v>
      </c>
      <c r="M6" s="67">
        <v>14800</v>
      </c>
      <c r="N6" s="62">
        <v>0</v>
      </c>
      <c r="O6" s="62">
        <v>54000</v>
      </c>
      <c r="P6" s="62">
        <f t="shared" si="0"/>
        <v>17120.383333333335</v>
      </c>
      <c r="Q6" s="62">
        <f t="shared" si="1"/>
        <v>68481.53333333334</v>
      </c>
      <c r="R6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6" s="62">
        <f>Table8[[#This Row],[Total Ingresos]]-Table8[[#This Row],[Total Egresos]]</f>
        <v>-701234.91666666674</v>
      </c>
    </row>
    <row r="7" spans="2:20" x14ac:dyDescent="0.2">
      <c r="B7" s="59" t="s">
        <v>21</v>
      </c>
      <c r="C7" s="62">
        <f t="shared" si="2"/>
        <v>420000</v>
      </c>
      <c r="D7" s="62">
        <v>0</v>
      </c>
      <c r="E7" s="62">
        <v>0</v>
      </c>
      <c r="F7" s="62">
        <f>SUM(Table8[[#This Row],[Usuarios Premium]:[Empresas con datos vendidos]])</f>
        <v>0</v>
      </c>
      <c r="G7" s="62">
        <v>25000</v>
      </c>
      <c r="H7" s="68">
        <v>12043</v>
      </c>
      <c r="I7" s="68">
        <v>17890</v>
      </c>
      <c r="J7" s="68">
        <v>1300</v>
      </c>
      <c r="K7" s="68">
        <v>28000</v>
      </c>
      <c r="L7" s="67">
        <v>42600</v>
      </c>
      <c r="M7" s="67">
        <v>14800</v>
      </c>
      <c r="N7" s="62">
        <v>0</v>
      </c>
      <c r="O7" s="62">
        <v>54000</v>
      </c>
      <c r="P7" s="62">
        <f t="shared" si="0"/>
        <v>17120.383333333335</v>
      </c>
      <c r="Q7" s="62">
        <f t="shared" si="1"/>
        <v>68481.53333333334</v>
      </c>
      <c r="R7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7" s="62">
        <f>Table8[[#This Row],[Total Ingresos]]-Table8[[#This Row],[Total Egresos]]</f>
        <v>-701234.91666666674</v>
      </c>
    </row>
    <row r="8" spans="2:20" x14ac:dyDescent="0.2">
      <c r="B8" s="59" t="s">
        <v>22</v>
      </c>
      <c r="C8" s="62">
        <f t="shared" si="2"/>
        <v>420000</v>
      </c>
      <c r="D8" s="62">
        <v>1490</v>
      </c>
      <c r="E8" s="62">
        <v>55000</v>
      </c>
      <c r="F8" s="62">
        <f>SUM(Table8[[#This Row],[Usuarios Premium]:[Empresas con datos vendidos]])</f>
        <v>56490</v>
      </c>
      <c r="G8" s="62">
        <v>25000</v>
      </c>
      <c r="H8" s="68">
        <v>12043</v>
      </c>
      <c r="I8" s="68">
        <v>17890</v>
      </c>
      <c r="J8" s="68">
        <v>1300</v>
      </c>
      <c r="K8" s="68">
        <v>28000</v>
      </c>
      <c r="L8" s="67">
        <v>42600</v>
      </c>
      <c r="M8" s="67">
        <v>14800</v>
      </c>
      <c r="N8" s="62">
        <v>0</v>
      </c>
      <c r="O8" s="62">
        <v>54000</v>
      </c>
      <c r="P8" s="62">
        <f t="shared" si="0"/>
        <v>17120.383333333335</v>
      </c>
      <c r="Q8" s="62">
        <f t="shared" si="1"/>
        <v>68481.53333333334</v>
      </c>
      <c r="R8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701234.91666666674</v>
      </c>
      <c r="S8" s="62">
        <f>Table8[[#This Row],[Total Ingresos]]-Table8[[#This Row],[Total Egresos]]</f>
        <v>-644744.91666666674</v>
      </c>
    </row>
    <row r="9" spans="2:20" x14ac:dyDescent="0.2">
      <c r="B9" s="59" t="s">
        <v>23</v>
      </c>
      <c r="C9" s="62">
        <f t="shared" si="2"/>
        <v>420000</v>
      </c>
      <c r="D9" s="62">
        <v>3725</v>
      </c>
      <c r="E9" s="62">
        <v>165000</v>
      </c>
      <c r="F9" s="62">
        <f>SUM(Table8[[#This Row],[Usuarios Premium]:[Empresas con datos vendidos]])</f>
        <v>168725</v>
      </c>
      <c r="G9" s="62">
        <v>25000</v>
      </c>
      <c r="H9" s="68">
        <v>12043</v>
      </c>
      <c r="I9" s="68">
        <v>17890</v>
      </c>
      <c r="J9" s="68">
        <v>1300</v>
      </c>
      <c r="K9" s="68">
        <v>28000</v>
      </c>
      <c r="L9" s="67">
        <v>42600</v>
      </c>
      <c r="M9" s="67">
        <v>14800</v>
      </c>
      <c r="N9" s="62">
        <v>40000</v>
      </c>
      <c r="O9" s="62">
        <v>54000</v>
      </c>
      <c r="P9" s="62">
        <f t="shared" si="0"/>
        <v>17120.383333333335</v>
      </c>
      <c r="Q9" s="62">
        <f t="shared" si="1"/>
        <v>68481.53333333334</v>
      </c>
      <c r="R9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9" s="62">
        <f>Table8[[#This Row],[Total Ingresos]]-Table8[[#This Row],[Total Egresos]]</f>
        <v>-572509.91666666674</v>
      </c>
    </row>
    <row r="10" spans="2:20" x14ac:dyDescent="0.2">
      <c r="B10" s="59" t="s">
        <v>161</v>
      </c>
      <c r="C10" s="62">
        <f t="shared" si="2"/>
        <v>420000</v>
      </c>
      <c r="D10" s="62">
        <v>4470</v>
      </c>
      <c r="E10" s="62">
        <v>220000</v>
      </c>
      <c r="F10" s="62">
        <f>SUM(Table8[[#This Row],[Usuarios Premium]:[Empresas con datos vendidos]])</f>
        <v>224470</v>
      </c>
      <c r="G10" s="62">
        <v>25000</v>
      </c>
      <c r="H10" s="68">
        <v>12043</v>
      </c>
      <c r="I10" s="68">
        <v>17890</v>
      </c>
      <c r="J10" s="68">
        <v>1300</v>
      </c>
      <c r="K10" s="68">
        <v>28000</v>
      </c>
      <c r="L10" s="67">
        <v>42600</v>
      </c>
      <c r="M10" s="67">
        <v>14800</v>
      </c>
      <c r="N10" s="62">
        <v>40000</v>
      </c>
      <c r="O10" s="62">
        <v>54000</v>
      </c>
      <c r="P10" s="62">
        <f t="shared" si="0"/>
        <v>17120.383333333335</v>
      </c>
      <c r="Q10" s="62">
        <f t="shared" si="1"/>
        <v>68481.53333333334</v>
      </c>
      <c r="R10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10" s="62">
        <f>Table8[[#This Row],[Total Ingresos]]-Table8[[#This Row],[Total Egresos]]</f>
        <v>-516764.91666666674</v>
      </c>
    </row>
    <row r="11" spans="2:20" x14ac:dyDescent="0.2">
      <c r="B11" s="59" t="s">
        <v>162</v>
      </c>
      <c r="C11" s="62">
        <f t="shared" si="2"/>
        <v>420000</v>
      </c>
      <c r="D11" s="62">
        <v>6705</v>
      </c>
      <c r="E11" s="62">
        <v>275000</v>
      </c>
      <c r="F11" s="62">
        <f>SUM(Table8[[#This Row],[Usuarios Premium]:[Empresas con datos vendidos]])</f>
        <v>281705</v>
      </c>
      <c r="G11" s="62">
        <v>25000</v>
      </c>
      <c r="H11" s="68">
        <v>12043</v>
      </c>
      <c r="I11" s="68">
        <v>17890</v>
      </c>
      <c r="J11" s="68">
        <v>1300</v>
      </c>
      <c r="K11" s="68">
        <v>28000</v>
      </c>
      <c r="L11" s="67">
        <v>42600</v>
      </c>
      <c r="M11" s="67">
        <v>14800</v>
      </c>
      <c r="N11" s="62">
        <v>40000</v>
      </c>
      <c r="O11" s="62">
        <v>54000</v>
      </c>
      <c r="P11" s="62">
        <f t="shared" si="0"/>
        <v>17120.383333333335</v>
      </c>
      <c r="Q11" s="62">
        <f t="shared" si="1"/>
        <v>68481.53333333334</v>
      </c>
      <c r="R11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11" s="62">
        <f>Table8[[#This Row],[Total Ingresos]]-Table8[[#This Row],[Total Egresos]]</f>
        <v>-459529.91666666674</v>
      </c>
    </row>
    <row r="12" spans="2:20" x14ac:dyDescent="0.2">
      <c r="B12" s="59" t="s">
        <v>163</v>
      </c>
      <c r="C12" s="62">
        <f t="shared" si="2"/>
        <v>420000</v>
      </c>
      <c r="D12" s="62">
        <v>7450</v>
      </c>
      <c r="E12" s="62">
        <v>440000</v>
      </c>
      <c r="F12" s="62">
        <f>SUM(Table8[[#This Row],[Usuarios Premium]:[Empresas con datos vendidos]])</f>
        <v>447450</v>
      </c>
      <c r="G12" s="62">
        <v>25000</v>
      </c>
      <c r="H12" s="68">
        <v>12043</v>
      </c>
      <c r="I12" s="68">
        <v>17890</v>
      </c>
      <c r="J12" s="68">
        <v>1300</v>
      </c>
      <c r="K12" s="68">
        <v>28000</v>
      </c>
      <c r="L12" s="67">
        <v>42600</v>
      </c>
      <c r="M12" s="67">
        <v>14800</v>
      </c>
      <c r="N12" s="62">
        <v>40000</v>
      </c>
      <c r="O12" s="62">
        <v>54000</v>
      </c>
      <c r="P12" s="62">
        <f t="shared" si="0"/>
        <v>17120.383333333335</v>
      </c>
      <c r="Q12" s="62">
        <f t="shared" si="1"/>
        <v>68481.53333333334</v>
      </c>
      <c r="R12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12" s="62">
        <f>Table8[[#This Row],[Total Ingresos]]-Table8[[#This Row],[Total Egresos]]</f>
        <v>-293784.91666666674</v>
      </c>
    </row>
    <row r="13" spans="2:20" x14ac:dyDescent="0.2">
      <c r="B13" s="59" t="s">
        <v>158</v>
      </c>
      <c r="C13" s="62">
        <f t="shared" si="2"/>
        <v>420000</v>
      </c>
      <c r="D13" s="62">
        <v>10281</v>
      </c>
      <c r="E13" s="62">
        <v>550000</v>
      </c>
      <c r="F13" s="62">
        <f>SUM(Table8[[#This Row],[Usuarios Premium]:[Empresas con datos vendidos]])</f>
        <v>560281</v>
      </c>
      <c r="G13" s="62">
        <v>25000</v>
      </c>
      <c r="H13" s="68">
        <v>12043</v>
      </c>
      <c r="I13" s="68">
        <v>17890</v>
      </c>
      <c r="J13" s="68">
        <v>1300</v>
      </c>
      <c r="K13" s="68">
        <v>28000</v>
      </c>
      <c r="L13" s="67">
        <v>42600</v>
      </c>
      <c r="M13" s="67">
        <v>14800</v>
      </c>
      <c r="N13" s="62">
        <v>40000</v>
      </c>
      <c r="O13" s="62">
        <v>54000</v>
      </c>
      <c r="P13" s="62">
        <f t="shared" si="0"/>
        <v>17120.383333333335</v>
      </c>
      <c r="Q13" s="62">
        <f t="shared" si="1"/>
        <v>68481.53333333334</v>
      </c>
      <c r="R13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13" s="62">
        <f>Table8[[#This Row],[Total Ingresos]]-Table8[[#This Row],[Total Egresos]]</f>
        <v>-180953.91666666674</v>
      </c>
    </row>
    <row r="14" spans="2:20" x14ac:dyDescent="0.2">
      <c r="B14" s="59" t="s">
        <v>157</v>
      </c>
      <c r="C14" s="62">
        <f t="shared" si="2"/>
        <v>420000</v>
      </c>
      <c r="D14" s="62">
        <v>14900</v>
      </c>
      <c r="E14" s="62">
        <v>715000</v>
      </c>
      <c r="F14" s="62">
        <f>SUM(Table8[[#This Row],[Usuarios Premium]:[Empresas con datos vendidos]])</f>
        <v>729900</v>
      </c>
      <c r="G14" s="62">
        <v>25000</v>
      </c>
      <c r="H14" s="68">
        <v>12043</v>
      </c>
      <c r="I14" s="68">
        <v>17890</v>
      </c>
      <c r="J14" s="68">
        <v>1300</v>
      </c>
      <c r="K14" s="68">
        <v>28000</v>
      </c>
      <c r="L14" s="67">
        <v>42600</v>
      </c>
      <c r="M14" s="67">
        <v>14800</v>
      </c>
      <c r="N14" s="62">
        <v>40000</v>
      </c>
      <c r="O14" s="62">
        <v>54000</v>
      </c>
      <c r="P14" s="62">
        <f t="shared" si="0"/>
        <v>17120.383333333335</v>
      </c>
      <c r="Q14" s="62">
        <f t="shared" si="1"/>
        <v>68481.53333333334</v>
      </c>
      <c r="R14" s="62">
        <f>Table8[[#This Row],[Prestamo Gobierno]]+Table8[[#This Row],[Prestamo Bancario]]+Table8[[#This Row],[Servidores]]+Table8[[#This Row],[Publicidad]]+Table8[[#This Row],[Personal de Cocina]]+Table8[[#This Row],[Personal de Seguridad de Instalaciones]]+Table8[[#This Row],[Personal de Limpieza]]+Table8[[#This Row],[Internet]]+Table8[[#This Row],[Luz]]+Table8[[#This Row],[Agua]]+Table8[[#This Row],[Renta]]+Table8[[#This Row],[Sueldo]]</f>
        <v>741234.91666666674</v>
      </c>
      <c r="S14" s="62">
        <f>Table8[[#This Row],[Total Ingresos]]-Table8[[#This Row],[Total Egresos]]</f>
        <v>-11334.916666666744</v>
      </c>
    </row>
    <row r="15" spans="2:20" x14ac:dyDescent="0.2">
      <c r="B15" s="59" t="s">
        <v>156</v>
      </c>
      <c r="C15" s="62">
        <f>SUM(C3:C14)</f>
        <v>5040000</v>
      </c>
      <c r="D15" s="62">
        <f t="shared" ref="D15:H15" si="3">SUM(D3:D14)</f>
        <v>49021</v>
      </c>
      <c r="E15" s="62">
        <f t="shared" si="3"/>
        <v>2420000</v>
      </c>
      <c r="F15" s="62">
        <f t="shared" si="3"/>
        <v>2469021</v>
      </c>
      <c r="G15" s="62">
        <f t="shared" si="3"/>
        <v>300000</v>
      </c>
      <c r="H15" s="62">
        <f t="shared" si="3"/>
        <v>144516</v>
      </c>
      <c r="I15" s="62">
        <f t="shared" ref="I15" si="4">SUM(I3:I14)</f>
        <v>214680</v>
      </c>
      <c r="J15" s="62">
        <f t="shared" ref="J15" si="5">SUM(J3:J14)</f>
        <v>15600</v>
      </c>
      <c r="K15" s="62">
        <f t="shared" ref="K15" si="6">SUM(K3:K14)</f>
        <v>336000</v>
      </c>
      <c r="L15" s="62">
        <f t="shared" ref="L15:M15" si="7">SUM(L3:L14)</f>
        <v>511200</v>
      </c>
      <c r="M15" s="62">
        <f t="shared" si="7"/>
        <v>177600</v>
      </c>
      <c r="N15" s="62">
        <f t="shared" ref="N15" si="8">SUM(N3:N14)</f>
        <v>240000</v>
      </c>
      <c r="O15" s="62">
        <f t="shared" ref="O15" si="9">SUM(O3:O14)</f>
        <v>648000</v>
      </c>
      <c r="P15" s="62">
        <f t="shared" ref="P15" si="10">SUM(P3:P14)</f>
        <v>205444.6</v>
      </c>
      <c r="Q15" s="62">
        <f t="shared" ref="Q15:S15" si="11">SUM(Q3:Q14)</f>
        <v>821778.4</v>
      </c>
      <c r="R15" s="62">
        <f t="shared" si="11"/>
        <v>8654819.0000000019</v>
      </c>
      <c r="S15" s="62">
        <f>Table8[[#This Row],[Total Ingresos]]-Table8[[#This Row],[Total Egresos]]</f>
        <v>-6185798.0000000019</v>
      </c>
      <c r="T15" s="62"/>
    </row>
    <row r="18" spans="2:19" ht="63.75" x14ac:dyDescent="0.2">
      <c r="B18" s="58" t="s">
        <v>149</v>
      </c>
      <c r="C18" s="58" t="s">
        <v>168</v>
      </c>
      <c r="D18" s="58" t="s">
        <v>151</v>
      </c>
      <c r="E18" s="58" t="s">
        <v>152</v>
      </c>
      <c r="F18" s="58" t="s">
        <v>169</v>
      </c>
      <c r="G18" s="58" t="s">
        <v>170</v>
      </c>
      <c r="H18" s="58" t="s">
        <v>106</v>
      </c>
      <c r="I18" s="58" t="s">
        <v>105</v>
      </c>
      <c r="J18" s="58" t="s">
        <v>107</v>
      </c>
      <c r="K18" s="58" t="s">
        <v>108</v>
      </c>
      <c r="L18" s="58" t="s">
        <v>173</v>
      </c>
      <c r="M18" s="58" t="s">
        <v>110</v>
      </c>
      <c r="N18" s="58" t="s">
        <v>112</v>
      </c>
      <c r="O18" s="58" t="s">
        <v>174</v>
      </c>
      <c r="P18" s="58" t="s">
        <v>175</v>
      </c>
      <c r="Q18" s="58" t="s">
        <v>176</v>
      </c>
      <c r="R18" s="58" t="s">
        <v>171</v>
      </c>
      <c r="S18" s="58" t="s">
        <v>172</v>
      </c>
    </row>
    <row r="19" spans="2:19" x14ac:dyDescent="0.2">
      <c r="B19" s="59" t="s">
        <v>159</v>
      </c>
      <c r="C19" s="62">
        <f>5040000/12</f>
        <v>420000</v>
      </c>
      <c r="D19" s="62">
        <v>16390</v>
      </c>
      <c r="E19" s="62">
        <v>715000</v>
      </c>
      <c r="F19" s="62">
        <f>SUM(Table810[[#This Row],[Usuarios Premium]:[Empresas con datos vendidos]])</f>
        <v>731390</v>
      </c>
      <c r="G19" s="62">
        <v>25000</v>
      </c>
      <c r="H19" s="68">
        <v>12043</v>
      </c>
      <c r="I19" s="68">
        <v>17890</v>
      </c>
      <c r="J19" s="68">
        <v>1300</v>
      </c>
      <c r="K19" s="68">
        <v>28000</v>
      </c>
      <c r="L19" s="67">
        <v>42600</v>
      </c>
      <c r="M19" s="67">
        <v>14800</v>
      </c>
      <c r="N19" s="62">
        <v>0</v>
      </c>
      <c r="O19" s="62">
        <v>54000</v>
      </c>
      <c r="P19" s="62">
        <f t="shared" ref="P19:P30" si="12">(1027223/5)/12</f>
        <v>17120.383333333335</v>
      </c>
      <c r="Q19" s="62">
        <f t="shared" ref="Q19:Q30" si="13">(4108892/5)/12</f>
        <v>68481.53333333334</v>
      </c>
      <c r="R19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19" s="62">
        <f>Table810[[#This Row],[Total Ingresos]]-Table810[[#This Row],[Total Egresos]]+S3</f>
        <v>-671079.83333333349</v>
      </c>
    </row>
    <row r="20" spans="2:19" x14ac:dyDescent="0.2">
      <c r="B20" s="59" t="s">
        <v>160</v>
      </c>
      <c r="C20" s="62">
        <f t="shared" ref="C20:C30" si="14">5040000/12</f>
        <v>420000</v>
      </c>
      <c r="D20" s="62">
        <v>19370</v>
      </c>
      <c r="E20" s="62">
        <v>770000</v>
      </c>
      <c r="F20" s="62">
        <f>SUM(Table810[[#This Row],[Usuarios Premium]:[Empresas con datos vendidos]])</f>
        <v>789370</v>
      </c>
      <c r="G20" s="62">
        <v>25000</v>
      </c>
      <c r="H20" s="68">
        <v>12043</v>
      </c>
      <c r="I20" s="68">
        <v>17890</v>
      </c>
      <c r="J20" s="68">
        <v>1300</v>
      </c>
      <c r="K20" s="68">
        <v>28000</v>
      </c>
      <c r="L20" s="67">
        <v>42600</v>
      </c>
      <c r="M20" s="67">
        <v>14800</v>
      </c>
      <c r="N20" s="62">
        <v>0</v>
      </c>
      <c r="O20" s="62">
        <v>54000</v>
      </c>
      <c r="P20" s="62">
        <f t="shared" si="12"/>
        <v>17120.383333333335</v>
      </c>
      <c r="Q20" s="62">
        <f t="shared" si="13"/>
        <v>68481.53333333334</v>
      </c>
      <c r="R20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20" s="62">
        <f>Table810[[#This Row],[Total Ingresos]]-Table810[[#This Row],[Total Egresos]]+S4</f>
        <v>-613099.83333333349</v>
      </c>
    </row>
    <row r="21" spans="2:19" x14ac:dyDescent="0.2">
      <c r="B21" s="59" t="s">
        <v>19</v>
      </c>
      <c r="C21" s="62">
        <f t="shared" si="14"/>
        <v>420000</v>
      </c>
      <c r="D21" s="62">
        <v>22350</v>
      </c>
      <c r="E21" s="62">
        <v>880000</v>
      </c>
      <c r="F21" s="62">
        <f>SUM(Table810[[#This Row],[Usuarios Premium]:[Empresas con datos vendidos]])</f>
        <v>902350</v>
      </c>
      <c r="G21" s="62">
        <v>25000</v>
      </c>
      <c r="H21" s="68">
        <v>12043</v>
      </c>
      <c r="I21" s="68">
        <v>17890</v>
      </c>
      <c r="J21" s="68">
        <v>1300</v>
      </c>
      <c r="K21" s="68">
        <v>28000</v>
      </c>
      <c r="L21" s="67">
        <v>42600</v>
      </c>
      <c r="M21" s="67">
        <v>14800</v>
      </c>
      <c r="N21" s="62">
        <v>0</v>
      </c>
      <c r="O21" s="62">
        <v>54000</v>
      </c>
      <c r="P21" s="62">
        <f t="shared" si="12"/>
        <v>17120.383333333335</v>
      </c>
      <c r="Q21" s="62">
        <f t="shared" si="13"/>
        <v>68481.53333333334</v>
      </c>
      <c r="R21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21" s="62">
        <f>Table810[[#This Row],[Total Ingresos]]-Table810[[#This Row],[Total Egresos]]+S5</f>
        <v>-500119.83333333349</v>
      </c>
    </row>
    <row r="22" spans="2:19" x14ac:dyDescent="0.2">
      <c r="B22" s="59" t="s">
        <v>20</v>
      </c>
      <c r="C22" s="62">
        <f t="shared" si="14"/>
        <v>420000</v>
      </c>
      <c r="D22" s="62">
        <v>25330</v>
      </c>
      <c r="E22" s="62">
        <v>953333.33333333151</v>
      </c>
      <c r="F22" s="62">
        <f>SUM(Table810[[#This Row],[Usuarios Premium]:[Empresas con datos vendidos]])</f>
        <v>978663.33333333151</v>
      </c>
      <c r="G22" s="62">
        <v>25000</v>
      </c>
      <c r="H22" s="68">
        <v>12043</v>
      </c>
      <c r="I22" s="68">
        <v>17890</v>
      </c>
      <c r="J22" s="68">
        <v>1300</v>
      </c>
      <c r="K22" s="68">
        <v>28000</v>
      </c>
      <c r="L22" s="67">
        <v>42600</v>
      </c>
      <c r="M22" s="67">
        <v>14800</v>
      </c>
      <c r="N22" s="62">
        <v>0</v>
      </c>
      <c r="O22" s="62">
        <v>54000</v>
      </c>
      <c r="P22" s="62">
        <f t="shared" si="12"/>
        <v>17120.383333333335</v>
      </c>
      <c r="Q22" s="62">
        <f t="shared" si="13"/>
        <v>68481.53333333334</v>
      </c>
      <c r="R22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22" s="62">
        <f>Table810[[#This Row],[Total Ingresos]]-Table810[[#This Row],[Total Egresos]]+S6</f>
        <v>-423806.50000000198</v>
      </c>
    </row>
    <row r="23" spans="2:19" x14ac:dyDescent="0.2">
      <c r="B23" s="59" t="s">
        <v>21</v>
      </c>
      <c r="C23" s="62">
        <f t="shared" si="14"/>
        <v>420000</v>
      </c>
      <c r="D23" s="62">
        <v>28310</v>
      </c>
      <c r="E23" s="62">
        <v>1035833.3333333315</v>
      </c>
      <c r="F23" s="62">
        <f>SUM(Table810[[#This Row],[Usuarios Premium]:[Empresas con datos vendidos]])</f>
        <v>1064143.3333333316</v>
      </c>
      <c r="G23" s="62">
        <v>25000</v>
      </c>
      <c r="H23" s="68">
        <v>12043</v>
      </c>
      <c r="I23" s="68">
        <v>17890</v>
      </c>
      <c r="J23" s="68">
        <v>1300</v>
      </c>
      <c r="K23" s="68">
        <v>28000</v>
      </c>
      <c r="L23" s="67">
        <v>42600</v>
      </c>
      <c r="M23" s="67">
        <v>14800</v>
      </c>
      <c r="N23" s="62">
        <v>0</v>
      </c>
      <c r="O23" s="62">
        <v>54000</v>
      </c>
      <c r="P23" s="62">
        <f t="shared" si="12"/>
        <v>17120.383333333335</v>
      </c>
      <c r="Q23" s="62">
        <f t="shared" si="13"/>
        <v>68481.53333333334</v>
      </c>
      <c r="R23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23" s="62">
        <f>Table810[[#This Row],[Total Ingresos]]-Table810[[#This Row],[Total Egresos]]+S7</f>
        <v>-338326.50000000186</v>
      </c>
    </row>
    <row r="24" spans="2:19" x14ac:dyDescent="0.2">
      <c r="B24" s="59" t="s">
        <v>22</v>
      </c>
      <c r="C24" s="62">
        <f t="shared" si="14"/>
        <v>420000</v>
      </c>
      <c r="D24" s="62">
        <v>31290</v>
      </c>
      <c r="E24" s="62">
        <v>1118333.3333333316</v>
      </c>
      <c r="F24" s="62">
        <f>SUM(Table810[[#This Row],[Usuarios Premium]:[Empresas con datos vendidos]])</f>
        <v>1149623.3333333316</v>
      </c>
      <c r="G24" s="62">
        <v>25000</v>
      </c>
      <c r="H24" s="68">
        <v>12043</v>
      </c>
      <c r="I24" s="68">
        <v>17890</v>
      </c>
      <c r="J24" s="68">
        <v>1300</v>
      </c>
      <c r="K24" s="68">
        <v>28000</v>
      </c>
      <c r="L24" s="67">
        <v>42600</v>
      </c>
      <c r="M24" s="67">
        <v>14800</v>
      </c>
      <c r="N24" s="62">
        <v>0</v>
      </c>
      <c r="O24" s="62">
        <v>54000</v>
      </c>
      <c r="P24" s="62">
        <f t="shared" si="12"/>
        <v>17120.383333333335</v>
      </c>
      <c r="Q24" s="62">
        <f t="shared" si="13"/>
        <v>68481.53333333334</v>
      </c>
      <c r="R24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701234.91666666674</v>
      </c>
      <c r="S24" s="62">
        <f>Table810[[#This Row],[Total Ingresos]]-Table810[[#This Row],[Total Egresos]]+S8</f>
        <v>-196356.50000000186</v>
      </c>
    </row>
    <row r="25" spans="2:19" x14ac:dyDescent="0.2">
      <c r="B25" s="59" t="s">
        <v>23</v>
      </c>
      <c r="C25" s="62">
        <f t="shared" si="14"/>
        <v>420000</v>
      </c>
      <c r="D25" s="62">
        <v>34270</v>
      </c>
      <c r="E25" s="62">
        <v>1200833.3333333316</v>
      </c>
      <c r="F25" s="62">
        <f>SUM(Table810[[#This Row],[Usuarios Premium]:[Empresas con datos vendidos]])</f>
        <v>1235103.3333333316</v>
      </c>
      <c r="G25" s="62">
        <v>25000</v>
      </c>
      <c r="H25" s="68">
        <v>12043</v>
      </c>
      <c r="I25" s="68">
        <v>17890</v>
      </c>
      <c r="J25" s="68">
        <v>1300</v>
      </c>
      <c r="K25" s="68">
        <v>28000</v>
      </c>
      <c r="L25" s="67">
        <v>42600</v>
      </c>
      <c r="M25" s="67">
        <v>14800</v>
      </c>
      <c r="N25" s="62">
        <v>40000</v>
      </c>
      <c r="O25" s="62">
        <v>54000</v>
      </c>
      <c r="P25" s="62">
        <f t="shared" si="12"/>
        <v>17120.383333333335</v>
      </c>
      <c r="Q25" s="62">
        <f t="shared" si="13"/>
        <v>68481.53333333334</v>
      </c>
      <c r="R25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25" s="62">
        <f>Table810[[#This Row],[Total Ingresos]]-Table810[[#This Row],[Total Egresos]]+S9</f>
        <v>-78641.500000001863</v>
      </c>
    </row>
    <row r="26" spans="2:19" x14ac:dyDescent="0.2">
      <c r="B26" s="59" t="s">
        <v>161</v>
      </c>
      <c r="C26" s="62">
        <f t="shared" si="14"/>
        <v>420000</v>
      </c>
      <c r="D26" s="62">
        <v>37250</v>
      </c>
      <c r="E26" s="62">
        <v>1283333.3333333316</v>
      </c>
      <c r="F26" s="62">
        <f>SUM(Table810[[#This Row],[Usuarios Premium]:[Empresas con datos vendidos]])</f>
        <v>1320583.3333333316</v>
      </c>
      <c r="G26" s="62">
        <v>25000</v>
      </c>
      <c r="H26" s="68">
        <v>12043</v>
      </c>
      <c r="I26" s="68">
        <v>17890</v>
      </c>
      <c r="J26" s="68">
        <v>1300</v>
      </c>
      <c r="K26" s="68">
        <v>28000</v>
      </c>
      <c r="L26" s="67">
        <v>42600</v>
      </c>
      <c r="M26" s="67">
        <v>14800</v>
      </c>
      <c r="N26" s="62">
        <v>40000</v>
      </c>
      <c r="O26" s="62">
        <v>54000</v>
      </c>
      <c r="P26" s="62">
        <f t="shared" si="12"/>
        <v>17120.383333333335</v>
      </c>
      <c r="Q26" s="62">
        <f t="shared" si="13"/>
        <v>68481.53333333334</v>
      </c>
      <c r="R26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26" s="62">
        <f>Table810[[#This Row],[Total Ingresos]]-Table810[[#This Row],[Total Egresos]]+S10</f>
        <v>62583.499999998137</v>
      </c>
    </row>
    <row r="27" spans="2:19" x14ac:dyDescent="0.2">
      <c r="B27" s="59" t="s">
        <v>162</v>
      </c>
      <c r="C27" s="62">
        <f t="shared" si="14"/>
        <v>420000</v>
      </c>
      <c r="D27" s="62">
        <v>40230</v>
      </c>
      <c r="E27" s="62">
        <v>1365833.3333333316</v>
      </c>
      <c r="F27" s="62">
        <f>SUM(Table810[[#This Row],[Usuarios Premium]:[Empresas con datos vendidos]])</f>
        <v>1406063.3333333316</v>
      </c>
      <c r="G27" s="62">
        <v>25000</v>
      </c>
      <c r="H27" s="68">
        <v>12043</v>
      </c>
      <c r="I27" s="68">
        <v>17890</v>
      </c>
      <c r="J27" s="68">
        <v>1300</v>
      </c>
      <c r="K27" s="68">
        <v>28000</v>
      </c>
      <c r="L27" s="67">
        <v>42600</v>
      </c>
      <c r="M27" s="67">
        <v>14800</v>
      </c>
      <c r="N27" s="62">
        <v>40000</v>
      </c>
      <c r="O27" s="62">
        <v>54000</v>
      </c>
      <c r="P27" s="62">
        <f t="shared" si="12"/>
        <v>17120.383333333335</v>
      </c>
      <c r="Q27" s="62">
        <f t="shared" si="13"/>
        <v>68481.53333333334</v>
      </c>
      <c r="R27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27" s="62">
        <f>Table810[[#This Row],[Total Ingresos]]-Table810[[#This Row],[Total Egresos]]+S11</f>
        <v>205298.49999999814</v>
      </c>
    </row>
    <row r="28" spans="2:19" x14ac:dyDescent="0.2">
      <c r="B28" s="59" t="s">
        <v>163</v>
      </c>
      <c r="C28" s="62">
        <f t="shared" si="14"/>
        <v>420000</v>
      </c>
      <c r="D28" s="62">
        <v>43210</v>
      </c>
      <c r="E28" s="62">
        <v>1448333.3333333316</v>
      </c>
      <c r="F28" s="62">
        <f>SUM(Table810[[#This Row],[Usuarios Premium]:[Empresas con datos vendidos]])</f>
        <v>1491543.3333333316</v>
      </c>
      <c r="G28" s="62">
        <v>25000</v>
      </c>
      <c r="H28" s="68">
        <v>12043</v>
      </c>
      <c r="I28" s="68">
        <v>17890</v>
      </c>
      <c r="J28" s="68">
        <v>1300</v>
      </c>
      <c r="K28" s="68">
        <v>28000</v>
      </c>
      <c r="L28" s="67">
        <v>42600</v>
      </c>
      <c r="M28" s="67">
        <v>14800</v>
      </c>
      <c r="N28" s="62">
        <v>40000</v>
      </c>
      <c r="O28" s="62">
        <v>54000</v>
      </c>
      <c r="P28" s="62">
        <f t="shared" si="12"/>
        <v>17120.383333333335</v>
      </c>
      <c r="Q28" s="62">
        <f t="shared" si="13"/>
        <v>68481.53333333334</v>
      </c>
      <c r="R28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28" s="62">
        <f>Table810[[#This Row],[Total Ingresos]]-Table810[[#This Row],[Total Egresos]]+S12</f>
        <v>456523.49999999814</v>
      </c>
    </row>
    <row r="29" spans="2:19" x14ac:dyDescent="0.2">
      <c r="B29" s="59" t="s">
        <v>158</v>
      </c>
      <c r="C29" s="62">
        <f t="shared" si="14"/>
        <v>420000</v>
      </c>
      <c r="D29" s="62">
        <v>46190</v>
      </c>
      <c r="E29" s="62">
        <v>1530833.3333333316</v>
      </c>
      <c r="F29" s="62">
        <f>SUM(Table810[[#This Row],[Usuarios Premium]:[Empresas con datos vendidos]])</f>
        <v>1577023.3333333316</v>
      </c>
      <c r="G29" s="62">
        <v>25000</v>
      </c>
      <c r="H29" s="68">
        <v>12043</v>
      </c>
      <c r="I29" s="68">
        <v>17890</v>
      </c>
      <c r="J29" s="68">
        <v>1300</v>
      </c>
      <c r="K29" s="68">
        <v>28000</v>
      </c>
      <c r="L29" s="67">
        <v>42600</v>
      </c>
      <c r="M29" s="67">
        <v>14800</v>
      </c>
      <c r="N29" s="62">
        <v>40000</v>
      </c>
      <c r="O29" s="62">
        <v>54000</v>
      </c>
      <c r="P29" s="62">
        <f t="shared" si="12"/>
        <v>17120.383333333335</v>
      </c>
      <c r="Q29" s="62">
        <f t="shared" si="13"/>
        <v>68481.53333333334</v>
      </c>
      <c r="R29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29" s="62">
        <f>Table810[[#This Row],[Total Ingresos]]-Table810[[#This Row],[Total Egresos]]+S13</f>
        <v>654834.49999999814</v>
      </c>
    </row>
    <row r="30" spans="2:19" x14ac:dyDescent="0.2">
      <c r="B30" s="59" t="s">
        <v>157</v>
      </c>
      <c r="C30" s="62">
        <f t="shared" si="14"/>
        <v>420000</v>
      </c>
      <c r="D30" s="62">
        <v>49170</v>
      </c>
      <c r="E30" s="62">
        <v>1613333.3333333316</v>
      </c>
      <c r="F30" s="62">
        <f>SUM(Table810[[#This Row],[Usuarios Premium]:[Empresas con datos vendidos]])</f>
        <v>1662503.3333333316</v>
      </c>
      <c r="G30" s="62">
        <v>25000</v>
      </c>
      <c r="H30" s="68">
        <v>12043</v>
      </c>
      <c r="I30" s="68">
        <v>17890</v>
      </c>
      <c r="J30" s="68">
        <v>1300</v>
      </c>
      <c r="K30" s="68">
        <v>28000</v>
      </c>
      <c r="L30" s="67">
        <v>42600</v>
      </c>
      <c r="M30" s="67">
        <v>14800</v>
      </c>
      <c r="N30" s="62">
        <v>40000</v>
      </c>
      <c r="O30" s="62">
        <v>54000</v>
      </c>
      <c r="P30" s="62">
        <f t="shared" si="12"/>
        <v>17120.383333333335</v>
      </c>
      <c r="Q30" s="62">
        <f t="shared" si="13"/>
        <v>68481.53333333334</v>
      </c>
      <c r="R30" s="62">
        <f>Table810[[#This Row],[Prestamo Gobierno]]+Table810[[#This Row],[Prestamo Bancario]]+Table810[[#This Row],[Servidores]]+Table810[[#This Row],[Publicidad]]+Table810[[#This Row],[Personal de Cocina]]+Table810[[#This Row],[Personal de Seguridad de Instalaciones]]+Table810[[#This Row],[Personal de Limpieza]]+Table810[[#This Row],[Internet]]+Table810[[#This Row],[Luz]]+Table810[[#This Row],[Agua]]+Table810[[#This Row],[Renta]]+Table810[[#This Row],[Sueldo]]</f>
        <v>741234.91666666674</v>
      </c>
      <c r="S30" s="62">
        <f>Table810[[#This Row],[Total Ingresos]]-Table810[[#This Row],[Total Egresos]]+S14</f>
        <v>909933.49999999814</v>
      </c>
    </row>
    <row r="31" spans="2:19" x14ac:dyDescent="0.2">
      <c r="B31" s="59" t="s">
        <v>164</v>
      </c>
      <c r="C31" s="62">
        <f>SUM(C19:C30)</f>
        <v>5040000</v>
      </c>
      <c r="D31" s="62">
        <f t="shared" ref="D31" si="15">SUM(D19:D30)</f>
        <v>393360</v>
      </c>
      <c r="E31" s="62">
        <f t="shared" ref="E31" si="16">SUM(E19:E30)</f>
        <v>13914999.999999987</v>
      </c>
      <c r="F31" s="62">
        <f t="shared" ref="F31" si="17">SUM(F19:F30)</f>
        <v>14308359.999999987</v>
      </c>
      <c r="G31" s="62">
        <f t="shared" ref="G31" si="18">SUM(G19:G30)</f>
        <v>300000</v>
      </c>
      <c r="H31" s="62">
        <f t="shared" ref="H31" si="19">SUM(H19:H30)</f>
        <v>144516</v>
      </c>
      <c r="I31" s="62">
        <f t="shared" ref="I31" si="20">SUM(I19:I30)</f>
        <v>214680</v>
      </c>
      <c r="J31" s="62">
        <f t="shared" ref="J31" si="21">SUM(J19:J30)</f>
        <v>15600</v>
      </c>
      <c r="K31" s="62">
        <f t="shared" ref="K31" si="22">SUM(K19:K30)</f>
        <v>336000</v>
      </c>
      <c r="L31" s="62">
        <f t="shared" ref="L31" si="23">SUM(L19:L30)</f>
        <v>511200</v>
      </c>
      <c r="M31" s="62">
        <f t="shared" ref="M31" si="24">SUM(M19:M30)</f>
        <v>177600</v>
      </c>
      <c r="N31" s="62">
        <f t="shared" ref="N31" si="25">SUM(N19:N30)</f>
        <v>240000</v>
      </c>
      <c r="O31" s="62">
        <f t="shared" ref="O31" si="26">SUM(O19:O30)</f>
        <v>648000</v>
      </c>
      <c r="P31" s="62">
        <f t="shared" ref="P31" si="27">SUM(P19:P30)</f>
        <v>205444.6</v>
      </c>
      <c r="Q31" s="62">
        <f t="shared" ref="Q31" si="28">SUM(Q19:Q30)</f>
        <v>821778.4</v>
      </c>
      <c r="R31" s="62">
        <f t="shared" ref="R31" si="29">SUM(R19:R30)</f>
        <v>8654819.0000000019</v>
      </c>
      <c r="S31" s="62">
        <f>Table810[[#This Row],[Total Ingresos]]-Table810[[#This Row],[Total Egresos]]+S15</f>
        <v>-532257.00000001676</v>
      </c>
    </row>
    <row r="34" spans="2:19" ht="63.75" x14ac:dyDescent="0.2">
      <c r="B34" s="58" t="s">
        <v>149</v>
      </c>
      <c r="C34" s="58" t="s">
        <v>168</v>
      </c>
      <c r="D34" s="58" t="s">
        <v>151</v>
      </c>
      <c r="E34" s="58" t="s">
        <v>152</v>
      </c>
      <c r="F34" s="58" t="s">
        <v>169</v>
      </c>
      <c r="G34" s="58" t="s">
        <v>170</v>
      </c>
      <c r="H34" s="58" t="s">
        <v>106</v>
      </c>
      <c r="I34" s="58" t="s">
        <v>105</v>
      </c>
      <c r="J34" s="58" t="s">
        <v>107</v>
      </c>
      <c r="K34" s="58" t="s">
        <v>108</v>
      </c>
      <c r="L34" s="58" t="s">
        <v>173</v>
      </c>
      <c r="M34" s="58" t="s">
        <v>110</v>
      </c>
      <c r="N34" s="58" t="s">
        <v>112</v>
      </c>
      <c r="O34" s="58" t="s">
        <v>174</v>
      </c>
      <c r="P34" s="58" t="s">
        <v>175</v>
      </c>
      <c r="Q34" s="58" t="s">
        <v>176</v>
      </c>
      <c r="R34" s="58" t="s">
        <v>171</v>
      </c>
      <c r="S34" s="58" t="s">
        <v>172</v>
      </c>
    </row>
    <row r="35" spans="2:19" x14ac:dyDescent="0.2">
      <c r="B35" s="59" t="s">
        <v>159</v>
      </c>
      <c r="C35" s="62">
        <f>5040000/12</f>
        <v>420000</v>
      </c>
      <c r="D35" s="62">
        <v>46190</v>
      </c>
      <c r="E35" s="62">
        <v>1448333.3333333316</v>
      </c>
      <c r="F35" s="62">
        <f>SUM(Table81011[[#This Row],[Usuarios Premium]:[Empresas con datos vendidos]])</f>
        <v>1494523.3333333316</v>
      </c>
      <c r="G35" s="62">
        <v>25000</v>
      </c>
      <c r="H35" s="68">
        <v>12043</v>
      </c>
      <c r="I35" s="68">
        <v>17890</v>
      </c>
      <c r="J35" s="68">
        <v>1300</v>
      </c>
      <c r="K35" s="68">
        <v>28000</v>
      </c>
      <c r="L35" s="67">
        <v>42600</v>
      </c>
      <c r="M35" s="67">
        <v>14800</v>
      </c>
      <c r="N35" s="62">
        <v>0</v>
      </c>
      <c r="O35" s="62">
        <v>54000</v>
      </c>
      <c r="P35" s="62">
        <f t="shared" ref="P35:P46" si="30">(1027223/5)/12</f>
        <v>17120.383333333335</v>
      </c>
      <c r="Q35" s="62">
        <f t="shared" ref="Q35:Q46" si="31">(4108892/5)/12</f>
        <v>68481.53333333334</v>
      </c>
      <c r="R35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35" s="62">
        <f>Table81011[[#This Row],[Total Ingresos]]-Table81011[[#This Row],[Total Egresos]]+S19</f>
        <v>122208.58333333139</v>
      </c>
    </row>
    <row r="36" spans="2:19" x14ac:dyDescent="0.2">
      <c r="B36" s="59" t="s">
        <v>160</v>
      </c>
      <c r="C36" s="62">
        <f t="shared" ref="C36:C46" si="32">5040000/12</f>
        <v>420000</v>
      </c>
      <c r="D36" s="62">
        <v>49170</v>
      </c>
      <c r="E36" s="62">
        <v>1530833.3333333316</v>
      </c>
      <c r="F36" s="62">
        <f>SUM(Table81011[[#This Row],[Usuarios Premium]:[Empresas con datos vendidos]])</f>
        <v>1580003.3333333316</v>
      </c>
      <c r="G36" s="62">
        <v>25000</v>
      </c>
      <c r="H36" s="68">
        <v>12043</v>
      </c>
      <c r="I36" s="68">
        <v>17890</v>
      </c>
      <c r="J36" s="68">
        <v>1300</v>
      </c>
      <c r="K36" s="68">
        <v>28000</v>
      </c>
      <c r="L36" s="67">
        <v>42600</v>
      </c>
      <c r="M36" s="67">
        <v>14800</v>
      </c>
      <c r="N36" s="62">
        <v>0</v>
      </c>
      <c r="O36" s="62">
        <v>54000</v>
      </c>
      <c r="P36" s="62">
        <f t="shared" si="30"/>
        <v>17120.383333333335</v>
      </c>
      <c r="Q36" s="62">
        <f t="shared" si="31"/>
        <v>68481.53333333334</v>
      </c>
      <c r="R36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36" s="62">
        <f>Table81011[[#This Row],[Total Ingresos]]-Table81011[[#This Row],[Total Egresos]]+S20</f>
        <v>265668.58333333139</v>
      </c>
    </row>
    <row r="37" spans="2:19" x14ac:dyDescent="0.2">
      <c r="B37" s="59" t="s">
        <v>19</v>
      </c>
      <c r="C37" s="62">
        <f t="shared" si="32"/>
        <v>420000</v>
      </c>
      <c r="D37" s="62">
        <v>52150</v>
      </c>
      <c r="E37" s="62">
        <v>1613333.3333333316</v>
      </c>
      <c r="F37" s="62">
        <f>SUM(Table81011[[#This Row],[Usuarios Premium]:[Empresas con datos vendidos]])</f>
        <v>1665483.3333333316</v>
      </c>
      <c r="G37" s="62">
        <v>25000</v>
      </c>
      <c r="H37" s="68">
        <v>12043</v>
      </c>
      <c r="I37" s="68">
        <v>17890</v>
      </c>
      <c r="J37" s="68">
        <v>1300</v>
      </c>
      <c r="K37" s="68">
        <v>28000</v>
      </c>
      <c r="L37" s="67">
        <v>42600</v>
      </c>
      <c r="M37" s="67">
        <v>14800</v>
      </c>
      <c r="N37" s="62">
        <v>0</v>
      </c>
      <c r="O37" s="62">
        <v>54000</v>
      </c>
      <c r="P37" s="62">
        <f t="shared" si="30"/>
        <v>17120.383333333335</v>
      </c>
      <c r="Q37" s="62">
        <f t="shared" si="31"/>
        <v>68481.53333333334</v>
      </c>
      <c r="R37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37" s="62">
        <f>Table81011[[#This Row],[Total Ingresos]]-Table81011[[#This Row],[Total Egresos]]+S21</f>
        <v>464128.58333333139</v>
      </c>
    </row>
    <row r="38" spans="2:19" x14ac:dyDescent="0.2">
      <c r="B38" s="59" t="s">
        <v>20</v>
      </c>
      <c r="C38" s="62">
        <f t="shared" si="32"/>
        <v>420000</v>
      </c>
      <c r="D38" s="62">
        <v>55130</v>
      </c>
      <c r="E38" s="62">
        <v>1695833.3333333316</v>
      </c>
      <c r="F38" s="62">
        <f>SUM(Table81011[[#This Row],[Usuarios Premium]:[Empresas con datos vendidos]])</f>
        <v>1750963.3333333316</v>
      </c>
      <c r="G38" s="62">
        <v>25000</v>
      </c>
      <c r="H38" s="68">
        <v>12043</v>
      </c>
      <c r="I38" s="68">
        <v>17890</v>
      </c>
      <c r="J38" s="68">
        <v>1300</v>
      </c>
      <c r="K38" s="68">
        <v>28000</v>
      </c>
      <c r="L38" s="67">
        <v>42600</v>
      </c>
      <c r="M38" s="67">
        <v>14800</v>
      </c>
      <c r="N38" s="62">
        <v>0</v>
      </c>
      <c r="O38" s="62">
        <v>54000</v>
      </c>
      <c r="P38" s="62">
        <f t="shared" si="30"/>
        <v>17120.383333333335</v>
      </c>
      <c r="Q38" s="62">
        <f t="shared" si="31"/>
        <v>68481.53333333334</v>
      </c>
      <c r="R38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38" s="62">
        <f>Table81011[[#This Row],[Total Ingresos]]-Table81011[[#This Row],[Total Egresos]]+S22</f>
        <v>625921.9166666629</v>
      </c>
    </row>
    <row r="39" spans="2:19" x14ac:dyDescent="0.2">
      <c r="B39" s="59" t="s">
        <v>21</v>
      </c>
      <c r="C39" s="62">
        <f t="shared" si="32"/>
        <v>420000</v>
      </c>
      <c r="D39" s="62">
        <v>58110</v>
      </c>
      <c r="E39" s="62">
        <v>1778333.3333333316</v>
      </c>
      <c r="F39" s="62">
        <f>SUM(Table81011[[#This Row],[Usuarios Premium]:[Empresas con datos vendidos]])</f>
        <v>1836443.3333333316</v>
      </c>
      <c r="G39" s="62">
        <v>25000</v>
      </c>
      <c r="H39" s="68">
        <v>12043</v>
      </c>
      <c r="I39" s="68">
        <v>17890</v>
      </c>
      <c r="J39" s="68">
        <v>1300</v>
      </c>
      <c r="K39" s="68">
        <v>28000</v>
      </c>
      <c r="L39" s="67">
        <v>42600</v>
      </c>
      <c r="M39" s="67">
        <v>14800</v>
      </c>
      <c r="N39" s="62">
        <v>0</v>
      </c>
      <c r="O39" s="62">
        <v>54000</v>
      </c>
      <c r="P39" s="62">
        <f t="shared" si="30"/>
        <v>17120.383333333335</v>
      </c>
      <c r="Q39" s="62">
        <f t="shared" si="31"/>
        <v>68481.53333333334</v>
      </c>
      <c r="R39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39" s="62">
        <f>Table81011[[#This Row],[Total Ingresos]]-Table81011[[#This Row],[Total Egresos]]+S23</f>
        <v>796881.91666666302</v>
      </c>
    </row>
    <row r="40" spans="2:19" x14ac:dyDescent="0.2">
      <c r="B40" s="59" t="s">
        <v>22</v>
      </c>
      <c r="C40" s="62">
        <f t="shared" si="32"/>
        <v>420000</v>
      </c>
      <c r="D40" s="62">
        <v>61090</v>
      </c>
      <c r="E40" s="62">
        <v>1860833.3333333316</v>
      </c>
      <c r="F40" s="62">
        <f>SUM(Table81011[[#This Row],[Usuarios Premium]:[Empresas con datos vendidos]])</f>
        <v>1921923.3333333316</v>
      </c>
      <c r="G40" s="62">
        <v>25000</v>
      </c>
      <c r="H40" s="68">
        <v>12043</v>
      </c>
      <c r="I40" s="68">
        <v>17890</v>
      </c>
      <c r="J40" s="68">
        <v>1300</v>
      </c>
      <c r="K40" s="68">
        <v>28000</v>
      </c>
      <c r="L40" s="67">
        <v>42600</v>
      </c>
      <c r="M40" s="67">
        <v>14800</v>
      </c>
      <c r="N40" s="62">
        <v>0</v>
      </c>
      <c r="O40" s="62">
        <v>54000</v>
      </c>
      <c r="P40" s="62">
        <f t="shared" si="30"/>
        <v>17120.383333333335</v>
      </c>
      <c r="Q40" s="62">
        <f t="shared" si="31"/>
        <v>68481.53333333334</v>
      </c>
      <c r="R40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701234.91666666674</v>
      </c>
      <c r="S40" s="62">
        <f>Table81011[[#This Row],[Total Ingresos]]-Table81011[[#This Row],[Total Egresos]]+S24</f>
        <v>1024331.916666663</v>
      </c>
    </row>
    <row r="41" spans="2:19" x14ac:dyDescent="0.2">
      <c r="B41" s="59" t="s">
        <v>23</v>
      </c>
      <c r="C41" s="62">
        <f t="shared" si="32"/>
        <v>420000</v>
      </c>
      <c r="D41" s="62">
        <v>64070</v>
      </c>
      <c r="E41" s="62">
        <v>1943333.3333333316</v>
      </c>
      <c r="F41" s="62">
        <f>SUM(Table81011[[#This Row],[Usuarios Premium]:[Empresas con datos vendidos]])</f>
        <v>2007403.3333333316</v>
      </c>
      <c r="G41" s="62">
        <v>25000</v>
      </c>
      <c r="H41" s="68">
        <v>12043</v>
      </c>
      <c r="I41" s="68">
        <v>17890</v>
      </c>
      <c r="J41" s="68">
        <v>1300</v>
      </c>
      <c r="K41" s="68">
        <v>28000</v>
      </c>
      <c r="L41" s="67">
        <v>42600</v>
      </c>
      <c r="M41" s="67">
        <v>14800</v>
      </c>
      <c r="N41" s="62">
        <v>40000</v>
      </c>
      <c r="O41" s="62">
        <v>54000</v>
      </c>
      <c r="P41" s="62">
        <f t="shared" si="30"/>
        <v>17120.383333333335</v>
      </c>
      <c r="Q41" s="62">
        <f t="shared" si="31"/>
        <v>68481.53333333334</v>
      </c>
      <c r="R41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1" s="62">
        <f>Table81011[[#This Row],[Total Ingresos]]-Table81011[[#This Row],[Total Egresos]]+S25</f>
        <v>1187526.916666663</v>
      </c>
    </row>
    <row r="42" spans="2:19" x14ac:dyDescent="0.2">
      <c r="B42" s="59" t="s">
        <v>161</v>
      </c>
      <c r="C42" s="62">
        <f t="shared" si="32"/>
        <v>420000</v>
      </c>
      <c r="D42" s="62">
        <v>67050</v>
      </c>
      <c r="E42" s="62">
        <v>2025833.3333333316</v>
      </c>
      <c r="F42" s="62">
        <f>SUM(Table81011[[#This Row],[Usuarios Premium]:[Empresas con datos vendidos]])</f>
        <v>2092883.3333333316</v>
      </c>
      <c r="G42" s="62">
        <v>25000</v>
      </c>
      <c r="H42" s="68">
        <v>12043</v>
      </c>
      <c r="I42" s="68">
        <v>17890</v>
      </c>
      <c r="J42" s="68">
        <v>1300</v>
      </c>
      <c r="K42" s="68">
        <v>28000</v>
      </c>
      <c r="L42" s="67">
        <v>42600</v>
      </c>
      <c r="M42" s="67">
        <v>14800</v>
      </c>
      <c r="N42" s="62">
        <v>40000</v>
      </c>
      <c r="O42" s="62">
        <v>54000</v>
      </c>
      <c r="P42" s="62">
        <f t="shared" si="30"/>
        <v>17120.383333333335</v>
      </c>
      <c r="Q42" s="62">
        <f t="shared" si="31"/>
        <v>68481.53333333334</v>
      </c>
      <c r="R42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2" s="62">
        <f>Table81011[[#This Row],[Total Ingresos]]-Table81011[[#This Row],[Total Egresos]]+S26</f>
        <v>1414231.916666663</v>
      </c>
    </row>
    <row r="43" spans="2:19" x14ac:dyDescent="0.2">
      <c r="B43" s="59" t="s">
        <v>162</v>
      </c>
      <c r="C43" s="62">
        <f t="shared" si="32"/>
        <v>420000</v>
      </c>
      <c r="D43" s="62">
        <v>70030</v>
      </c>
      <c r="E43" s="62">
        <v>2108333.3333333316</v>
      </c>
      <c r="F43" s="62">
        <f>SUM(Table81011[[#This Row],[Usuarios Premium]:[Empresas con datos vendidos]])</f>
        <v>2178363.3333333316</v>
      </c>
      <c r="G43" s="62">
        <v>25000</v>
      </c>
      <c r="H43" s="68">
        <v>12043</v>
      </c>
      <c r="I43" s="68">
        <v>17890</v>
      </c>
      <c r="J43" s="68">
        <v>1300</v>
      </c>
      <c r="K43" s="68">
        <v>28000</v>
      </c>
      <c r="L43" s="67">
        <v>42600</v>
      </c>
      <c r="M43" s="67">
        <v>14800</v>
      </c>
      <c r="N43" s="62">
        <v>40000</v>
      </c>
      <c r="O43" s="62">
        <v>54000</v>
      </c>
      <c r="P43" s="62">
        <f t="shared" si="30"/>
        <v>17120.383333333335</v>
      </c>
      <c r="Q43" s="62">
        <f t="shared" si="31"/>
        <v>68481.53333333334</v>
      </c>
      <c r="R43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3" s="62">
        <f>Table81011[[#This Row],[Total Ingresos]]-Table81011[[#This Row],[Total Egresos]]+S27</f>
        <v>1642426.916666663</v>
      </c>
    </row>
    <row r="44" spans="2:19" x14ac:dyDescent="0.2">
      <c r="B44" s="59" t="s">
        <v>163</v>
      </c>
      <c r="C44" s="62">
        <f t="shared" si="32"/>
        <v>420000</v>
      </c>
      <c r="D44" s="62">
        <v>73010</v>
      </c>
      <c r="E44" s="62">
        <v>2190833.3333333316</v>
      </c>
      <c r="F44" s="62">
        <f>SUM(Table81011[[#This Row],[Usuarios Premium]:[Empresas con datos vendidos]])</f>
        <v>2263843.3333333316</v>
      </c>
      <c r="G44" s="62">
        <v>25000</v>
      </c>
      <c r="H44" s="68">
        <v>12043</v>
      </c>
      <c r="I44" s="68">
        <v>17890</v>
      </c>
      <c r="J44" s="68">
        <v>1300</v>
      </c>
      <c r="K44" s="68">
        <v>28000</v>
      </c>
      <c r="L44" s="67">
        <v>42600</v>
      </c>
      <c r="M44" s="67">
        <v>14800</v>
      </c>
      <c r="N44" s="62">
        <v>40000</v>
      </c>
      <c r="O44" s="62">
        <v>54000</v>
      </c>
      <c r="P44" s="62">
        <f t="shared" si="30"/>
        <v>17120.383333333335</v>
      </c>
      <c r="Q44" s="62">
        <f t="shared" si="31"/>
        <v>68481.53333333334</v>
      </c>
      <c r="R44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4" s="62">
        <f>Table81011[[#This Row],[Total Ingresos]]-Table81011[[#This Row],[Total Egresos]]+S28</f>
        <v>1979131.916666663</v>
      </c>
    </row>
    <row r="45" spans="2:19" x14ac:dyDescent="0.2">
      <c r="B45" s="59" t="s">
        <v>158</v>
      </c>
      <c r="C45" s="62">
        <f t="shared" si="32"/>
        <v>420000</v>
      </c>
      <c r="D45" s="62">
        <v>75990</v>
      </c>
      <c r="E45" s="62">
        <v>2273333.3333333316</v>
      </c>
      <c r="F45" s="62">
        <f>SUM(Table81011[[#This Row],[Usuarios Premium]:[Empresas con datos vendidos]])</f>
        <v>2349323.3333333316</v>
      </c>
      <c r="G45" s="62">
        <v>25000</v>
      </c>
      <c r="H45" s="68">
        <v>12043</v>
      </c>
      <c r="I45" s="68">
        <v>17890</v>
      </c>
      <c r="J45" s="68">
        <v>1300</v>
      </c>
      <c r="K45" s="68">
        <v>28000</v>
      </c>
      <c r="L45" s="67">
        <v>42600</v>
      </c>
      <c r="M45" s="67">
        <v>14800</v>
      </c>
      <c r="N45" s="62">
        <v>40000</v>
      </c>
      <c r="O45" s="62">
        <v>54000</v>
      </c>
      <c r="P45" s="62">
        <f t="shared" si="30"/>
        <v>17120.383333333335</v>
      </c>
      <c r="Q45" s="62">
        <f t="shared" si="31"/>
        <v>68481.53333333334</v>
      </c>
      <c r="R45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5" s="62">
        <f>Table81011[[#This Row],[Total Ingresos]]-Table81011[[#This Row],[Total Egresos]]+S29</f>
        <v>2262922.9166666633</v>
      </c>
    </row>
    <row r="46" spans="2:19" x14ac:dyDescent="0.2">
      <c r="B46" s="59" t="s">
        <v>157</v>
      </c>
      <c r="C46" s="62">
        <f t="shared" si="32"/>
        <v>420000</v>
      </c>
      <c r="D46" s="62">
        <v>78970</v>
      </c>
      <c r="E46" s="62">
        <v>2355833.3333333316</v>
      </c>
      <c r="F46" s="62">
        <f>SUM(Table81011[[#This Row],[Usuarios Premium]:[Empresas con datos vendidos]])</f>
        <v>2434803.3333333316</v>
      </c>
      <c r="G46" s="62">
        <v>25000</v>
      </c>
      <c r="H46" s="68">
        <v>12043</v>
      </c>
      <c r="I46" s="68">
        <v>17890</v>
      </c>
      <c r="J46" s="68">
        <v>1300</v>
      </c>
      <c r="K46" s="68">
        <v>28000</v>
      </c>
      <c r="L46" s="67">
        <v>42600</v>
      </c>
      <c r="M46" s="67">
        <v>14800</v>
      </c>
      <c r="N46" s="62">
        <v>40000</v>
      </c>
      <c r="O46" s="62">
        <v>54000</v>
      </c>
      <c r="P46" s="62">
        <f t="shared" si="30"/>
        <v>17120.383333333335</v>
      </c>
      <c r="Q46" s="62">
        <f t="shared" si="31"/>
        <v>68481.53333333334</v>
      </c>
      <c r="R46" s="62">
        <f>Table81011[[#This Row],[Prestamo Gobierno]]+Table81011[[#This Row],[Prestamo Bancario]]+Table81011[[#This Row],[Servidores]]+Table81011[[#This Row],[Publicidad]]+Table81011[[#This Row],[Personal de Cocina]]+Table81011[[#This Row],[Personal de Seguridad de Instalaciones]]+Table81011[[#This Row],[Personal de Limpieza]]+Table81011[[#This Row],[Internet]]+Table81011[[#This Row],[Luz]]+Table81011[[#This Row],[Agua]]+Table81011[[#This Row],[Renta]]+Table81011[[#This Row],[Sueldo]]</f>
        <v>741234.91666666674</v>
      </c>
      <c r="S46" s="62">
        <f>Table81011[[#This Row],[Total Ingresos]]-Table81011[[#This Row],[Total Egresos]]+S30</f>
        <v>2603501.9166666633</v>
      </c>
    </row>
    <row r="47" spans="2:19" x14ac:dyDescent="0.2">
      <c r="B47" s="59" t="s">
        <v>165</v>
      </c>
      <c r="C47" s="62">
        <f>SUM(C35:C46)</f>
        <v>5040000</v>
      </c>
      <c r="D47" s="62">
        <f t="shared" ref="D47" si="33">SUM(D35:D46)</f>
        <v>750960</v>
      </c>
      <c r="E47" s="62">
        <f t="shared" ref="E47" si="34">SUM(E35:E46)</f>
        <v>22824999.999999981</v>
      </c>
      <c r="F47" s="62">
        <f t="shared" ref="F47" si="35">SUM(F35:F46)</f>
        <v>23575959.999999981</v>
      </c>
      <c r="G47" s="62">
        <f t="shared" ref="G47" si="36">SUM(G35:G46)</f>
        <v>300000</v>
      </c>
      <c r="H47" s="62">
        <f t="shared" ref="H47" si="37">SUM(H35:H46)</f>
        <v>144516</v>
      </c>
      <c r="I47" s="62">
        <f t="shared" ref="I47" si="38">SUM(I35:I46)</f>
        <v>214680</v>
      </c>
      <c r="J47" s="62">
        <f t="shared" ref="J47" si="39">SUM(J35:J46)</f>
        <v>15600</v>
      </c>
      <c r="K47" s="62">
        <f t="shared" ref="K47" si="40">SUM(K35:K46)</f>
        <v>336000</v>
      </c>
      <c r="L47" s="62">
        <f t="shared" ref="L47" si="41">SUM(L35:L46)</f>
        <v>511200</v>
      </c>
      <c r="M47" s="62">
        <f t="shared" ref="M47" si="42">SUM(M35:M46)</f>
        <v>177600</v>
      </c>
      <c r="N47" s="62">
        <f t="shared" ref="N47" si="43">SUM(N35:N46)</f>
        <v>240000</v>
      </c>
      <c r="O47" s="62">
        <f t="shared" ref="O47" si="44">SUM(O35:O46)</f>
        <v>648000</v>
      </c>
      <c r="P47" s="62">
        <f t="shared" ref="P47" si="45">SUM(P35:P46)</f>
        <v>205444.6</v>
      </c>
      <c r="Q47" s="62">
        <f t="shared" ref="Q47" si="46">SUM(Q35:Q46)</f>
        <v>821778.4</v>
      </c>
      <c r="R47" s="62">
        <f t="shared" ref="R47" si="47">SUM(R35:R46)</f>
        <v>8654819.0000000019</v>
      </c>
      <c r="S47" s="62">
        <f>Table81011[[#This Row],[Total Ingresos]]-Table81011[[#This Row],[Total Egresos]]+S31</f>
        <v>14388883.999999963</v>
      </c>
    </row>
    <row r="50" spans="2:19" ht="63.75" x14ac:dyDescent="0.2">
      <c r="B50" s="58" t="s">
        <v>149</v>
      </c>
      <c r="C50" s="58" t="s">
        <v>168</v>
      </c>
      <c r="D50" s="58" t="s">
        <v>151</v>
      </c>
      <c r="E50" s="58" t="s">
        <v>152</v>
      </c>
      <c r="F50" s="58" t="s">
        <v>169</v>
      </c>
      <c r="G50" s="58" t="s">
        <v>170</v>
      </c>
      <c r="H50" s="58" t="s">
        <v>106</v>
      </c>
      <c r="I50" s="58" t="s">
        <v>105</v>
      </c>
      <c r="J50" s="58" t="s">
        <v>107</v>
      </c>
      <c r="K50" s="58" t="s">
        <v>108</v>
      </c>
      <c r="L50" s="58" t="s">
        <v>173</v>
      </c>
      <c r="M50" s="58" t="s">
        <v>110</v>
      </c>
      <c r="N50" s="58" t="s">
        <v>112</v>
      </c>
      <c r="O50" s="58" t="s">
        <v>174</v>
      </c>
      <c r="P50" s="58" t="s">
        <v>175</v>
      </c>
      <c r="Q50" s="58" t="s">
        <v>176</v>
      </c>
      <c r="R50" s="58" t="s">
        <v>171</v>
      </c>
      <c r="S50" s="58" t="s">
        <v>172</v>
      </c>
    </row>
    <row r="51" spans="2:19" x14ac:dyDescent="0.2">
      <c r="B51" s="59" t="s">
        <v>159</v>
      </c>
      <c r="C51" s="62">
        <f>5040000/12</f>
        <v>420000</v>
      </c>
      <c r="D51" s="62">
        <v>75990</v>
      </c>
      <c r="E51" s="62">
        <v>2273333.3333333316</v>
      </c>
      <c r="F51" s="62">
        <f>SUM(Table8101112[[#This Row],[Usuarios Premium]:[Empresas con datos vendidos]])</f>
        <v>2349323.3333333316</v>
      </c>
      <c r="G51" s="62">
        <v>25000</v>
      </c>
      <c r="H51" s="68">
        <v>12043</v>
      </c>
      <c r="I51" s="68">
        <v>17890</v>
      </c>
      <c r="J51" s="68">
        <v>1300</v>
      </c>
      <c r="K51" s="68">
        <v>28000</v>
      </c>
      <c r="L51" s="67">
        <v>42600</v>
      </c>
      <c r="M51" s="67">
        <v>14800</v>
      </c>
      <c r="N51" s="62">
        <v>0</v>
      </c>
      <c r="O51" s="62">
        <v>54000</v>
      </c>
      <c r="P51" s="62">
        <f t="shared" ref="P51:P62" si="48">(1027223/5)/12</f>
        <v>17120.383333333335</v>
      </c>
      <c r="Q51" s="62">
        <f t="shared" ref="Q51:Q62" si="49">(4108892/5)/12</f>
        <v>68481.53333333334</v>
      </c>
      <c r="R51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1" s="62">
        <f>Table8101112[[#This Row],[Total Ingresos]]-Table8101112[[#This Row],[Total Egresos]]+S35</f>
        <v>1770296.9999999963</v>
      </c>
    </row>
    <row r="52" spans="2:19" x14ac:dyDescent="0.2">
      <c r="B52" s="59" t="s">
        <v>160</v>
      </c>
      <c r="C52" s="62">
        <f t="shared" ref="C52:C62" si="50">5040000/12</f>
        <v>420000</v>
      </c>
      <c r="D52" s="62">
        <v>78970</v>
      </c>
      <c r="E52" s="62">
        <v>2355833.3333333316</v>
      </c>
      <c r="F52" s="62">
        <f>SUM(Table8101112[[#This Row],[Usuarios Premium]:[Empresas con datos vendidos]])</f>
        <v>2434803.3333333316</v>
      </c>
      <c r="G52" s="62">
        <v>25000</v>
      </c>
      <c r="H52" s="68">
        <v>12043</v>
      </c>
      <c r="I52" s="68">
        <v>17890</v>
      </c>
      <c r="J52" s="68">
        <v>1300</v>
      </c>
      <c r="K52" s="68">
        <v>28000</v>
      </c>
      <c r="L52" s="67">
        <v>42600</v>
      </c>
      <c r="M52" s="67">
        <v>14800</v>
      </c>
      <c r="N52" s="62">
        <v>0</v>
      </c>
      <c r="O52" s="62">
        <v>54000</v>
      </c>
      <c r="P52" s="62">
        <f t="shared" si="48"/>
        <v>17120.383333333335</v>
      </c>
      <c r="Q52" s="62">
        <f t="shared" si="49"/>
        <v>68481.53333333334</v>
      </c>
      <c r="R52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2" s="62">
        <f>Table8101112[[#This Row],[Total Ingresos]]-Table8101112[[#This Row],[Total Egresos]]+S36</f>
        <v>1999236.9999999963</v>
      </c>
    </row>
    <row r="53" spans="2:19" x14ac:dyDescent="0.2">
      <c r="B53" s="59" t="s">
        <v>19</v>
      </c>
      <c r="C53" s="62">
        <f t="shared" si="50"/>
        <v>420000</v>
      </c>
      <c r="D53" s="62">
        <v>81950</v>
      </c>
      <c r="E53" s="62">
        <v>2438333.3333333316</v>
      </c>
      <c r="F53" s="62">
        <f>SUM(Table8101112[[#This Row],[Usuarios Premium]:[Empresas con datos vendidos]])</f>
        <v>2520283.3333333316</v>
      </c>
      <c r="G53" s="62">
        <v>25000</v>
      </c>
      <c r="H53" s="68">
        <v>12043</v>
      </c>
      <c r="I53" s="68">
        <v>17890</v>
      </c>
      <c r="J53" s="68">
        <v>1300</v>
      </c>
      <c r="K53" s="68">
        <v>28000</v>
      </c>
      <c r="L53" s="67">
        <v>42600</v>
      </c>
      <c r="M53" s="67">
        <v>14800</v>
      </c>
      <c r="N53" s="62">
        <v>0</v>
      </c>
      <c r="O53" s="62">
        <v>54000</v>
      </c>
      <c r="P53" s="62">
        <f t="shared" si="48"/>
        <v>17120.383333333335</v>
      </c>
      <c r="Q53" s="62">
        <f t="shared" si="49"/>
        <v>68481.53333333334</v>
      </c>
      <c r="R53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3" s="62">
        <f>Table8101112[[#This Row],[Total Ingresos]]-Table8101112[[#This Row],[Total Egresos]]+S37</f>
        <v>2283176.9999999963</v>
      </c>
    </row>
    <row r="54" spans="2:19" x14ac:dyDescent="0.2">
      <c r="B54" s="59" t="s">
        <v>20</v>
      </c>
      <c r="C54" s="62">
        <f t="shared" si="50"/>
        <v>420000</v>
      </c>
      <c r="D54" s="62">
        <v>84930</v>
      </c>
      <c r="E54" s="62">
        <v>2520833.3333333316</v>
      </c>
      <c r="F54" s="62">
        <f>SUM(Table8101112[[#This Row],[Usuarios Premium]:[Empresas con datos vendidos]])</f>
        <v>2605763.3333333316</v>
      </c>
      <c r="G54" s="62">
        <v>25000</v>
      </c>
      <c r="H54" s="68">
        <v>12043</v>
      </c>
      <c r="I54" s="68">
        <v>17890</v>
      </c>
      <c r="J54" s="68">
        <v>1300</v>
      </c>
      <c r="K54" s="68">
        <v>28000</v>
      </c>
      <c r="L54" s="67">
        <v>42600</v>
      </c>
      <c r="M54" s="67">
        <v>14800</v>
      </c>
      <c r="N54" s="62">
        <v>0</v>
      </c>
      <c r="O54" s="62">
        <v>54000</v>
      </c>
      <c r="P54" s="62">
        <f t="shared" si="48"/>
        <v>17120.383333333335</v>
      </c>
      <c r="Q54" s="62">
        <f t="shared" si="49"/>
        <v>68481.53333333334</v>
      </c>
      <c r="R54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4" s="62">
        <f>Table8101112[[#This Row],[Total Ingresos]]-Table8101112[[#This Row],[Total Egresos]]+S38</f>
        <v>2530450.3333333279</v>
      </c>
    </row>
    <row r="55" spans="2:19" x14ac:dyDescent="0.2">
      <c r="B55" s="59" t="s">
        <v>21</v>
      </c>
      <c r="C55" s="62">
        <f t="shared" si="50"/>
        <v>420000</v>
      </c>
      <c r="D55" s="62">
        <v>87910</v>
      </c>
      <c r="E55" s="62">
        <v>2603333.3333333316</v>
      </c>
      <c r="F55" s="62">
        <f>SUM(Table8101112[[#This Row],[Usuarios Premium]:[Empresas con datos vendidos]])</f>
        <v>2691243.3333333316</v>
      </c>
      <c r="G55" s="62">
        <v>25000</v>
      </c>
      <c r="H55" s="68">
        <v>12043</v>
      </c>
      <c r="I55" s="68">
        <v>17890</v>
      </c>
      <c r="J55" s="68">
        <v>1300</v>
      </c>
      <c r="K55" s="68">
        <v>28000</v>
      </c>
      <c r="L55" s="67">
        <v>42600</v>
      </c>
      <c r="M55" s="67">
        <v>14800</v>
      </c>
      <c r="N55" s="62">
        <v>0</v>
      </c>
      <c r="O55" s="62">
        <v>54000</v>
      </c>
      <c r="P55" s="62">
        <f t="shared" si="48"/>
        <v>17120.383333333335</v>
      </c>
      <c r="Q55" s="62">
        <f t="shared" si="49"/>
        <v>68481.53333333334</v>
      </c>
      <c r="R55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5" s="62">
        <f>Table8101112[[#This Row],[Total Ingresos]]-Table8101112[[#This Row],[Total Egresos]]+S39</f>
        <v>2786890.3333333279</v>
      </c>
    </row>
    <row r="56" spans="2:19" x14ac:dyDescent="0.2">
      <c r="B56" s="59" t="s">
        <v>22</v>
      </c>
      <c r="C56" s="62">
        <f t="shared" si="50"/>
        <v>420000</v>
      </c>
      <c r="D56" s="62">
        <v>90890</v>
      </c>
      <c r="E56" s="62">
        <v>2685833.3333333316</v>
      </c>
      <c r="F56" s="62">
        <f>SUM(Table8101112[[#This Row],[Usuarios Premium]:[Empresas con datos vendidos]])</f>
        <v>2776723.3333333316</v>
      </c>
      <c r="G56" s="62">
        <v>25000</v>
      </c>
      <c r="H56" s="68">
        <v>12043</v>
      </c>
      <c r="I56" s="68">
        <v>17890</v>
      </c>
      <c r="J56" s="68">
        <v>1300</v>
      </c>
      <c r="K56" s="68">
        <v>28000</v>
      </c>
      <c r="L56" s="67">
        <v>42600</v>
      </c>
      <c r="M56" s="67">
        <v>14800</v>
      </c>
      <c r="N56" s="62">
        <v>0</v>
      </c>
      <c r="O56" s="62">
        <v>54000</v>
      </c>
      <c r="P56" s="62">
        <f t="shared" si="48"/>
        <v>17120.383333333335</v>
      </c>
      <c r="Q56" s="62">
        <f t="shared" si="49"/>
        <v>68481.53333333334</v>
      </c>
      <c r="R56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701234.91666666674</v>
      </c>
      <c r="S56" s="62">
        <f>Table8101112[[#This Row],[Total Ingresos]]-Table8101112[[#This Row],[Total Egresos]]+S40</f>
        <v>3099820.3333333279</v>
      </c>
    </row>
    <row r="57" spans="2:19" x14ac:dyDescent="0.2">
      <c r="B57" s="59" t="s">
        <v>23</v>
      </c>
      <c r="C57" s="62">
        <f t="shared" si="50"/>
        <v>420000</v>
      </c>
      <c r="D57" s="62">
        <v>93870</v>
      </c>
      <c r="E57" s="62">
        <v>2768333.3333333316</v>
      </c>
      <c r="F57" s="62">
        <f>SUM(Table8101112[[#This Row],[Usuarios Premium]:[Empresas con datos vendidos]])</f>
        <v>2862203.3333333316</v>
      </c>
      <c r="G57" s="62">
        <v>25000</v>
      </c>
      <c r="H57" s="68">
        <v>12043</v>
      </c>
      <c r="I57" s="68">
        <v>17890</v>
      </c>
      <c r="J57" s="68">
        <v>1300</v>
      </c>
      <c r="K57" s="68">
        <v>28000</v>
      </c>
      <c r="L57" s="67">
        <v>42600</v>
      </c>
      <c r="M57" s="67">
        <v>14800</v>
      </c>
      <c r="N57" s="62">
        <v>40000</v>
      </c>
      <c r="O57" s="62">
        <v>54000</v>
      </c>
      <c r="P57" s="62">
        <f t="shared" si="48"/>
        <v>17120.383333333335</v>
      </c>
      <c r="Q57" s="62">
        <f t="shared" si="49"/>
        <v>68481.53333333334</v>
      </c>
      <c r="R57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57" s="62">
        <f>Table8101112[[#This Row],[Total Ingresos]]-Table8101112[[#This Row],[Total Egresos]]+S41</f>
        <v>3308495.3333333284</v>
      </c>
    </row>
    <row r="58" spans="2:19" x14ac:dyDescent="0.2">
      <c r="B58" s="59" t="s">
        <v>161</v>
      </c>
      <c r="C58" s="62">
        <f t="shared" si="50"/>
        <v>420000</v>
      </c>
      <c r="D58" s="62">
        <v>96850</v>
      </c>
      <c r="E58" s="62">
        <v>2850833.3333333316</v>
      </c>
      <c r="F58" s="62">
        <f>SUM(Table8101112[[#This Row],[Usuarios Premium]:[Empresas con datos vendidos]])</f>
        <v>2947683.3333333316</v>
      </c>
      <c r="G58" s="62">
        <v>25000</v>
      </c>
      <c r="H58" s="68">
        <v>12043</v>
      </c>
      <c r="I58" s="68">
        <v>17890</v>
      </c>
      <c r="J58" s="68">
        <v>1300</v>
      </c>
      <c r="K58" s="68">
        <v>28000</v>
      </c>
      <c r="L58" s="67">
        <v>42600</v>
      </c>
      <c r="M58" s="67">
        <v>14800</v>
      </c>
      <c r="N58" s="62">
        <v>40000</v>
      </c>
      <c r="O58" s="62">
        <v>54000</v>
      </c>
      <c r="P58" s="62">
        <f t="shared" si="48"/>
        <v>17120.383333333335</v>
      </c>
      <c r="Q58" s="62">
        <f t="shared" si="49"/>
        <v>68481.53333333334</v>
      </c>
      <c r="R58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58" s="62">
        <f>Table8101112[[#This Row],[Total Ingresos]]-Table8101112[[#This Row],[Total Egresos]]+S42</f>
        <v>3620680.3333333284</v>
      </c>
    </row>
    <row r="59" spans="2:19" x14ac:dyDescent="0.2">
      <c r="B59" s="59" t="s">
        <v>162</v>
      </c>
      <c r="C59" s="62">
        <f t="shared" si="50"/>
        <v>420000</v>
      </c>
      <c r="D59" s="62">
        <v>99830</v>
      </c>
      <c r="E59" s="62">
        <v>2933333.3333333316</v>
      </c>
      <c r="F59" s="62">
        <f>SUM(Table8101112[[#This Row],[Usuarios Premium]:[Empresas con datos vendidos]])</f>
        <v>3033163.3333333316</v>
      </c>
      <c r="G59" s="62">
        <v>25000</v>
      </c>
      <c r="H59" s="68">
        <v>12043</v>
      </c>
      <c r="I59" s="68">
        <v>17890</v>
      </c>
      <c r="J59" s="68">
        <v>1300</v>
      </c>
      <c r="K59" s="68">
        <v>28000</v>
      </c>
      <c r="L59" s="67">
        <v>42600</v>
      </c>
      <c r="M59" s="67">
        <v>14800</v>
      </c>
      <c r="N59" s="62">
        <v>40000</v>
      </c>
      <c r="O59" s="62">
        <v>54000</v>
      </c>
      <c r="P59" s="62">
        <f t="shared" si="48"/>
        <v>17120.383333333335</v>
      </c>
      <c r="Q59" s="62">
        <f t="shared" si="49"/>
        <v>68481.53333333334</v>
      </c>
      <c r="R59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59" s="62">
        <f>Table8101112[[#This Row],[Total Ingresos]]-Table8101112[[#This Row],[Total Egresos]]+S43</f>
        <v>3934355.3333333284</v>
      </c>
    </row>
    <row r="60" spans="2:19" x14ac:dyDescent="0.2">
      <c r="B60" s="59" t="s">
        <v>163</v>
      </c>
      <c r="C60" s="62">
        <f t="shared" si="50"/>
        <v>420000</v>
      </c>
      <c r="D60" s="62">
        <v>102810</v>
      </c>
      <c r="E60" s="62">
        <v>3015833.3333333316</v>
      </c>
      <c r="F60" s="62">
        <f>SUM(Table8101112[[#This Row],[Usuarios Premium]:[Empresas con datos vendidos]])</f>
        <v>3118643.3333333316</v>
      </c>
      <c r="G60" s="62">
        <v>25000</v>
      </c>
      <c r="H60" s="68">
        <v>12043</v>
      </c>
      <c r="I60" s="68">
        <v>17890</v>
      </c>
      <c r="J60" s="68">
        <v>1300</v>
      </c>
      <c r="K60" s="68">
        <v>28000</v>
      </c>
      <c r="L60" s="67">
        <v>42600</v>
      </c>
      <c r="M60" s="67">
        <v>14800</v>
      </c>
      <c r="N60" s="62">
        <v>40000</v>
      </c>
      <c r="O60" s="62">
        <v>54000</v>
      </c>
      <c r="P60" s="62">
        <f t="shared" si="48"/>
        <v>17120.383333333335</v>
      </c>
      <c r="Q60" s="62">
        <f t="shared" si="49"/>
        <v>68481.53333333334</v>
      </c>
      <c r="R60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60" s="62">
        <f>Table8101112[[#This Row],[Total Ingresos]]-Table8101112[[#This Row],[Total Egresos]]+S44</f>
        <v>4356540.3333333284</v>
      </c>
    </row>
    <row r="61" spans="2:19" x14ac:dyDescent="0.2">
      <c r="B61" s="59" t="s">
        <v>158</v>
      </c>
      <c r="C61" s="62">
        <f t="shared" si="50"/>
        <v>420000</v>
      </c>
      <c r="D61" s="62">
        <v>105790</v>
      </c>
      <c r="E61" s="62">
        <v>3098333.3333333316</v>
      </c>
      <c r="F61" s="62">
        <f>SUM(Table8101112[[#This Row],[Usuarios Premium]:[Empresas con datos vendidos]])</f>
        <v>3204123.3333333316</v>
      </c>
      <c r="G61" s="62">
        <v>25000</v>
      </c>
      <c r="H61" s="68">
        <v>12043</v>
      </c>
      <c r="I61" s="68">
        <v>17890</v>
      </c>
      <c r="J61" s="68">
        <v>1300</v>
      </c>
      <c r="K61" s="68">
        <v>28000</v>
      </c>
      <c r="L61" s="67">
        <v>42600</v>
      </c>
      <c r="M61" s="67">
        <v>14800</v>
      </c>
      <c r="N61" s="62">
        <v>40000</v>
      </c>
      <c r="O61" s="62">
        <v>54000</v>
      </c>
      <c r="P61" s="62">
        <f t="shared" si="48"/>
        <v>17120.383333333335</v>
      </c>
      <c r="Q61" s="62">
        <f t="shared" si="49"/>
        <v>68481.53333333334</v>
      </c>
      <c r="R61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61" s="62">
        <f>Table8101112[[#This Row],[Total Ingresos]]-Table8101112[[#This Row],[Total Egresos]]+S45</f>
        <v>4725811.3333333284</v>
      </c>
    </row>
    <row r="62" spans="2:19" x14ac:dyDescent="0.2">
      <c r="B62" s="59" t="s">
        <v>157</v>
      </c>
      <c r="C62" s="62">
        <f t="shared" si="50"/>
        <v>420000</v>
      </c>
      <c r="D62" s="62">
        <v>108770</v>
      </c>
      <c r="E62" s="62">
        <v>3180833.3333333316</v>
      </c>
      <c r="F62" s="62">
        <f>SUM(Table8101112[[#This Row],[Usuarios Premium]:[Empresas con datos vendidos]])</f>
        <v>3289603.3333333316</v>
      </c>
      <c r="G62" s="62">
        <v>25000</v>
      </c>
      <c r="H62" s="68">
        <v>12043</v>
      </c>
      <c r="I62" s="68">
        <v>17890</v>
      </c>
      <c r="J62" s="68">
        <v>1300</v>
      </c>
      <c r="K62" s="68">
        <v>28000</v>
      </c>
      <c r="L62" s="67">
        <v>42600</v>
      </c>
      <c r="M62" s="67">
        <v>14800</v>
      </c>
      <c r="N62" s="62">
        <v>40000</v>
      </c>
      <c r="O62" s="62">
        <v>54000</v>
      </c>
      <c r="P62" s="62">
        <f t="shared" si="48"/>
        <v>17120.383333333335</v>
      </c>
      <c r="Q62" s="62">
        <f t="shared" si="49"/>
        <v>68481.53333333334</v>
      </c>
      <c r="R62" s="62">
        <f>Table8101112[[#This Row],[Prestamo Gobierno]]+Table8101112[[#This Row],[Prestamo Bancario]]+Table8101112[[#This Row],[Servidores]]+Table8101112[[#This Row],[Publicidad]]+Table8101112[[#This Row],[Personal de Cocina]]+Table8101112[[#This Row],[Personal de Seguridad de Instalaciones]]+Table8101112[[#This Row],[Personal de Limpieza]]+Table8101112[[#This Row],[Internet]]+Table8101112[[#This Row],[Luz]]+Table8101112[[#This Row],[Agua]]+Table8101112[[#This Row],[Renta]]+Table8101112[[#This Row],[Sueldo]]</f>
        <v>741234.91666666674</v>
      </c>
      <c r="S62" s="62">
        <f>Table8101112[[#This Row],[Total Ingresos]]-Table8101112[[#This Row],[Total Egresos]]+S46</f>
        <v>5151870.3333333284</v>
      </c>
    </row>
    <row r="63" spans="2:19" x14ac:dyDescent="0.2">
      <c r="B63" s="59" t="s">
        <v>166</v>
      </c>
      <c r="C63" s="62">
        <f>SUM(C51:C62)</f>
        <v>5040000</v>
      </c>
      <c r="D63" s="62">
        <f t="shared" ref="D63" si="51">SUM(D51:D62)</f>
        <v>1108560</v>
      </c>
      <c r="E63" s="62">
        <f t="shared" ref="E63" si="52">SUM(E51:E62)</f>
        <v>32724999.999999981</v>
      </c>
      <c r="F63" s="62">
        <f t="shared" ref="F63" si="53">SUM(F51:F62)</f>
        <v>33833559.999999978</v>
      </c>
      <c r="G63" s="62">
        <f t="shared" ref="G63" si="54">SUM(G51:G62)</f>
        <v>300000</v>
      </c>
      <c r="H63" s="62">
        <f t="shared" ref="H63" si="55">SUM(H51:H62)</f>
        <v>144516</v>
      </c>
      <c r="I63" s="62">
        <f t="shared" ref="I63" si="56">SUM(I51:I62)</f>
        <v>214680</v>
      </c>
      <c r="J63" s="62">
        <f t="shared" ref="J63" si="57">SUM(J51:J62)</f>
        <v>15600</v>
      </c>
      <c r="K63" s="62">
        <f t="shared" ref="K63" si="58">SUM(K51:K62)</f>
        <v>336000</v>
      </c>
      <c r="L63" s="62">
        <f t="shared" ref="L63" si="59">SUM(L51:L62)</f>
        <v>511200</v>
      </c>
      <c r="M63" s="62">
        <f t="shared" ref="M63" si="60">SUM(M51:M62)</f>
        <v>177600</v>
      </c>
      <c r="N63" s="62">
        <f t="shared" ref="N63" si="61">SUM(N51:N62)</f>
        <v>240000</v>
      </c>
      <c r="O63" s="62">
        <f t="shared" ref="O63" si="62">SUM(O51:O62)</f>
        <v>648000</v>
      </c>
      <c r="P63" s="62">
        <f t="shared" ref="P63" si="63">SUM(P51:P62)</f>
        <v>205444.6</v>
      </c>
      <c r="Q63" s="62">
        <f t="shared" ref="Q63" si="64">SUM(Q51:Q62)</f>
        <v>821778.4</v>
      </c>
      <c r="R63" s="62">
        <f t="shared" ref="R63" si="65">SUM(R51:R62)</f>
        <v>8654819.0000000019</v>
      </c>
      <c r="S63" s="62">
        <f>Table8101112[[#This Row],[Total Ingresos]]-Table8101112[[#This Row],[Total Egresos]]+S47</f>
        <v>39567624.99999994</v>
      </c>
    </row>
    <row r="66" spans="2:19" ht="63.75" x14ac:dyDescent="0.2">
      <c r="B66" s="58" t="s">
        <v>149</v>
      </c>
      <c r="C66" s="58" t="s">
        <v>168</v>
      </c>
      <c r="D66" s="58" t="s">
        <v>151</v>
      </c>
      <c r="E66" s="58" t="s">
        <v>152</v>
      </c>
      <c r="F66" s="58" t="s">
        <v>169</v>
      </c>
      <c r="G66" s="58" t="s">
        <v>170</v>
      </c>
      <c r="H66" s="58" t="s">
        <v>106</v>
      </c>
      <c r="I66" s="58" t="s">
        <v>105</v>
      </c>
      <c r="J66" s="58" t="s">
        <v>107</v>
      </c>
      <c r="K66" s="58" t="s">
        <v>108</v>
      </c>
      <c r="L66" s="58" t="s">
        <v>173</v>
      </c>
      <c r="M66" s="58" t="s">
        <v>110</v>
      </c>
      <c r="N66" s="58" t="s">
        <v>112</v>
      </c>
      <c r="O66" s="58" t="s">
        <v>174</v>
      </c>
      <c r="P66" s="58" t="s">
        <v>175</v>
      </c>
      <c r="Q66" s="58" t="s">
        <v>176</v>
      </c>
      <c r="R66" s="58" t="s">
        <v>171</v>
      </c>
      <c r="S66" s="58" t="s">
        <v>172</v>
      </c>
    </row>
    <row r="67" spans="2:19" x14ac:dyDescent="0.2">
      <c r="B67" s="59" t="s">
        <v>159</v>
      </c>
      <c r="C67" s="62">
        <f>5040000/12</f>
        <v>420000</v>
      </c>
      <c r="D67" s="62">
        <v>105790</v>
      </c>
      <c r="E67" s="62">
        <v>3098333.3333333316</v>
      </c>
      <c r="F67" s="62">
        <f>SUM(Table810111213[[#This Row],[Usuarios Premium]:[Empresas con datos vendidos]])</f>
        <v>3204123.3333333316</v>
      </c>
      <c r="G67" s="62">
        <v>25000</v>
      </c>
      <c r="H67" s="68">
        <v>12043</v>
      </c>
      <c r="I67" s="68">
        <v>17890</v>
      </c>
      <c r="J67" s="68">
        <v>1300</v>
      </c>
      <c r="K67" s="68">
        <v>28000</v>
      </c>
      <c r="L67" s="67">
        <v>42600</v>
      </c>
      <c r="M67" s="67">
        <v>14800</v>
      </c>
      <c r="N67" s="62">
        <v>0</v>
      </c>
      <c r="O67" s="62">
        <v>54000</v>
      </c>
      <c r="P67" s="62">
        <f t="shared" ref="P67:P78" si="66">(1027223/5)/12</f>
        <v>17120.383333333335</v>
      </c>
      <c r="Q67" s="62">
        <f t="shared" ref="Q67:Q78" si="67">(4108892/5)/12</f>
        <v>68481.53333333334</v>
      </c>
      <c r="R67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67" s="62">
        <f>Table810111213[[#This Row],[Total Ingresos]]-Table810111213[[#This Row],[Total Egresos]]+S51</f>
        <v>4273185.4166666614</v>
      </c>
    </row>
    <row r="68" spans="2:19" x14ac:dyDescent="0.2">
      <c r="B68" s="59" t="s">
        <v>160</v>
      </c>
      <c r="C68" s="62">
        <f t="shared" ref="C68:C78" si="68">5040000/12</f>
        <v>420000</v>
      </c>
      <c r="D68" s="62">
        <v>108770</v>
      </c>
      <c r="E68" s="62">
        <v>3180833.3333333316</v>
      </c>
      <c r="F68" s="62">
        <f>SUM(Table810111213[[#This Row],[Usuarios Premium]:[Empresas con datos vendidos]])</f>
        <v>3289603.3333333316</v>
      </c>
      <c r="G68" s="62">
        <v>25000</v>
      </c>
      <c r="H68" s="68">
        <v>12043</v>
      </c>
      <c r="I68" s="68">
        <v>17890</v>
      </c>
      <c r="J68" s="68">
        <v>1300</v>
      </c>
      <c r="K68" s="68">
        <v>28000</v>
      </c>
      <c r="L68" s="67">
        <v>42600</v>
      </c>
      <c r="M68" s="67">
        <v>14800</v>
      </c>
      <c r="N68" s="62">
        <v>0</v>
      </c>
      <c r="O68" s="62">
        <v>54000</v>
      </c>
      <c r="P68" s="62">
        <f t="shared" si="66"/>
        <v>17120.383333333335</v>
      </c>
      <c r="Q68" s="62">
        <f t="shared" si="67"/>
        <v>68481.53333333334</v>
      </c>
      <c r="R68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68" s="62">
        <f>Table810111213[[#This Row],[Total Ingresos]]-Table810111213[[#This Row],[Total Egresos]]+S52</f>
        <v>4587605.4166666614</v>
      </c>
    </row>
    <row r="69" spans="2:19" x14ac:dyDescent="0.2">
      <c r="B69" s="59" t="s">
        <v>19</v>
      </c>
      <c r="C69" s="62">
        <f t="shared" si="68"/>
        <v>420000</v>
      </c>
      <c r="D69" s="62">
        <v>111750</v>
      </c>
      <c r="E69" s="62">
        <v>3263333.3333333316</v>
      </c>
      <c r="F69" s="62">
        <f>SUM(Table810111213[[#This Row],[Usuarios Premium]:[Empresas con datos vendidos]])</f>
        <v>3375083.3333333316</v>
      </c>
      <c r="G69" s="62">
        <v>25000</v>
      </c>
      <c r="H69" s="68">
        <v>12043</v>
      </c>
      <c r="I69" s="68">
        <v>17890</v>
      </c>
      <c r="J69" s="68">
        <v>1300</v>
      </c>
      <c r="K69" s="68">
        <v>28000</v>
      </c>
      <c r="L69" s="67">
        <v>42600</v>
      </c>
      <c r="M69" s="67">
        <v>14800</v>
      </c>
      <c r="N69" s="62">
        <v>0</v>
      </c>
      <c r="O69" s="62">
        <v>54000</v>
      </c>
      <c r="P69" s="62">
        <f t="shared" si="66"/>
        <v>17120.383333333335</v>
      </c>
      <c r="Q69" s="62">
        <f t="shared" si="67"/>
        <v>68481.53333333334</v>
      </c>
      <c r="R69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69" s="62">
        <f>Table810111213[[#This Row],[Total Ingresos]]-Table810111213[[#This Row],[Total Egresos]]+S53</f>
        <v>4957025.4166666614</v>
      </c>
    </row>
    <row r="70" spans="2:19" x14ac:dyDescent="0.2">
      <c r="B70" s="59" t="s">
        <v>20</v>
      </c>
      <c r="C70" s="62">
        <f t="shared" si="68"/>
        <v>420000</v>
      </c>
      <c r="D70" s="62">
        <v>114730</v>
      </c>
      <c r="E70" s="62">
        <v>3345833.3333333316</v>
      </c>
      <c r="F70" s="62">
        <f>SUM(Table810111213[[#This Row],[Usuarios Premium]:[Empresas con datos vendidos]])</f>
        <v>3460563.3333333316</v>
      </c>
      <c r="G70" s="62">
        <v>25000</v>
      </c>
      <c r="H70" s="68">
        <v>12043</v>
      </c>
      <c r="I70" s="68">
        <v>17890</v>
      </c>
      <c r="J70" s="68">
        <v>1300</v>
      </c>
      <c r="K70" s="68">
        <v>28000</v>
      </c>
      <c r="L70" s="67">
        <v>42600</v>
      </c>
      <c r="M70" s="67">
        <v>14800</v>
      </c>
      <c r="N70" s="62">
        <v>0</v>
      </c>
      <c r="O70" s="62">
        <v>54000</v>
      </c>
      <c r="P70" s="62">
        <f t="shared" si="66"/>
        <v>17120.383333333335</v>
      </c>
      <c r="Q70" s="62">
        <f t="shared" si="67"/>
        <v>68481.53333333334</v>
      </c>
      <c r="R70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70" s="62">
        <f>Table810111213[[#This Row],[Total Ingresos]]-Table810111213[[#This Row],[Total Egresos]]+S54</f>
        <v>5289778.7499999925</v>
      </c>
    </row>
    <row r="71" spans="2:19" x14ac:dyDescent="0.2">
      <c r="B71" s="59" t="s">
        <v>21</v>
      </c>
      <c r="C71" s="62">
        <f t="shared" si="68"/>
        <v>420000</v>
      </c>
      <c r="D71" s="62">
        <v>117710</v>
      </c>
      <c r="E71" s="62">
        <v>3428333.3333333316</v>
      </c>
      <c r="F71" s="62">
        <f>SUM(Table810111213[[#This Row],[Usuarios Premium]:[Empresas con datos vendidos]])</f>
        <v>3546043.3333333316</v>
      </c>
      <c r="G71" s="62">
        <v>25000</v>
      </c>
      <c r="H71" s="68">
        <v>12043</v>
      </c>
      <c r="I71" s="68">
        <v>17890</v>
      </c>
      <c r="J71" s="68">
        <v>1300</v>
      </c>
      <c r="K71" s="68">
        <v>28000</v>
      </c>
      <c r="L71" s="67">
        <v>42600</v>
      </c>
      <c r="M71" s="67">
        <v>14800</v>
      </c>
      <c r="N71" s="62">
        <v>0</v>
      </c>
      <c r="O71" s="62">
        <v>54000</v>
      </c>
      <c r="P71" s="62">
        <f t="shared" si="66"/>
        <v>17120.383333333335</v>
      </c>
      <c r="Q71" s="62">
        <f t="shared" si="67"/>
        <v>68481.53333333334</v>
      </c>
      <c r="R71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71" s="62">
        <f>Table810111213[[#This Row],[Total Ingresos]]-Table810111213[[#This Row],[Total Egresos]]+S55</f>
        <v>5631698.7499999925</v>
      </c>
    </row>
    <row r="72" spans="2:19" x14ac:dyDescent="0.2">
      <c r="B72" s="59" t="s">
        <v>22</v>
      </c>
      <c r="C72" s="62">
        <f t="shared" si="68"/>
        <v>420000</v>
      </c>
      <c r="D72" s="62">
        <v>120690</v>
      </c>
      <c r="E72" s="62">
        <v>3510833.3333333316</v>
      </c>
      <c r="F72" s="62">
        <f>SUM(Table810111213[[#This Row],[Usuarios Premium]:[Empresas con datos vendidos]])</f>
        <v>3631523.3333333316</v>
      </c>
      <c r="G72" s="62">
        <v>25000</v>
      </c>
      <c r="H72" s="68">
        <v>12043</v>
      </c>
      <c r="I72" s="68">
        <v>17890</v>
      </c>
      <c r="J72" s="68">
        <v>1300</v>
      </c>
      <c r="K72" s="68">
        <v>28000</v>
      </c>
      <c r="L72" s="67">
        <v>42600</v>
      </c>
      <c r="M72" s="67">
        <v>14800</v>
      </c>
      <c r="N72" s="62">
        <v>0</v>
      </c>
      <c r="O72" s="62">
        <v>54000</v>
      </c>
      <c r="P72" s="62">
        <f t="shared" si="66"/>
        <v>17120.383333333335</v>
      </c>
      <c r="Q72" s="62">
        <f t="shared" si="67"/>
        <v>68481.53333333334</v>
      </c>
      <c r="R72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701234.91666666674</v>
      </c>
      <c r="S72" s="62">
        <f>Table810111213[[#This Row],[Total Ingresos]]-Table810111213[[#This Row],[Total Egresos]]+S56</f>
        <v>6030108.7499999925</v>
      </c>
    </row>
    <row r="73" spans="2:19" x14ac:dyDescent="0.2">
      <c r="B73" s="59" t="s">
        <v>23</v>
      </c>
      <c r="C73" s="62">
        <f t="shared" si="68"/>
        <v>420000</v>
      </c>
      <c r="D73" s="62">
        <v>123670</v>
      </c>
      <c r="E73" s="62">
        <v>3593333.3333333316</v>
      </c>
      <c r="F73" s="62">
        <f>SUM(Table810111213[[#This Row],[Usuarios Premium]:[Empresas con datos vendidos]])</f>
        <v>3717003.3333333316</v>
      </c>
      <c r="G73" s="62">
        <v>25000</v>
      </c>
      <c r="H73" s="68">
        <v>12043</v>
      </c>
      <c r="I73" s="68">
        <v>17890</v>
      </c>
      <c r="J73" s="68">
        <v>1300</v>
      </c>
      <c r="K73" s="68">
        <v>28000</v>
      </c>
      <c r="L73" s="67">
        <v>42600</v>
      </c>
      <c r="M73" s="67">
        <v>14800</v>
      </c>
      <c r="N73" s="62">
        <v>40000</v>
      </c>
      <c r="O73" s="62">
        <v>54000</v>
      </c>
      <c r="P73" s="62">
        <f t="shared" si="66"/>
        <v>17120.383333333335</v>
      </c>
      <c r="Q73" s="62">
        <f t="shared" si="67"/>
        <v>68481.53333333334</v>
      </c>
      <c r="R73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3" s="62">
        <f>Table810111213[[#This Row],[Total Ingresos]]-Table810111213[[#This Row],[Total Egresos]]+S57</f>
        <v>6284263.7499999935</v>
      </c>
    </row>
    <row r="74" spans="2:19" x14ac:dyDescent="0.2">
      <c r="B74" s="59" t="s">
        <v>161</v>
      </c>
      <c r="C74" s="62">
        <f t="shared" si="68"/>
        <v>420000</v>
      </c>
      <c r="D74" s="62">
        <v>126650</v>
      </c>
      <c r="E74" s="62">
        <v>3675833.3333333316</v>
      </c>
      <c r="F74" s="62">
        <f>SUM(Table810111213[[#This Row],[Usuarios Premium]:[Empresas con datos vendidos]])</f>
        <v>3802483.3333333316</v>
      </c>
      <c r="G74" s="62">
        <v>25000</v>
      </c>
      <c r="H74" s="68">
        <v>12043</v>
      </c>
      <c r="I74" s="68">
        <v>17890</v>
      </c>
      <c r="J74" s="68">
        <v>1300</v>
      </c>
      <c r="K74" s="68">
        <v>28000</v>
      </c>
      <c r="L74" s="67">
        <v>42600</v>
      </c>
      <c r="M74" s="67">
        <v>14800</v>
      </c>
      <c r="N74" s="62">
        <v>40000</v>
      </c>
      <c r="O74" s="62">
        <v>54000</v>
      </c>
      <c r="P74" s="62">
        <f t="shared" si="66"/>
        <v>17120.383333333335</v>
      </c>
      <c r="Q74" s="62">
        <f t="shared" si="67"/>
        <v>68481.53333333334</v>
      </c>
      <c r="R74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4" s="62">
        <f>Table810111213[[#This Row],[Total Ingresos]]-Table810111213[[#This Row],[Total Egresos]]+S58</f>
        <v>6681928.7499999935</v>
      </c>
    </row>
    <row r="75" spans="2:19" x14ac:dyDescent="0.2">
      <c r="B75" s="59" t="s">
        <v>162</v>
      </c>
      <c r="C75" s="62">
        <f t="shared" si="68"/>
        <v>420000</v>
      </c>
      <c r="D75" s="62">
        <v>129630</v>
      </c>
      <c r="E75" s="62">
        <v>3758333.3333333316</v>
      </c>
      <c r="F75" s="62">
        <f>SUM(Table810111213[[#This Row],[Usuarios Premium]:[Empresas con datos vendidos]])</f>
        <v>3887963.3333333316</v>
      </c>
      <c r="G75" s="62">
        <v>25000</v>
      </c>
      <c r="H75" s="68">
        <v>12043</v>
      </c>
      <c r="I75" s="68">
        <v>17890</v>
      </c>
      <c r="J75" s="68">
        <v>1300</v>
      </c>
      <c r="K75" s="68">
        <v>28000</v>
      </c>
      <c r="L75" s="67">
        <v>42600</v>
      </c>
      <c r="M75" s="67">
        <v>14800</v>
      </c>
      <c r="N75" s="62">
        <v>40000</v>
      </c>
      <c r="O75" s="62">
        <v>54000</v>
      </c>
      <c r="P75" s="62">
        <f t="shared" si="66"/>
        <v>17120.383333333335</v>
      </c>
      <c r="Q75" s="62">
        <f t="shared" si="67"/>
        <v>68481.53333333334</v>
      </c>
      <c r="R75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5" s="62">
        <f>Table810111213[[#This Row],[Total Ingresos]]-Table810111213[[#This Row],[Total Egresos]]+S59</f>
        <v>7081083.7499999935</v>
      </c>
    </row>
    <row r="76" spans="2:19" x14ac:dyDescent="0.2">
      <c r="B76" s="59" t="s">
        <v>163</v>
      </c>
      <c r="C76" s="62">
        <f t="shared" si="68"/>
        <v>420000</v>
      </c>
      <c r="D76" s="62">
        <v>132610</v>
      </c>
      <c r="E76" s="62">
        <v>3840833.3333333316</v>
      </c>
      <c r="F76" s="62">
        <f>SUM(Table810111213[[#This Row],[Usuarios Premium]:[Empresas con datos vendidos]])</f>
        <v>3973443.3333333316</v>
      </c>
      <c r="G76" s="62">
        <v>25000</v>
      </c>
      <c r="H76" s="68">
        <v>12043</v>
      </c>
      <c r="I76" s="68">
        <v>17890</v>
      </c>
      <c r="J76" s="68">
        <v>1300</v>
      </c>
      <c r="K76" s="68">
        <v>28000</v>
      </c>
      <c r="L76" s="67">
        <v>42600</v>
      </c>
      <c r="M76" s="67">
        <v>14800</v>
      </c>
      <c r="N76" s="62">
        <v>40000</v>
      </c>
      <c r="O76" s="62">
        <v>54000</v>
      </c>
      <c r="P76" s="62">
        <f t="shared" si="66"/>
        <v>17120.383333333335</v>
      </c>
      <c r="Q76" s="62">
        <f t="shared" si="67"/>
        <v>68481.53333333334</v>
      </c>
      <c r="R76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6" s="62">
        <f>Table810111213[[#This Row],[Total Ingresos]]-Table810111213[[#This Row],[Total Egresos]]+S60</f>
        <v>7588748.7499999935</v>
      </c>
    </row>
    <row r="77" spans="2:19" x14ac:dyDescent="0.2">
      <c r="B77" s="59" t="s">
        <v>158</v>
      </c>
      <c r="C77" s="62">
        <f t="shared" si="68"/>
        <v>420000</v>
      </c>
      <c r="D77" s="62">
        <v>135590</v>
      </c>
      <c r="E77" s="62">
        <v>3923333.3333333316</v>
      </c>
      <c r="F77" s="62">
        <f>SUM(Table810111213[[#This Row],[Usuarios Premium]:[Empresas con datos vendidos]])</f>
        <v>4058923.3333333316</v>
      </c>
      <c r="G77" s="62">
        <v>25000</v>
      </c>
      <c r="H77" s="68">
        <v>12043</v>
      </c>
      <c r="I77" s="68">
        <v>17890</v>
      </c>
      <c r="J77" s="68">
        <v>1300</v>
      </c>
      <c r="K77" s="68">
        <v>28000</v>
      </c>
      <c r="L77" s="67">
        <v>42600</v>
      </c>
      <c r="M77" s="67">
        <v>14800</v>
      </c>
      <c r="N77" s="62">
        <v>40000</v>
      </c>
      <c r="O77" s="62">
        <v>54000</v>
      </c>
      <c r="P77" s="62">
        <f t="shared" si="66"/>
        <v>17120.383333333335</v>
      </c>
      <c r="Q77" s="62">
        <f t="shared" si="67"/>
        <v>68481.53333333334</v>
      </c>
      <c r="R77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7" s="62">
        <f>Table810111213[[#This Row],[Total Ingresos]]-Table810111213[[#This Row],[Total Egresos]]+S61</f>
        <v>8043499.7499999935</v>
      </c>
    </row>
    <row r="78" spans="2:19" x14ac:dyDescent="0.2">
      <c r="B78" s="59" t="s">
        <v>157</v>
      </c>
      <c r="C78" s="62">
        <f t="shared" si="68"/>
        <v>420000</v>
      </c>
      <c r="D78" s="62">
        <v>138570</v>
      </c>
      <c r="E78" s="62">
        <v>4005833.3333333316</v>
      </c>
      <c r="F78" s="62">
        <f>SUM(Table810111213[[#This Row],[Usuarios Premium]:[Empresas con datos vendidos]])</f>
        <v>4144403.3333333316</v>
      </c>
      <c r="G78" s="62">
        <v>25000</v>
      </c>
      <c r="H78" s="68">
        <v>12043</v>
      </c>
      <c r="I78" s="68">
        <v>17890</v>
      </c>
      <c r="J78" s="68">
        <v>1300</v>
      </c>
      <c r="K78" s="68">
        <v>28000</v>
      </c>
      <c r="L78" s="67">
        <v>42600</v>
      </c>
      <c r="M78" s="67">
        <v>14800</v>
      </c>
      <c r="N78" s="62">
        <v>40000</v>
      </c>
      <c r="O78" s="62">
        <v>54000</v>
      </c>
      <c r="P78" s="62">
        <f t="shared" si="66"/>
        <v>17120.383333333335</v>
      </c>
      <c r="Q78" s="62">
        <f t="shared" si="67"/>
        <v>68481.53333333334</v>
      </c>
      <c r="R78" s="62">
        <f>Table810111213[[#This Row],[Prestamo Gobierno]]+Table810111213[[#This Row],[Prestamo Bancario]]+Table810111213[[#This Row],[Servidores]]+Table810111213[[#This Row],[Publicidad]]+Table810111213[[#This Row],[Personal de Cocina]]+Table810111213[[#This Row],[Personal de Seguridad de Instalaciones]]+Table810111213[[#This Row],[Personal de Limpieza]]+Table810111213[[#This Row],[Internet]]+Table810111213[[#This Row],[Luz]]+Table810111213[[#This Row],[Agua]]+Table810111213[[#This Row],[Renta]]+Table810111213[[#This Row],[Sueldo]]</f>
        <v>741234.91666666674</v>
      </c>
      <c r="S78" s="62">
        <f>Table810111213[[#This Row],[Total Ingresos]]-Table810111213[[#This Row],[Total Egresos]]+S62</f>
        <v>8555038.7499999925</v>
      </c>
    </row>
    <row r="79" spans="2:19" x14ac:dyDescent="0.2">
      <c r="B79" s="59" t="s">
        <v>167</v>
      </c>
      <c r="C79" s="62">
        <f>SUM(C67:C78)</f>
        <v>5040000</v>
      </c>
      <c r="D79" s="62">
        <f t="shared" ref="D79" si="69">SUM(D67:D78)</f>
        <v>1466160</v>
      </c>
      <c r="E79" s="62">
        <f t="shared" ref="E79" si="70">SUM(E67:E78)</f>
        <v>42624999.99999997</v>
      </c>
      <c r="F79" s="62">
        <f t="shared" ref="F79" si="71">SUM(F67:F78)</f>
        <v>44091159.99999997</v>
      </c>
      <c r="G79" s="62">
        <f t="shared" ref="G79" si="72">SUM(G67:G78)</f>
        <v>300000</v>
      </c>
      <c r="H79" s="62">
        <f t="shared" ref="H79" si="73">SUM(H67:H78)</f>
        <v>144516</v>
      </c>
      <c r="I79" s="62">
        <f t="shared" ref="I79" si="74">SUM(I67:I78)</f>
        <v>214680</v>
      </c>
      <c r="J79" s="62">
        <f t="shared" ref="J79" si="75">SUM(J67:J78)</f>
        <v>15600</v>
      </c>
      <c r="K79" s="62">
        <f t="shared" ref="K79" si="76">SUM(K67:K78)</f>
        <v>336000</v>
      </c>
      <c r="L79" s="62">
        <f t="shared" ref="L79" si="77">SUM(L67:L78)</f>
        <v>511200</v>
      </c>
      <c r="M79" s="62">
        <f t="shared" ref="M79" si="78">SUM(M67:M78)</f>
        <v>177600</v>
      </c>
      <c r="N79" s="62">
        <f t="shared" ref="N79" si="79">SUM(N67:N78)</f>
        <v>240000</v>
      </c>
      <c r="O79" s="62">
        <f t="shared" ref="O79" si="80">SUM(O67:O78)</f>
        <v>648000</v>
      </c>
      <c r="P79" s="62">
        <f t="shared" ref="P79" si="81">SUM(P67:P78)</f>
        <v>205444.6</v>
      </c>
      <c r="Q79" s="62">
        <f t="shared" ref="Q79" si="82">SUM(Q67:Q78)</f>
        <v>821778.4</v>
      </c>
      <c r="R79" s="62">
        <f t="shared" ref="R79" si="83">SUM(R67:R78)</f>
        <v>8654819.0000000019</v>
      </c>
      <c r="S79" s="62">
        <f>Table810111213[[#This Row],[Total Ingresos]]-Table810111213[[#This Row],[Total Egresos]]+S63</f>
        <v>75003965.999999911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40E-5648-400D-AB72-0420FCE389CA}">
  <dimension ref="B2:C5"/>
  <sheetViews>
    <sheetView showGridLines="0" workbookViewId="0">
      <selection activeCell="C3" sqref="C3"/>
    </sheetView>
  </sheetViews>
  <sheetFormatPr defaultRowHeight="12.75" x14ac:dyDescent="0.2"/>
  <cols>
    <col min="2" max="2" width="3.375" customWidth="1"/>
    <col min="3" max="3" width="23.125" bestFit="1" customWidth="1"/>
  </cols>
  <sheetData>
    <row r="2" spans="2:3" ht="15" x14ac:dyDescent="0.2">
      <c r="B2" s="69" t="s">
        <v>177</v>
      </c>
    </row>
    <row r="4" spans="2:3" ht="14.25" x14ac:dyDescent="0.2">
      <c r="C4" s="70" t="s">
        <v>178</v>
      </c>
    </row>
    <row r="5" spans="2:3" x14ac:dyDescent="0.2">
      <c r="C5" cm="1">
        <f t="array" ref="C5">IF(SUM(ISERROR(Table8[])*1)&gt;0,NA(),COUNTA(_xlfn.UNIQUE(Table8[Mes])))</f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DD7D-B858-4E96-B25C-7C69F58B5EF1}">
  <dimension ref="A2:C16"/>
  <sheetViews>
    <sheetView workbookViewId="0"/>
  </sheetViews>
  <sheetFormatPr defaultRowHeight="12.75" x14ac:dyDescent="0.2"/>
  <cols>
    <col min="1" max="1" width="11.5" bestFit="1" customWidth="1"/>
    <col min="2" max="2" width="35.75" bestFit="1" customWidth="1"/>
    <col min="3" max="3" width="21.125" bestFit="1" customWidth="1"/>
  </cols>
  <sheetData>
    <row r="2" spans="1:3" x14ac:dyDescent="0.2">
      <c r="A2" s="71" t="s">
        <v>149</v>
      </c>
      <c r="B2" t="s">
        <v>179</v>
      </c>
      <c r="C2" t="s">
        <v>180</v>
      </c>
    </row>
    <row r="3" spans="1:3" x14ac:dyDescent="0.2">
      <c r="A3" t="s">
        <v>156</v>
      </c>
      <c r="B3" s="61">
        <v>2420000</v>
      </c>
      <c r="C3" s="61">
        <v>2469021</v>
      </c>
    </row>
    <row r="4" spans="1:3" x14ac:dyDescent="0.2">
      <c r="A4" t="s">
        <v>157</v>
      </c>
      <c r="B4" s="61">
        <v>715000</v>
      </c>
      <c r="C4" s="61">
        <v>729900</v>
      </c>
    </row>
    <row r="5" spans="1:3" x14ac:dyDescent="0.2">
      <c r="A5" t="s">
        <v>158</v>
      </c>
      <c r="B5" s="61">
        <v>550000</v>
      </c>
      <c r="C5" s="61">
        <v>560281</v>
      </c>
    </row>
    <row r="6" spans="1:3" x14ac:dyDescent="0.2">
      <c r="A6" t="s">
        <v>163</v>
      </c>
      <c r="B6" s="61">
        <v>440000</v>
      </c>
      <c r="C6" s="61">
        <v>447450</v>
      </c>
    </row>
    <row r="7" spans="1:3" x14ac:dyDescent="0.2">
      <c r="A7" t="s">
        <v>162</v>
      </c>
      <c r="B7" s="61">
        <v>275000</v>
      </c>
      <c r="C7" s="61">
        <v>281705</v>
      </c>
    </row>
    <row r="8" spans="1:3" x14ac:dyDescent="0.2">
      <c r="A8" t="s">
        <v>161</v>
      </c>
      <c r="B8" s="61">
        <v>220000</v>
      </c>
      <c r="C8" s="61">
        <v>224470</v>
      </c>
    </row>
    <row r="9" spans="1:3" x14ac:dyDescent="0.2">
      <c r="A9" t="s">
        <v>23</v>
      </c>
      <c r="B9" s="61">
        <v>165000</v>
      </c>
      <c r="C9" s="61">
        <v>168725</v>
      </c>
    </row>
    <row r="10" spans="1:3" x14ac:dyDescent="0.2">
      <c r="A10" t="s">
        <v>22</v>
      </c>
      <c r="B10" s="61">
        <v>55000</v>
      </c>
      <c r="C10" s="61">
        <v>56490</v>
      </c>
    </row>
    <row r="11" spans="1:3" x14ac:dyDescent="0.2">
      <c r="A11" t="s">
        <v>159</v>
      </c>
      <c r="B11" s="61">
        <v>0</v>
      </c>
      <c r="C11" s="61">
        <v>0</v>
      </c>
    </row>
    <row r="12" spans="1:3" x14ac:dyDescent="0.2">
      <c r="A12" t="s">
        <v>21</v>
      </c>
      <c r="B12" s="61">
        <v>0</v>
      </c>
      <c r="C12" s="61">
        <v>0</v>
      </c>
    </row>
    <row r="13" spans="1:3" x14ac:dyDescent="0.2">
      <c r="A13" t="s">
        <v>19</v>
      </c>
      <c r="B13" s="61">
        <v>0</v>
      </c>
      <c r="C13" s="61">
        <v>0</v>
      </c>
    </row>
    <row r="14" spans="1:3" x14ac:dyDescent="0.2">
      <c r="A14" t="s">
        <v>160</v>
      </c>
      <c r="B14" s="61">
        <v>0</v>
      </c>
      <c r="C14" s="61">
        <v>0</v>
      </c>
    </row>
    <row r="15" spans="1:3" x14ac:dyDescent="0.2">
      <c r="A15" t="s">
        <v>20</v>
      </c>
      <c r="B15" s="61">
        <v>0</v>
      </c>
      <c r="C15" s="61">
        <v>0</v>
      </c>
    </row>
    <row r="16" spans="1:3" x14ac:dyDescent="0.2">
      <c r="A16" t="s">
        <v>181</v>
      </c>
      <c r="B16" s="61">
        <v>4840000</v>
      </c>
      <c r="C16" s="61">
        <v>4938042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TM04035483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Gastos</vt:lpstr>
      <vt:lpstr>Inversion</vt:lpstr>
      <vt:lpstr>Ingresos</vt:lpstr>
      <vt:lpstr>IngresosvsGastos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Bryan Omar Jimenez Velazquez</cp:lastModifiedBy>
  <cp:revision/>
  <dcterms:created xsi:type="dcterms:W3CDTF">2025-03-31T03:12:42Z</dcterms:created>
  <dcterms:modified xsi:type="dcterms:W3CDTF">2025-06-03T18:08:38Z</dcterms:modified>
  <cp:category/>
  <cp:contentStatus/>
</cp:coreProperties>
</file>