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tables/table81.xml" ContentType="application/vnd.openxmlformats-officedocument.spreadsheetml.table+xml"/>
  <Override PartName="/xl/worksheets/sheet132.xml" ContentType="application/vnd.openxmlformats-officedocument.spreadsheetml.worksheet+xml"/>
  <Override PartName="/xl/tables/table132.xml" ContentType="application/vnd.openxmlformats-officedocument.spreadsheetml.table+xml"/>
  <Override PartName="/customXml/item1.xml" ContentType="application/xml"/>
  <Override PartName="/customXml/itemProps11.xml" ContentType="application/vnd.openxmlformats-officedocument.customXmlProperties+xml"/>
  <Override PartName="/xl/worksheets/sheet33.xml" ContentType="application/vnd.openxmlformats-officedocument.spreadsheetml.worksheet+xml"/>
  <Override PartName="/xl/tables/table33.xml" ContentType="application/vnd.openxmlformats-officedocument.spreadsheetml.table+xml"/>
  <Override PartName="/xl/worksheets/sheet74.xml" ContentType="application/vnd.openxmlformats-officedocument.spreadsheetml.worksheet+xml"/>
  <Override PartName="/xl/tables/table74.xml" ContentType="application/vnd.openxmlformats-officedocument.spreadsheetml.table+xml"/>
  <Override PartName="/xl/worksheets/sheet125.xml" ContentType="application/vnd.openxmlformats-officedocument.spreadsheetml.worksheet+xml"/>
  <Override PartName="/xl/tables/table125.xml" ContentType="application/vnd.openxmlformats-officedocument.spreadsheetml.table+xml"/>
  <Override PartName="/xl/calcChain.xml" ContentType="application/vnd.openxmlformats-officedocument.spreadsheetml.calcChain+xml"/>
  <Override PartName="/xl/worksheets/sheet26.xml" ContentType="application/vnd.openxmlformats-officedocument.spreadsheetml.worksheet+xml"/>
  <Override PartName="/xl/tables/table26.xml" ContentType="application/vnd.openxmlformats-officedocument.spreadsheetml.table+xml"/>
  <Override PartName="/xl/sharedStrings.xml" ContentType="application/vnd.openxmlformats-officedocument.spreadsheetml.sharedStrings+xml"/>
  <Override PartName="/customXml/item32.xml" ContentType="application/xml"/>
  <Override PartName="/customXml/itemProps32.xml" ContentType="application/vnd.openxmlformats-officedocument.customXmlProperties+xml"/>
  <Override PartName="/xl/worksheets/sheet17.xml" ContentType="application/vnd.openxmlformats-officedocument.spreadsheetml.worksheet+xml"/>
  <Override PartName="/xl/tables/table17.xml" ContentType="application/vnd.openxmlformats-officedocument.spreadsheetml.table+xml"/>
  <Override PartName="/xl/worksheets/sheet68.xml" ContentType="application/vnd.openxmlformats-officedocument.spreadsheetml.worksheet+xml"/>
  <Override PartName="/xl/tables/table68.xml" ContentType="application/vnd.openxmlformats-officedocument.spreadsheetml.table+xml"/>
  <Override PartName="/xl/worksheets/sheet119.xml" ContentType="application/vnd.openxmlformats-officedocument.spreadsheetml.worksheet+xml"/>
  <Override PartName="/xl/tables/table119.xml" ContentType="application/vnd.openxmlformats-officedocument.spreadsheetml.table+xml"/>
  <Override PartName="/xl/worksheets/sheet510.xml" ContentType="application/vnd.openxmlformats-officedocument.spreadsheetml.worksheet+xml"/>
  <Override PartName="/xl/tables/table510.xml" ContentType="application/vnd.openxmlformats-officedocument.spreadsheetml.table+xml"/>
  <Override PartName="/xl/styles.xml" ContentType="application/vnd.openxmlformats-officedocument.spreadsheetml.styles+xml"/>
  <Override PartName="/xl/worksheets/sheet1011.xml" ContentType="application/vnd.openxmlformats-officedocument.spreadsheetml.worksheet+xml"/>
  <Override PartName="/xl/tables/table1011.xml" ContentType="application/vnd.openxmlformats-officedocument.spreadsheetml.table+xml"/>
  <Override PartName="/customXml/item23.xml" ContentType="application/xml"/>
  <Override PartName="/customXml/itemProps23.xml" ContentType="application/vnd.openxmlformats-officedocument.customXmlProperties+xml"/>
  <Override PartName="/xl/worksheets/sheet412.xml" ContentType="application/vnd.openxmlformats-officedocument.spreadsheetml.worksheet+xml"/>
  <Override PartName="/xl/tables/table412.xml" ContentType="application/vnd.openxmlformats-officedocument.spreadsheetml.table+xml"/>
  <Override PartName="/xl/worksheets/sheet913.xml" ContentType="application/vnd.openxmlformats-officedocument.spreadsheetml.worksheet+xml"/>
  <Override PartName="/xl/tables/table913.xml" ContentType="application/vnd.openxmlformats-officedocument.spreadsheetml.table+xml"/>
  <Override PartName="/xl/theme/theme11.xml" ContentType="application/vnd.openxmlformats-officedocument.theme+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04"/>
  <workbookPr filterPrivacy="1"/>
  <xr:revisionPtr revIDLastSave="22" documentId="13_ncr:1_{7FB639AE-1056-4F30-AC9F-FF80DF45A7C1}" xr6:coauthVersionLast="47" xr6:coauthVersionMax="47" xr10:uidLastSave="{B424AF13-692D-4063-98FB-88E5D5CB29C1}"/>
  <bookViews>
    <workbookView xWindow="-120" yWindow="-120" windowWidth="29040" windowHeight="17640" tabRatio="932" xr2:uid="{00000000-000D-0000-FFFF-FFFF00000000}"/>
  </bookViews>
  <sheets>
    <sheet name="Enero" sheetId="4" r:id="rId1"/>
    <sheet name="Febrero" sheetId="5" r:id="rId2"/>
    <sheet name="Marzo" sheetId="17" r:id="rId3"/>
    <sheet name="Abril" sheetId="18" r:id="rId4"/>
    <sheet name="Mayo" sheetId="19" r:id="rId5"/>
    <sheet name="Junio" sheetId="20" r:id="rId6"/>
    <sheet name="Julio" sheetId="21" r:id="rId7"/>
    <sheet name="Agosto" sheetId="22" r:id="rId8"/>
    <sheet name="Septiembre" sheetId="23" r:id="rId9"/>
    <sheet name="Octubre" sheetId="24" r:id="rId10"/>
    <sheet name="Noviembre" sheetId="25" r:id="rId11"/>
    <sheet name="Diciembre" sheetId="15" r:id="rId12"/>
    <sheet name="Nombres de los empleados" sheetId="16" r:id="rId13"/>
  </sheets>
  <definedNames>
    <definedName name="CalendarYear">Enero!$AH$6</definedName>
    <definedName name="ColumnTitle13">Nombre_del_empleado[[#Headers],[Nombres de los empleados]]</definedName>
    <definedName name="Employee_Absence_Title">Enero!$B$1</definedName>
    <definedName name="Key_name">Enero!$B$4</definedName>
    <definedName name="KeyCustom1">Enero!$O$4</definedName>
    <definedName name="KeyCustom1Label">Enero!$P$4</definedName>
    <definedName name="KeyCustom2">Enero!$T$4</definedName>
    <definedName name="KeyCustom2Label">Enero!$U$4</definedName>
    <definedName name="KeyPersonal">Enero!$G$4</definedName>
    <definedName name="KeyPersonalLabel">Enero!$H$4</definedName>
    <definedName name="KeySick">Enero!$K$4</definedName>
    <definedName name="KeySickLabel">Enero!$L$4</definedName>
    <definedName name="KeyVacation">Enero!$C$4</definedName>
    <definedName name="KeyVacationLabel">Enero!$D$4</definedName>
    <definedName name="MonthName" localSheetId="3">Abril!$B$2</definedName>
    <definedName name="MonthName" localSheetId="7">Agosto!$B$2</definedName>
    <definedName name="MonthName" localSheetId="11">Diciembre!$B$2</definedName>
    <definedName name="MonthName" localSheetId="0">Enero!$B$2</definedName>
    <definedName name="MonthName" localSheetId="1">Febrero!$B$2</definedName>
    <definedName name="MonthName" localSheetId="6">Julio!$B$2</definedName>
    <definedName name="MonthName" localSheetId="5">Junio!$B$2</definedName>
    <definedName name="MonthName" localSheetId="2">Marzo!$B$2</definedName>
    <definedName name="MonthName" localSheetId="4">Mayo!$B$4</definedName>
    <definedName name="MonthName" localSheetId="10">Noviembre!$B$2</definedName>
    <definedName name="MonthName" localSheetId="9">Octubre!$B$2</definedName>
    <definedName name="MonthName" localSheetId="8">Septiembre!$B$2</definedName>
    <definedName name="Title1">Enero[[#Headers],[Nombre del empleado]]</definedName>
    <definedName name="Title10">Octubre[[#Headers],[Nombre del empleado]]</definedName>
    <definedName name="Title11">Noviembre[[#Headers],[Nombre del empleado]]</definedName>
    <definedName name="Title12">Diciembre[[#Headers],[Nombre del empleado]]</definedName>
    <definedName name="Title2">Febrero[[#Headers],[Nombre del empleado]]</definedName>
    <definedName name="Title3">Marzo[[#Headers],[Nombre del empleado]]</definedName>
    <definedName name="Title4">March5[[#Headers],[Nombre del empleado]]</definedName>
    <definedName name="Title5">March58[[#Headers],[Nombre del empleado]]</definedName>
    <definedName name="Title6">Junio[[#Headers],[Nombre del empleado]]</definedName>
    <definedName name="Title7">Julio[[#Headers],[Nombre del empleado]]</definedName>
    <definedName name="Title8">Agosto[[#Headers],[Nombre del empleado]]</definedName>
    <definedName name="Title9">Septiembre[[#Headers],[Nombre del empleado]]</definedName>
    <definedName name="_xlnm.Print_Titles" localSheetId="3">Abril!$7:$9</definedName>
    <definedName name="_xlnm.Print_Titles" localSheetId="7">Agosto!$6:$8</definedName>
    <definedName name="_xlnm.Print_Titles" localSheetId="11">Diciembre!$6:$8</definedName>
    <definedName name="_xlnm.Print_Titles" localSheetId="0">Enero!$6:$8</definedName>
    <definedName name="_xlnm.Print_Titles" localSheetId="1">Febrero!$6:$8</definedName>
    <definedName name="_xlnm.Print_Titles" localSheetId="6">Julio!$7:$8</definedName>
    <definedName name="_xlnm.Print_Titles" localSheetId="5">Junio!$6:$8</definedName>
    <definedName name="_xlnm.Print_Titles" localSheetId="2">Marzo!$6:$8</definedName>
    <definedName name="_xlnm.Print_Titles" localSheetId="4">Mayo!$4:$6</definedName>
    <definedName name="_xlnm.Print_Titles" localSheetId="10">Noviembre!$6:$8</definedName>
    <definedName name="_xlnm.Print_Titles" localSheetId="9">Octubre!$6:$8</definedName>
    <definedName name="_xlnm.Print_Titles" localSheetId="8">Septiembre!$6:$8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7" i="4" l="1"/>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E7" i="5"/>
  <c r="AD7" i="5"/>
  <c r="AC7" i="5"/>
  <c r="AB7" i="5"/>
  <c r="AA7" i="5"/>
  <c r="Z7" i="5"/>
  <c r="Y7" i="5"/>
  <c r="X7" i="5"/>
  <c r="W7" i="5"/>
  <c r="V7" i="5"/>
  <c r="U7" i="5"/>
  <c r="T7" i="5"/>
  <c r="S7" i="5"/>
  <c r="R7" i="5"/>
  <c r="Q7" i="5"/>
  <c r="P7" i="5"/>
  <c r="O7" i="5"/>
  <c r="N7" i="5"/>
  <c r="M7" i="5"/>
  <c r="L7" i="5"/>
  <c r="K7" i="5"/>
  <c r="J7" i="5"/>
  <c r="I7" i="5"/>
  <c r="H7" i="5"/>
  <c r="G7" i="5"/>
  <c r="F7" i="5"/>
  <c r="E7" i="5"/>
  <c r="D7" i="5"/>
  <c r="C7" i="5"/>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AH6" i="15" l="1"/>
  <c r="AH6" i="25"/>
  <c r="AH6" i="24"/>
  <c r="AH6" i="23"/>
  <c r="AH6" i="22"/>
  <c r="AH6" i="21"/>
  <c r="B14" i="19"/>
  <c r="AH6" i="20"/>
  <c r="B14" i="18"/>
  <c r="B14" i="4"/>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F14" i="19"/>
  <c r="E14" i="19"/>
  <c r="D14" i="19"/>
  <c r="C14" i="19"/>
  <c r="AH13" i="19"/>
  <c r="AH12" i="19"/>
  <c r="AH11" i="19"/>
  <c r="AH10" i="19"/>
  <c r="AH9" i="19"/>
  <c r="AH6" i="19"/>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AH13" i="18"/>
  <c r="AH12" i="18"/>
  <c r="AH11" i="18"/>
  <c r="AH10" i="18"/>
  <c r="AH9" i="18"/>
  <c r="AH14" i="18" s="1"/>
  <c r="AH6" i="18"/>
  <c r="AH6" i="17"/>
  <c r="B14" i="5"/>
  <c r="AH11" i="4"/>
  <c r="AH12" i="4"/>
  <c r="AH14" i="19" l="1"/>
  <c r="B14" i="23"/>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H13" i="25"/>
  <c r="AH12" i="25"/>
  <c r="AH11" i="25"/>
  <c r="AH10" i="25"/>
  <c r="AH9" i="25"/>
  <c r="AG14" i="24"/>
  <c r="AF14" i="24"/>
  <c r="AE14" i="24"/>
  <c r="AD14" i="24"/>
  <c r="AC14" i="24"/>
  <c r="AB14" i="24"/>
  <c r="AA14" i="24"/>
  <c r="Z14" i="24"/>
  <c r="Y14" i="24"/>
  <c r="X14" i="24"/>
  <c r="W14" i="24"/>
  <c r="V14" i="24"/>
  <c r="U14" i="24"/>
  <c r="T14" i="24"/>
  <c r="S14" i="24"/>
  <c r="R14" i="24"/>
  <c r="Q14" i="24"/>
  <c r="P14" i="24"/>
  <c r="O14" i="24"/>
  <c r="N14" i="24"/>
  <c r="M14" i="24"/>
  <c r="L14" i="24"/>
  <c r="K14" i="24"/>
  <c r="J14" i="24"/>
  <c r="I14" i="24"/>
  <c r="H14" i="24"/>
  <c r="G14" i="24"/>
  <c r="F14" i="24"/>
  <c r="E14" i="24"/>
  <c r="D14" i="24"/>
  <c r="C14" i="24"/>
  <c r="B14" i="24"/>
  <c r="AH13" i="24"/>
  <c r="AH12" i="24"/>
  <c r="AH11" i="24"/>
  <c r="AH10" i="24"/>
  <c r="AH9" i="24"/>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AH13" i="23"/>
  <c r="AH12" i="23"/>
  <c r="AH11" i="23"/>
  <c r="AH10" i="23"/>
  <c r="AH9" i="23"/>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B14" i="22"/>
  <c r="AH13" i="22"/>
  <c r="AH12" i="22"/>
  <c r="AH11" i="22"/>
  <c r="AH10" i="22"/>
  <c r="AH9" i="22"/>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C14" i="21"/>
  <c r="B14" i="21"/>
  <c r="AH13" i="21"/>
  <c r="AH12" i="21"/>
  <c r="AH11" i="21"/>
  <c r="AH10" i="21"/>
  <c r="AH9" i="21"/>
  <c r="AG14" i="20"/>
  <c r="AF14" i="20"/>
  <c r="AE14" i="20"/>
  <c r="AD14" i="20"/>
  <c r="AC14" i="20"/>
  <c r="AB14" i="20"/>
  <c r="AA14" i="20"/>
  <c r="Z14" i="20"/>
  <c r="Y14" i="20"/>
  <c r="X14" i="20"/>
  <c r="W14" i="20"/>
  <c r="V14" i="20"/>
  <c r="U14" i="20"/>
  <c r="T14" i="20"/>
  <c r="S14" i="20"/>
  <c r="R14" i="20"/>
  <c r="Q14" i="20"/>
  <c r="P14" i="20"/>
  <c r="O14" i="20"/>
  <c r="N14" i="20"/>
  <c r="M14" i="20"/>
  <c r="L14" i="20"/>
  <c r="K14" i="20"/>
  <c r="J14" i="20"/>
  <c r="I14" i="20"/>
  <c r="H14" i="20"/>
  <c r="G14" i="20"/>
  <c r="F14" i="20"/>
  <c r="E14" i="20"/>
  <c r="D14" i="20"/>
  <c r="C14" i="20"/>
  <c r="B14" i="20"/>
  <c r="AH13" i="20"/>
  <c r="AH12" i="20"/>
  <c r="AH11" i="20"/>
  <c r="AH10" i="20"/>
  <c r="AH9" i="20"/>
  <c r="AG14" i="17"/>
  <c r="AF14" i="17"/>
  <c r="AE14" i="17"/>
  <c r="AD14" i="17"/>
  <c r="AC14" i="17"/>
  <c r="AB14" i="17"/>
  <c r="AA14" i="17"/>
  <c r="Z14" i="17"/>
  <c r="Y14" i="17"/>
  <c r="X14" i="17"/>
  <c r="W14" i="17"/>
  <c r="V14" i="17"/>
  <c r="U14" i="17"/>
  <c r="T14" i="17"/>
  <c r="S14" i="17"/>
  <c r="R14" i="17"/>
  <c r="Q14" i="17"/>
  <c r="P14" i="17"/>
  <c r="O14" i="17"/>
  <c r="N14" i="17"/>
  <c r="M14" i="17"/>
  <c r="L14" i="17"/>
  <c r="K14" i="17"/>
  <c r="J14" i="17"/>
  <c r="I14" i="17"/>
  <c r="H14" i="17"/>
  <c r="G14" i="17"/>
  <c r="F14" i="17"/>
  <c r="E14" i="17"/>
  <c r="D14" i="17"/>
  <c r="C14" i="17"/>
  <c r="B14" i="17"/>
  <c r="AH13" i="17"/>
  <c r="AH12" i="17"/>
  <c r="AH11" i="17"/>
  <c r="AH10" i="17"/>
  <c r="AH9" i="17"/>
  <c r="AH14" i="23" l="1"/>
  <c r="AH14" i="17"/>
  <c r="AH14" i="21"/>
  <c r="AH14" i="22"/>
  <c r="AH14" i="25"/>
  <c r="AH14" i="20"/>
  <c r="AH14" i="24"/>
  <c r="AH6" i="5" l="1"/>
  <c r="C14" i="4" l="1"/>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G14" i="15" l="1"/>
  <c r="AF14" i="15"/>
  <c r="AH9" i="15"/>
  <c r="AH10" i="15"/>
  <c r="AH11" i="15"/>
  <c r="AH12" i="15"/>
  <c r="AH13" i="15"/>
  <c r="AH14" i="15" l="1"/>
  <c r="C14" i="15"/>
  <c r="D14" i="15"/>
  <c r="E14" i="15"/>
  <c r="F14"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B14" i="15" l="1"/>
  <c r="AH13" i="5" l="1"/>
  <c r="AH12" i="5"/>
  <c r="AH11" i="5"/>
  <c r="AH13" i="4"/>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H10" i="5"/>
  <c r="AH9" i="5"/>
  <c r="AH14" i="5" l="1"/>
  <c r="AH9" i="4"/>
  <c r="AH10" i="4"/>
  <c r="AH14" i="4" l="1"/>
</calcChain>
</file>

<file path=xl/sharedStrings.xml><?xml version="1.0" encoding="utf-8"?>
<sst xmlns="http://schemas.openxmlformats.org/spreadsheetml/2006/main" count="653" uniqueCount="64">
  <si>
    <t>Programación de ausencias de empleados</t>
  </si>
  <si>
    <t>Enero</t>
  </si>
  <si>
    <t>Claves de los tipos de ausencia</t>
  </si>
  <si>
    <t>Nombre del empleado</t>
  </si>
  <si>
    <t>Harsimran Brar</t>
  </si>
  <si>
    <t>Jordan Mitchell</t>
  </si>
  <si>
    <t>Asaf Karten</t>
  </si>
  <si>
    <t>Vanja Jovanovic</t>
  </si>
  <si>
    <t>Madison Butler</t>
  </si>
  <si>
    <t>V</t>
  </si>
  <si>
    <t>Fechas de ausencia</t>
  </si>
  <si>
    <t>1</t>
  </si>
  <si>
    <t>Vacaciones</t>
  </si>
  <si>
    <t>2</t>
  </si>
  <si>
    <t>3</t>
  </si>
  <si>
    <t>P</t>
  </si>
  <si>
    <t>4</t>
  </si>
  <si>
    <t>E</t>
  </si>
  <si>
    <t>5</t>
  </si>
  <si>
    <t>Personal</t>
  </si>
  <si>
    <t>6</t>
  </si>
  <si>
    <t>7</t>
  </si>
  <si>
    <t>8</t>
  </si>
  <si>
    <t>9</t>
  </si>
  <si>
    <t>Enfermedad</t>
  </si>
  <si>
    <t>10</t>
  </si>
  <si>
    <t>11</t>
  </si>
  <si>
    <t>12</t>
  </si>
  <si>
    <t>Personalizado 1</t>
  </si>
  <si>
    <t>13</t>
  </si>
  <si>
    <t>14</t>
  </si>
  <si>
    <t>15</t>
  </si>
  <si>
    <t>16</t>
  </si>
  <si>
    <t>Personalizado 2</t>
  </si>
  <si>
    <t>17</t>
  </si>
  <si>
    <t>18</t>
  </si>
  <si>
    <t>19</t>
  </si>
  <si>
    <t>20</t>
  </si>
  <si>
    <t>21</t>
  </si>
  <si>
    <t>22</t>
  </si>
  <si>
    <t>23</t>
  </si>
  <si>
    <t>24</t>
  </si>
  <si>
    <t>25</t>
  </si>
  <si>
    <t>26</t>
  </si>
  <si>
    <t>27</t>
  </si>
  <si>
    <t>28</t>
  </si>
  <si>
    <t>29</t>
  </si>
  <si>
    <t>30</t>
  </si>
  <si>
    <t>31</t>
  </si>
  <si>
    <t>Total de días</t>
  </si>
  <si>
    <t>Febrero</t>
  </si>
  <si>
    <t xml:space="preserve"> </t>
  </si>
  <si>
    <t xml:space="preserve">  </t>
  </si>
  <si>
    <t>Marzo</t>
  </si>
  <si>
    <t>Abril</t>
  </si>
  <si>
    <t>Mayo</t>
  </si>
  <si>
    <t>Junio</t>
  </si>
  <si>
    <t>Julio</t>
  </si>
  <si>
    <t>Agosto</t>
  </si>
  <si>
    <t>Septiembre</t>
  </si>
  <si>
    <t>Octubre</t>
  </si>
  <si>
    <t>Noviembre</t>
  </si>
  <si>
    <t>Diciembre</t>
  </si>
  <si>
    <t>Nombres de los empleados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</si>
</sst>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0;0;"/>
  </numFmts>
  <fonts count="33">
    <font>
      <sz val="11"/>
      <color theme="0"/>
      <name val="Calibri"/>
      <family val="2"/>
    </font>
    <font>
      <sz val="11"/>
      <color theme="1"/>
      <name val="Calibri"/>
      <family val="2"/>
      <scheme val="minor"/>
    </font>
    <font>
      <sz val="11"/>
      <color theme="0"/>
      <name val="Calibri"/>
      <family val="2"/>
      <scheme val="minor"/>
    </font>
    <font>
      <sz val="11"/>
      <color rgb="FF000000"/>
      <name val="Calibri"/>
      <family val="2"/>
      <scheme val="minor"/>
    </font>
    <font>
      <b/>
      <sz val="18"/>
      <color theme="3"/>
      <name val="Calibri"/>
      <family val="2"/>
      <scheme val="minor"/>
    </font>
    <font>
      <b/>
      <sz val="11"/>
      <color theme="0"/>
      <name val="Calibri"/>
      <family val="2"/>
      <scheme val="minor"/>
    </font>
    <font>
      <b/>
      <sz val="72"/>
      <color theme="6" tint="0.3999755851924192"/>
      <name val="Calibri"/>
      <family val="2"/>
      <scheme val="minor"/>
    </font>
    <font>
      <sz val="8"/>
      <name val="Calibri"/>
      <family val="2"/>
      <scheme val="minor"/>
    </font>
    <font>
      <b/>
      <sz val="18"/>
      <color theme="4" tint="9.994811853389081E-2"/>
      <name val="Calibri"/>
      <family val="2"/>
      <scheme val="minor"/>
    </font>
    <font>
      <b/>
      <sz val="72"/>
      <color theme="4" tint="0.249977111117893"/>
      <name val="Calibri"/>
      <family val="2"/>
      <scheme val="minor"/>
    </font>
    <font>
      <b/>
      <sz val="11"/>
      <name val="Calibri"/>
      <family val="2"/>
      <scheme val="minor"/>
    </font>
    <font>
      <b/>
      <sz val="72"/>
      <color theme="7" tint="-0.249977111117893"/>
      <name val="Calibri"/>
      <family val="2"/>
      <scheme val="minor"/>
    </font>
    <font>
      <b/>
      <sz val="72"/>
      <color theme="8" tint="-0.249977111117893"/>
      <name val="Calibri"/>
      <family val="2"/>
      <scheme val="minor"/>
    </font>
    <font>
      <sz val="11"/>
      <color theme="1"/>
      <name val="Calibri"/>
      <family val="2"/>
      <charset val="134"/>
    </font>
    <font>
      <sz val="11"/>
      <color theme="1"/>
      <name val="Calibri"/>
      <family val="2"/>
    </font>
    <font>
      <b/>
      <sz val="11"/>
      <color theme="1"/>
      <name val="Calibri"/>
      <family val="2"/>
    </font>
    <font>
      <sz val="11"/>
      <color theme="0"/>
      <name val="Calibri"/>
      <family val="2"/>
    </font>
    <font>
      <sz val="11"/>
      <color theme="0"/>
      <name val="Calibri"/>
      <family val="2"/>
      <charset val="134"/>
    </font>
    <font>
      <sz val="11"/>
      <color rgb="FF9C0006"/>
      <name val="Calibri"/>
      <family val="2"/>
      <charset val="134"/>
    </font>
    <font>
      <b/>
      <sz val="11"/>
      <color rgb="FFFA7D00"/>
      <name val="Calibri"/>
      <family val="2"/>
      <charset val="134"/>
    </font>
    <font>
      <b/>
      <sz val="11"/>
      <color theme="0"/>
      <name val="Calibri"/>
      <family val="2"/>
      <charset val="134"/>
    </font>
    <font>
      <sz val="11"/>
      <color theme="4" tint="-0.499984740745262"/>
      <name val="Calibri"/>
      <family val="2"/>
    </font>
    <font>
      <i/>
      <sz val="11"/>
      <color rgb="FF7F7F7F"/>
      <name val="Calibri"/>
      <family val="2"/>
      <charset val="134"/>
    </font>
    <font>
      <sz val="11"/>
      <color rgb="FF006100"/>
      <name val="Calibri"/>
      <family val="2"/>
      <charset val="134"/>
    </font>
    <font>
      <b/>
      <sz val="26"/>
      <color theme="3" tint="-0.249946592608417"/>
      <name val="Calibri"/>
      <family val="2"/>
    </font>
    <font>
      <b/>
      <sz val="18"/>
      <color theme="4" tint="-0.249946592608417"/>
      <name val="Calibri"/>
      <family val="2"/>
    </font>
    <font>
      <sz val="11"/>
      <color rgb="FF3F3F76"/>
      <name val="Calibri"/>
      <family val="2"/>
      <charset val="134"/>
    </font>
    <font>
      <sz val="11"/>
      <color rgb="FFFA7D00"/>
      <name val="Calibri"/>
      <family val="2"/>
      <charset val="134"/>
    </font>
    <font>
      <sz val="11"/>
      <color rgb="FF9C5700"/>
      <name val="Calibri"/>
      <family val="2"/>
      <charset val="134"/>
    </font>
    <font>
      <b/>
      <sz val="11"/>
      <color rgb="FF3F3F3F"/>
      <name val="Calibri"/>
      <family val="2"/>
      <charset val="134"/>
    </font>
    <font>
      <b/>
      <sz val="26"/>
      <color theme="3"/>
      <name val="Calibri"/>
      <family val="2"/>
    </font>
    <font>
      <sz val="11"/>
      <color rgb="FFFF0000"/>
      <name val="Calibri"/>
      <family val="2"/>
      <charset val="134"/>
    </font>
    <font>
      <sz val="9"/>
      <name val="DengXian"/>
      <family val="3"/>
      <charset val="134"/>
    </font>
  </fonts>
  <fills count="34">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
        <bgColor indexed="65"/>
      </patternFill>
    </fill>
    <fill>
      <patternFill patternType="solid">
        <fgColor theme="7" tint="0.3999755851924192"/>
        <bgColor indexed="65"/>
      </patternFill>
    </fill>
    <fill>
      <patternFill patternType="solid">
        <fgColor theme="3" tint="0.7999816888943144"/>
        <bgColor indexed="64"/>
      </patternFill>
    </fill>
    <fill>
      <patternFill patternType="solid">
        <fgColor theme="3" tint="-0.249946592608417"/>
        <bgColor indexed="64"/>
      </patternFill>
    </fill>
    <fill>
      <patternFill patternType="solid">
        <fgColor theme="3" tint="0.3999450666829432"/>
        <bgColor indexed="64"/>
      </patternFill>
    </fill>
    <fill>
      <patternFill patternType="solid">
        <fgColor theme="7" tint="0.5999633777886288"/>
        <bgColor indexed="64"/>
      </patternFill>
    </fill>
    <fill>
      <patternFill patternType="solid">
        <fgColor theme="5" tint="0.5999938962981048"/>
        <bgColor indexed="65"/>
      </patternFill>
    </fill>
    <fill>
      <patternFill patternType="solid">
        <fgColor theme="6"/>
      </patternFill>
    </fill>
    <fill>
      <patternFill patternType="solid">
        <fgColor theme="6" tint="0.5999938962981048"/>
        <bgColor indexed="65"/>
      </patternFill>
    </fill>
    <fill>
      <patternFill patternType="solid">
        <fgColor theme="6" tint="0.3999755851924192"/>
        <bgColor indexed="65"/>
      </patternFill>
    </fill>
    <fill>
      <patternFill patternType="solid">
        <fgColor theme="8" tint="0.5999938962981048"/>
        <bgColor indexed="65"/>
      </patternFill>
    </fill>
    <fill>
      <patternFill patternType="solid">
        <fgColor theme="4" tint="0.3999450666829432"/>
        <bgColor indexed="64"/>
      </patternFill>
    </fill>
    <fill>
      <patternFill patternType="solid">
        <fgColor theme="4" tint="0.5999633777886288"/>
        <bgColor indexed="64"/>
      </patternFill>
    </fill>
    <fill>
      <patternFill patternType="solid">
        <fgColor theme="4" tint="0.7999816888943144"/>
        <bgColor indexed="64"/>
      </patternFill>
    </fill>
    <fill>
      <patternFill patternType="solid">
        <fgColor rgb="FFF8E3E0"/>
        <bgColor indexed="64"/>
      </patternFill>
    </fill>
    <fill>
      <patternFill patternType="solid">
        <fgColor theme="5" tint="0.3999450666829432"/>
        <bgColor indexed="64"/>
      </patternFill>
    </fill>
    <fill>
      <patternFill patternType="solid">
        <fgColor theme="6" tint="0.5999633777886288"/>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5" tint="0.7999816888943144"/>
        <bgColor indexed="65"/>
      </patternFill>
    </fill>
    <fill>
      <patternFill patternType="solid">
        <fgColor theme="5"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3999755851924192"/>
        <bgColor indexed="65"/>
      </patternFill>
    </fill>
  </fills>
  <borders count="10">
    <border>
      <left/>
      <right/>
      <top/>
      <bottom/>
      <diagonal/>
    </border>
    <border>
      <left/>
      <right/>
      <top/>
      <bottom style="thin">
        <color theme="4"/>
      </bottom>
      <diagonal/>
    </border>
    <border>
      <left/>
      <right/>
      <top style="thin">
        <color theme="4"/>
      </top>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horizontal="left" vertical="center"/>
    </xf>
    <xf numFmtId="0" fontId="30" fillId="0" borderId="0" applyNumberFormat="0" applyFill="0" applyBorder="0" applyProtection="0">
      <alignment vertical="top"/>
    </xf>
    <xf numFmtId="0" fontId="24" fillId="0" borderId="0" applyNumberFormat="0" applyFill="0" applyBorder="0" applyProtection="0">
      <alignment vertical="top"/>
    </xf>
    <xf numFmtId="0" fontId="25" fillId="2" borderId="0" applyNumberFormat="0" applyBorder="0" applyProtection="0">
      <alignment horizontal="center" vertical="center"/>
    </xf>
    <xf numFmtId="0" fontId="15" fillId="20" borderId="0" applyNumberFormat="0" applyProtection="0">
      <alignment horizontal="right" vertical="center" indent="1"/>
    </xf>
    <xf numFmtId="0" fontId="14" fillId="0" borderId="0" applyNumberFormat="0" applyFill="0" applyBorder="0" applyProtection="0">
      <alignment horizontal="left" vertical="center" indent="2"/>
    </xf>
    <xf numFmtId="0" fontId="16" fillId="3" borderId="0" applyNumberFormat="0" applyBorder="0" applyAlignment="0" applyProtection="0"/>
    <xf numFmtId="0" fontId="14" fillId="4" borderId="0" applyNumberFormat="0" applyBorder="0" applyProtection="0">
      <alignment horizontal="center" vertical="center"/>
    </xf>
    <xf numFmtId="0" fontId="15" fillId="9" borderId="0" applyNumberFormat="0" applyBorder="0" applyAlignment="0" applyProtection="0"/>
    <xf numFmtId="0" fontId="14" fillId="5" borderId="0" applyNumberFormat="0" applyBorder="0" applyAlignment="0" applyProtection="0"/>
    <xf numFmtId="0" fontId="16" fillId="7" borderId="0" applyNumberFormat="0" applyBorder="0" applyAlignment="0" applyProtection="0"/>
    <xf numFmtId="0" fontId="14" fillId="6" borderId="0" applyNumberFormat="0" applyBorder="0" applyAlignment="0" applyProtection="0"/>
    <xf numFmtId="0" fontId="15" fillId="15" borderId="0" applyNumberFormat="0" applyBorder="0" applyAlignment="0" applyProtection="0"/>
    <xf numFmtId="0" fontId="14" fillId="8" borderId="0" applyNumberFormat="0" applyBorder="0" applyAlignment="0" applyProtection="0"/>
    <xf numFmtId="0" fontId="16" fillId="15" borderId="0" applyNumberFormat="0" applyBorder="0" applyAlignment="0" applyProtection="0"/>
    <xf numFmtId="0" fontId="14" fillId="18" borderId="0" applyNumberFormat="0" applyBorder="0" applyAlignment="0" applyProtection="0"/>
    <xf numFmtId="0" fontId="15" fillId="17" borderId="0" applyNumberFormat="0" applyBorder="0" applyAlignment="0" applyProtection="0"/>
    <xf numFmtId="0" fontId="16" fillId="16" borderId="0" applyNumberFormat="0" applyBorder="0" applyAlignment="0" applyProtection="0"/>
    <xf numFmtId="0" fontId="16" fillId="19" borderId="0" applyNumberFormat="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4" fillId="2" borderId="0" applyNumberFormat="0" applyBorder="0" applyAlignment="0" applyProtection="0"/>
    <xf numFmtId="0" fontId="15" fillId="12" borderId="0" applyNumberFormat="0" applyBorder="0" applyProtection="0">
      <alignment horizontal="left" vertical="center" indent="1"/>
    </xf>
    <xf numFmtId="0" fontId="15" fillId="13" borderId="0" applyNumberFormat="0" applyBorder="0" applyAlignment="0" applyProtection="0"/>
    <xf numFmtId="0" fontId="15" fillId="14" borderId="0" applyNumberFormat="0" applyBorder="0" applyAlignment="0" applyProtection="0"/>
    <xf numFmtId="1" fontId="14" fillId="0" borderId="0" applyFill="0" applyBorder="0" applyProtection="0">
      <alignment horizontal="center" vertical="center"/>
    </xf>
    <xf numFmtId="0" fontId="14" fillId="0" borderId="0" applyNumberFormat="0" applyFill="0" applyBorder="0">
      <alignment horizontal="left" vertical="center" wrapText="1" indent="2"/>
    </xf>
    <xf numFmtId="0" fontId="21" fillId="0" borderId="0">
      <alignment horizontal="center"/>
    </xf>
    <xf numFmtId="165" fontId="16" fillId="0" borderId="0" applyFont="0" applyFill="0" applyBorder="0" applyAlignment="0" applyProtection="0">
      <alignment vertical="center"/>
    </xf>
    <xf numFmtId="164" fontId="16" fillId="0" borderId="0" applyFont="0" applyFill="0" applyBorder="0" applyAlignment="0" applyProtection="0">
      <alignment vertical="center"/>
    </xf>
    <xf numFmtId="44" fontId="16" fillId="0" borderId="0" applyFont="0" applyFill="0" applyBorder="0" applyAlignment="0" applyProtection="0">
      <alignment vertical="center"/>
    </xf>
    <xf numFmtId="42"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3" fillId="22" borderId="0" applyNumberFormat="0" applyBorder="0" applyAlignment="0" applyProtection="0">
      <alignment vertical="center"/>
    </xf>
    <xf numFmtId="0" fontId="18" fillId="23" borderId="0" applyNumberFormat="0" applyBorder="0" applyAlignment="0" applyProtection="0">
      <alignment vertical="center"/>
    </xf>
    <xf numFmtId="0" fontId="28" fillId="24" borderId="0" applyNumberFormat="0" applyBorder="0" applyAlignment="0" applyProtection="0">
      <alignment vertical="center"/>
    </xf>
    <xf numFmtId="0" fontId="26" fillId="25" borderId="5" applyNumberFormat="0" applyAlignment="0" applyProtection="0">
      <alignment vertical="center"/>
    </xf>
    <xf numFmtId="0" fontId="29" fillId="26" borderId="6" applyNumberFormat="0" applyAlignment="0" applyProtection="0">
      <alignment vertical="center"/>
    </xf>
    <xf numFmtId="0" fontId="19" fillId="26" borderId="5" applyNumberFormat="0" applyAlignment="0" applyProtection="0">
      <alignment vertical="center"/>
    </xf>
    <xf numFmtId="0" fontId="27" fillId="0" borderId="7" applyNumberFormat="0" applyFill="0" applyAlignment="0" applyProtection="0">
      <alignment vertical="center"/>
    </xf>
    <xf numFmtId="0" fontId="20" fillId="27" borderId="8" applyNumberFormat="0" applyAlignment="0" applyProtection="0">
      <alignment vertical="center"/>
    </xf>
    <xf numFmtId="0" fontId="31" fillId="0" borderId="0" applyNumberFormat="0" applyFill="0" applyBorder="0" applyAlignment="0" applyProtection="0">
      <alignment vertical="center"/>
    </xf>
    <xf numFmtId="0" fontId="16" fillId="28" borderId="9" applyNumberFormat="0" applyFont="0" applyAlignment="0" applyProtection="0">
      <alignment vertical="center"/>
    </xf>
    <xf numFmtId="0" fontId="22" fillId="0" borderId="0" applyNumberFormat="0" applyFill="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7"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cellStyleXfs>
  <cellXfs count="37">
    <xf numFmtId="0" fontId="0" fillId="0" borderId="0" xfId="0">
      <alignment horizontal="left" vertical="center"/>
    </xf>
    <xf numFmtId="0" fontId="0" fillId="0" borderId="0" xfId="0" applyAlignment="1">
      <alignment horizontal="center" vertical="center"/>
    </xf>
    <xf numFmtId="0" fontId="14" fillId="0" borderId="0" xfId="26" applyFill="1" applyBorder="1">
      <alignment horizontal="left" vertical="center" wrapText="1" indent="2"/>
    </xf>
    <xf numFmtId="1" fontId="14" fillId="0" borderId="0" xfId="25" applyFill="1" applyBorder="1" applyProtection="1">
      <alignment horizontal="center" vertical="center"/>
    </xf>
    <xf numFmtId="166" fontId="0" fillId="0" borderId="0" xfId="0" applyNumberFormat="1" applyAlignment="1">
      <alignment horizontal="center" vertical="center"/>
    </xf>
    <xf numFmtId="0" fontId="0" fillId="0" borderId="0" xfId="0" applyAlignment="1">
      <alignment horizontal="left" vertical="center" indent="1"/>
    </xf>
    <xf numFmtId="0" fontId="3" fillId="0" borderId="0" xfId="0" applyFont="1" applyAlignment="1"/>
    <xf numFmtId="0" fontId="25" fillId="0" borderId="0" xfId="3" applyFill="1" applyProtection="1">
      <alignment horizontal="center" vertical="center"/>
    </xf>
    <xf numFmtId="0" fontId="15" fillId="0" borderId="0" xfId="4" applyFill="1" applyAlignment="1" applyProtection="1">
      <alignment horizontal="left" vertical="center" indent="1"/>
    </xf>
    <xf numFmtId="0" fontId="0" fillId="0" borderId="1" xfId="0" applyBorder="1">
      <alignment horizontal="left" vertical="center"/>
    </xf>
    <xf numFmtId="0" fontId="30" fillId="0" borderId="2" xfId="1" applyBorder="1" applyAlignment="1" applyProtection="1">
      <alignment vertical="center"/>
    </xf>
    <xf numFmtId="0" fontId="0" fillId="0" borderId="2" xfId="0" applyBorder="1">
      <alignment horizontal="left" vertical="center"/>
    </xf>
    <xf numFmtId="0" fontId="0" fillId="0" borderId="0" xfId="0" applyAlignment="1">
      <alignment horizontal="left" vertical="top"/>
    </xf>
    <xf numFmtId="0" fontId="4" fillId="0" borderId="0" xfId="1" applyFont="1" applyAlignment="1" applyProtection="1">
      <alignment horizontal="left" indent="1"/>
    </xf>
    <xf numFmtId="0" fontId="0" fillId="0" borderId="0" xfId="0" applyAlignment="1">
      <alignment horizontal="left" wrapText="1" indent="1"/>
    </xf>
    <xf numFmtId="0" fontId="0" fillId="0" borderId="0" xfId="0" applyAlignment="1">
      <alignment horizontal="left" indent="1"/>
    </xf>
    <xf numFmtId="0" fontId="0" fillId="0" borderId="3" xfId="0" applyBorder="1" applyAlignment="1">
      <alignment horizontal="left" indent="1"/>
    </xf>
    <xf numFmtId="0" fontId="0" fillId="0" borderId="4" xfId="0" applyBorder="1">
      <alignment horizontal="left" vertical="center"/>
    </xf>
    <xf numFmtId="0" fontId="21" fillId="0" borderId="4" xfId="27" applyBorder="1">
      <alignment horizontal="center"/>
    </xf>
    <xf numFmtId="166" fontId="5" fillId="9" borderId="0" xfId="8" applyNumberFormat="1" applyFont="1" applyAlignment="1" applyProtection="1">
      <alignment horizontal="center" vertical="center"/>
    </xf>
    <xf numFmtId="166" fontId="5" fillId="3" borderId="0" xfId="24" applyNumberFormat="1" applyFont="1" applyFill="1" applyAlignment="1" applyProtection="1">
      <alignment horizontal="center" vertical="center"/>
    </xf>
    <xf numFmtId="0" fontId="2" fillId="0" borderId="0" xfId="0" applyFont="1" applyAlignment="1">
      <alignment horizontal="center" vertical="center"/>
    </xf>
    <xf numFmtId="0" fontId="14" fillId="0" borderId="0" xfId="21" applyFill="1" applyBorder="1" applyAlignment="1" applyProtection="1">
      <alignment horizontal="left" vertical="center" indent="1"/>
    </xf>
    <xf numFmtId="0" fontId="1" fillId="0" borderId="0" xfId="0" applyFont="1" applyAlignment="1">
      <alignment horizontal="center" vertical="center"/>
    </xf>
    <xf numFmtId="0" fontId="14" fillId="21" borderId="0" xfId="21" applyFill="1" applyBorder="1" applyAlignment="1" applyProtection="1">
      <alignment horizontal="center" vertical="center"/>
    </xf>
    <xf numFmtId="0" fontId="6" fillId="0" borderId="0" xfId="3" applyFont="1" applyFill="1" applyAlignment="1" applyProtection="1">
      <alignment horizontal="left" vertical="top"/>
    </xf>
    <xf numFmtId="0" fontId="8" fillId="0" borderId="0" xfId="1" applyFont="1" applyAlignment="1" applyProtection="1">
      <alignment horizontal="left" indent="1"/>
    </xf>
    <xf numFmtId="0" fontId="9" fillId="0" borderId="0" xfId="3" applyFont="1" applyFill="1" applyAlignment="1" applyProtection="1">
      <alignment vertical="top"/>
    </xf>
    <xf numFmtId="0" fontId="9" fillId="0" borderId="0" xfId="3" applyFont="1" applyFill="1" applyAlignment="1" applyProtection="1">
      <alignment horizontal="left" vertical="top"/>
    </xf>
    <xf numFmtId="0" fontId="10" fillId="10" borderId="0" xfId="19" applyFont="1" applyAlignment="1" applyProtection="1">
      <alignment horizontal="center" vertical="center"/>
    </xf>
    <xf numFmtId="0" fontId="10" fillId="13" borderId="0" xfId="23" applyFont="1" applyAlignment="1" applyProtection="1">
      <alignment horizontal="center" vertical="center"/>
    </xf>
    <xf numFmtId="0" fontId="10" fillId="15" borderId="0" xfId="12" applyFont="1" applyAlignment="1" applyProtection="1">
      <alignment horizontal="center" vertical="center"/>
    </xf>
    <xf numFmtId="0" fontId="11" fillId="0" borderId="0" xfId="3" applyFont="1" applyFill="1" applyAlignment="1" applyProtection="1">
      <alignment horizontal="left" vertical="top"/>
    </xf>
    <xf numFmtId="0" fontId="12" fillId="0" borderId="0" xfId="3" applyFont="1" applyFill="1" applyAlignment="1" applyProtection="1">
      <alignment horizontal="left" vertical="top"/>
    </xf>
    <xf numFmtId="0" fontId="12" fillId="0" borderId="0" xfId="3" applyFont="1" applyFill="1" applyAlignment="1" applyProtection="1">
      <alignment vertical="top"/>
    </xf>
    <xf numFmtId="0" fontId="25" fillId="0" borderId="0" xfId="3" applyFill="1" applyAlignment="1" applyProtection="1">
      <alignment horizontal="left" vertical="center"/>
    </xf>
    <xf numFmtId="0" fontId="14" fillId="0" borderId="0" xfId="21" applyFill="1" applyAlignment="1" applyProtection="1">
      <alignment horizontal="left" vertical="center" indent="1"/>
    </xf>
  </cellXfs>
  <cellStyles count="49">
    <cellStyle name="20% - Énfasis1" xfId="15" builtinId="30" customBuiltin="1"/>
    <cellStyle name="20% - Énfasis2" xfId="44" builtinId="34" customBuiltin="1"/>
    <cellStyle name="20% - Énfasis3" xfId="21" builtinId="38" customBuiltin="1"/>
    <cellStyle name="20% - Énfasis4" xfId="7" builtinId="42" customBuiltin="1"/>
    <cellStyle name="20% - Énfasis5" xfId="47" builtinId="46" customBuiltin="1"/>
    <cellStyle name="20% - Énfasis6" xfId="11" builtinId="50" customBuiltin="1"/>
    <cellStyle name="40% - Énfasis1" xfId="16" builtinId="31" customBuiltin="1"/>
    <cellStyle name="40% - Énfasis2" xfId="19" builtinId="35" customBuiltin="1"/>
    <cellStyle name="40% - Énfasis3" xfId="22" builtinId="39" customBuiltin="1"/>
    <cellStyle name="40% - Énfasis4" xfId="8" builtinId="43" customBuiltin="1"/>
    <cellStyle name="40% - Énfasis5" xfId="24" builtinId="47" customBuiltin="1"/>
    <cellStyle name="40% - Énfasis6" xfId="12" builtinId="51" customBuiltin="1"/>
    <cellStyle name="60% - Énfasis1" xfId="17" builtinId="32" customBuiltin="1"/>
    <cellStyle name="60% - Énfasis2" xfId="45" builtinId="36" customBuiltin="1"/>
    <cellStyle name="60% - Énfasis3" xfId="23" builtinId="40" customBuiltin="1"/>
    <cellStyle name="60% - Énfasis4" xfId="9" builtinId="44" customBuiltin="1"/>
    <cellStyle name="60% - Énfasis5" xfId="48" builtinId="48" customBuiltin="1"/>
    <cellStyle name="60% - Énfasis6" xfId="13" builtinId="52" customBuiltin="1"/>
    <cellStyle name="Bueno" xfId="33" builtinId="26" customBuiltin="1"/>
    <cellStyle name="Cálculo" xfId="38" builtinId="22" customBuiltin="1"/>
    <cellStyle name="Celda de comprobación" xfId="40" builtinId="23" customBuiltin="1"/>
    <cellStyle name="Celda vinculada" xfId="39" builtinId="24" customBuiltin="1"/>
    <cellStyle name="Empleado" xfId="26" xr:uid="{00000000-0005-0000-0000-000013000000}"/>
    <cellStyle name="Encabezado 1" xfId="2" builtinId="16" customBuiltin="1"/>
    <cellStyle name="Encabezado 4" xfId="5" builtinId="19" customBuiltin="1"/>
    <cellStyle name="Énfasis1" xfId="14" builtinId="29" customBuiltin="1"/>
    <cellStyle name="Énfasis2" xfId="18" builtinId="33" customBuiltin="1"/>
    <cellStyle name="Énfasis3" xfId="20" builtinId="37" customBuiltin="1"/>
    <cellStyle name="Énfasis4" xfId="6" builtinId="41" customBuiltin="1"/>
    <cellStyle name="Énfasis5" xfId="46" builtinId="45" customBuiltin="1"/>
    <cellStyle name="Énfasis6" xfId="10" builtinId="49" customBuiltin="1"/>
    <cellStyle name="Entrada" xfId="36" builtinId="20" customBuiltin="1"/>
    <cellStyle name="Etiqueta" xfId="27" xr:uid="{00000000-0005-0000-0000-000018000000}"/>
    <cellStyle name="Incorrecto" xfId="34" builtinId="27" customBuiltin="1"/>
    <cellStyle name="Millares" xfId="28" builtinId="3" customBuiltin="1"/>
    <cellStyle name="Millares [0]" xfId="29" builtinId="6" customBuiltin="1"/>
    <cellStyle name="Moneda" xfId="30" builtinId="4" customBuiltin="1"/>
    <cellStyle name="Moneda [0]" xfId="31" builtinId="7" customBuiltin="1"/>
    <cellStyle name="Neutral" xfId="35" builtinId="28" customBuiltin="1"/>
    <cellStyle name="Normal" xfId="0" builtinId="0" customBuiltin="1"/>
    <cellStyle name="Notas" xfId="42" builtinId="10" customBuiltin="1"/>
    <cellStyle name="Porcentaje" xfId="32" builtinId="5" customBuiltin="1"/>
    <cellStyle name="Salida" xfId="37" builtinId="21" customBuiltin="1"/>
    <cellStyle name="Texto de advertencia" xfId="41" builtinId="11" customBuiltin="1"/>
    <cellStyle name="Texto explicativo" xfId="43" builtinId="53" customBuiltin="1"/>
    <cellStyle name="Título" xfId="1" builtinId="15" customBuiltin="1"/>
    <cellStyle name="Título 2" xfId="3" builtinId="17" customBuiltin="1"/>
    <cellStyle name="Título 3" xfId="4" builtinId="18" customBuiltin="1"/>
    <cellStyle name="Total" xfId="25" builtinId="25" customBuiltin="1"/>
  </cellStyles>
  <dxfs count="911">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b val="0"/>
        <i val="0"/>
        <color theme="3"/>
      </font>
      <border>
        <vertical/>
        <horizontal/>
      </border>
    </dxf>
    <dxf>
      <font>
        <color theme="0"/>
      </font>
      <border>
        <vertical/>
        <horizontal/>
      </border>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font>
        <color theme="1"/>
      </font>
      <fill>
        <patternFill>
          <bgColor theme="4" tint="0.3999450666829432"/>
        </patternFill>
      </fill>
    </dxf>
    <dxf>
      <font>
        <color theme="1"/>
      </font>
      <fill>
        <patternFill>
          <bgColor theme="5" tint="0.5999633777886288"/>
        </patternFill>
      </fill>
    </dxf>
    <dxf>
      <font>
        <color theme="1"/>
      </font>
      <fill>
        <patternFill>
          <bgColor theme="6" tint="0.3999450666829432"/>
        </patternFill>
      </fill>
    </dxf>
    <dxf>
      <font>
        <color theme="1"/>
      </font>
      <fill>
        <patternFill>
          <bgColor theme="7" tint="0.5999633777886288"/>
        </patternFill>
      </fill>
    </dxf>
    <dxf>
      <font>
        <color theme="1"/>
      </font>
      <fill>
        <patternFill>
          <bgColor theme="8" tint="0.5999633777886288"/>
        </patternFill>
      </fill>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protection locked="1" hidden="0"/>
    </dxf>
    <dxf>
      <alignment horizontal="left" vertical="center" textRotation="0" wrapText="0" indent="1" justifyLastLine="0" shrinkToFit="0" readingOrder="0"/>
    </dxf>
    <dxf>
      <numFmt numFmtId="0" formatCode="General"/>
      <fill>
        <patternFill patternType="none">
          <fgColor indexed="64"/>
          <bgColor indexed="65"/>
        </patternFill>
      </fill>
      <protection locked="1" hidden="0"/>
    </dxf>
    <dxf>
      <protection locked="1" hidden="0"/>
    </dxf>
    <dxf>
      <protection locked="1" hidden="0"/>
    </dxf>
    <dxf>
      <protection locked="1" hidden="0"/>
    </dxf>
    <dxf>
      <numFmt numFmtId="166" formatCode="0;0;"/>
      <alignment horizontal="center" vertical="center" textRotation="0" wrapText="0" indent="0" justifyLastLine="0" shrinkToFit="0" readingOrder="0"/>
    </dxf>
    <dxf>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numFmt numFmtId="166" formatCode="0;0;"/>
      <alignment horizontal="center" vertical="center" textRotation="0" wrapText="0" indent="0" justifyLastLine="0" shrinkToFit="0" readingOrder="0"/>
    </dxf>
    <dxf>
      <font>
        <b val="0"/>
        <i val="0"/>
        <strike val="0"/>
        <outline val="0"/>
        <shadow val="0"/>
        <u val="none"/>
        <vertAlign val="baseline"/>
        <sz val="11"/>
        <color theme="0"/>
        <name val="Calibri"/>
        <family val="2"/>
        <scheme val="minor"/>
      </font>
      <protection locked="1" hidden="0"/>
    </dxf>
    <dxf>
      <alignment horizontal="left" vertical="center" textRotation="0" wrapText="0" indent="1" justifyLastLine="0" shrinkToFit="0" readingOrder="0"/>
    </dxf>
    <dxf>
      <fill>
        <patternFill patternType="none">
          <fgColor indexed="64"/>
          <bgColor indexed="65"/>
        </patternFill>
      </fill>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
      <fill>
        <patternFill patternType="none">
          <fgColor indexed="64"/>
          <bgColor indexed="65"/>
        </patternFill>
      </fill>
    </dxf>
    <dxf>
      <protection locked="1" hidden="0"/>
    </dxf>
    <dxf>
      <protection locked="1" hidden="0"/>
    </dxf>
    <dxf>
      <alignment horizontal="center" vertical="center" textRotation="0" wrapText="0" indent="0" justifyLastLine="0" shrinkToFit="0" readingOrder="0"/>
    </dxf>
    <dxf>
      <fill>
        <patternFill patternType="solid">
          <bgColor theme="5" tint="0.3999450666829432"/>
        </patternFill>
      </fill>
      <border diagonalUp="0" diagonalDown="0">
        <left/>
        <right/>
        <top style="thin">
          <color theme="5" tint="0.5999633777886288"/>
        </top>
        <bottom style="thick">
          <color theme="5"/>
        </bottom>
        <vertical style="thick">
          <color theme="0"/>
        </vertical>
        <horizontal style="thin">
          <color theme="5" tint="0.5999633777886288"/>
        </horizontal>
      </border>
    </dxf>
    <dxf>
      <font>
        <color theme="1"/>
      </font>
      <fill>
        <patternFill patternType="solid">
          <bgColor theme="5" tint="0.3999450666829432"/>
        </patternFill>
      </fill>
      <border diagonalUp="0" diagonalDown="0">
        <left/>
        <right/>
        <top style="thin">
          <color theme="5" tint="0.5999633777886288"/>
        </top>
        <bottom style="thick">
          <color theme="5"/>
        </bottom>
        <vertical style="thick">
          <color theme="0"/>
        </vertical>
        <horizontal style="thin">
          <color theme="5" tint="0.5999633777886288"/>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E-2"/>
        </patternFill>
      </fill>
      <border>
        <left style="thin">
          <color theme="0"/>
        </left>
        <right style="thin">
          <color theme="0"/>
        </right>
        <top style="thick">
          <color theme="5" tint="0.5999633777886288"/>
        </top>
        <bottom style="thick">
          <color theme="5" tint="0.5999633777886288"/>
        </bottom>
        <vertical style="thin">
          <color theme="0"/>
        </vertical>
        <horizontal style="thick">
          <color theme="5" tint="0.5999633777886288"/>
        </horizontal>
      </border>
    </dxf>
    <dxf>
      <fill>
        <patternFill>
          <bgColor theme="5" tint="0.7999816888943144"/>
        </patternFill>
      </fill>
      <border>
        <top style="thick">
          <color theme="0"/>
        </top>
        <bottom style="thick">
          <color theme="0"/>
        </bottom>
        <horizontal style="thick">
          <color theme="0"/>
        </horizontal>
      </border>
    </dxf>
    <dxf>
      <fill>
        <patternFill patternType="none">
          <fgColor auto="1"/>
          <bgColor auto="1"/>
        </patternFill>
      </fill>
      <border>
        <top style="thick">
          <color theme="0"/>
        </top>
        <bottom style="thick">
          <color theme="0"/>
        </bottom>
        <horizontal style="thick">
          <color theme="0"/>
        </horizontal>
      </border>
    </dxf>
    <dxf>
      <font>
        <b/>
        <i val="0"/>
        <color theme="1"/>
      </font>
      <fill>
        <patternFill patternType="none">
          <bgColor auto="1"/>
        </patternFill>
      </fill>
      <border diagonalUp="0" diagonalDown="0">
        <left/>
        <right/>
        <top style="thin">
          <color theme="5" tint="0.5999633777886288"/>
        </top>
        <bottom style="thin">
          <color theme="5" tint="0.5999633777886288"/>
        </bottom>
        <vertical/>
        <horizontal style="thin">
          <color theme="5" tint="0.5999633777886288"/>
        </horizontal>
      </border>
    </dxf>
    <dxf>
      <font>
        <color theme="1"/>
      </font>
      <fill>
        <patternFill patternType="none">
          <bgColor auto="1"/>
        </patternFill>
      </fill>
      <border>
        <left/>
        <right/>
        <top style="thin">
          <color theme="5" tint="0.5999633777886288"/>
        </top>
        <bottom style="thin">
          <color theme="5" tint="0.5999633777886288"/>
        </bottom>
        <vertical/>
        <horizontal style="thin">
          <color theme="5" tint="0.5999633777886288"/>
        </horizontal>
      </border>
    </dxf>
    <dxf>
      <font>
        <color theme="1"/>
      </font>
      <fill>
        <patternFill>
          <bgColor theme="5" tint="0.3999450666829432"/>
        </patternFill>
      </fill>
      <border diagonalUp="0" diagonalDown="0">
        <left style="thin">
          <color theme="0"/>
        </left>
        <right style="thin">
          <color theme="0"/>
        </right>
        <top style="thick">
          <color theme="0"/>
        </top>
        <bottom style="thick">
          <color theme="5"/>
        </bottom>
        <vertical style="thick">
          <color theme="0"/>
        </vertical>
        <horizontal/>
      </border>
    </dxf>
    <dxf>
      <font>
        <color theme="0"/>
      </font>
      <fill>
        <patternFill>
          <bgColor theme="5" tint="-0.249946592608417"/>
        </patternFill>
      </fill>
      <border>
        <top style="thin">
          <color theme="5" tint="0.5999633777886288"/>
        </top>
        <bottom style="thin">
          <color theme="5" tint="0.5999633777886288"/>
        </bottom>
        <horizontal style="thin">
          <color theme="5" tint="0.5999633777886288"/>
        </horizontal>
      </border>
    </dxf>
    <dxf>
      <font>
        <b/>
        <i val="0"/>
        <color theme="0"/>
      </font>
      <border diagonalUp="0" diagonalDown="0">
        <left/>
        <right/>
        <top/>
        <bottom style="thick">
          <color theme="0"/>
        </bottom>
        <vertical style="thick">
          <color theme="0"/>
        </vertical>
        <horizontal style="thick">
          <color theme="0"/>
        </horizontal>
      </border>
    </dxf>
    <dxf>
      <fill>
        <patternFill patternType="solid">
          <fgColor theme="5" tint="0.3999450666829432"/>
          <bgColor theme="5" tint="0.3999145481734672"/>
        </patternFill>
      </fill>
      <border diagonalUp="0" diagonalDown="0">
        <left/>
        <right/>
        <top style="thin">
          <color theme="5" tint="0.5999633777886288"/>
        </top>
        <bottom style="thick">
          <color theme="5"/>
        </bottom>
        <vertical style="thick">
          <color theme="0"/>
        </vertical>
        <horizontal style="thin">
          <color theme="5" tint="0.5999633777886288"/>
        </horizontal>
      </border>
    </dxf>
    <dxf>
      <font>
        <color theme="1"/>
      </font>
      <fill>
        <patternFill patternType="solid">
          <fgColor theme="5" tint="0.3999450666829432"/>
          <bgColor theme="5" tint="0.3999145481734672"/>
        </patternFill>
      </fill>
      <border diagonalUp="0" diagonalDown="0">
        <left/>
        <right/>
        <top style="thin">
          <color theme="5" tint="0.5999633777886288"/>
        </top>
        <bottom style="thick">
          <color theme="5"/>
        </bottom>
        <vertical style="thick">
          <color theme="0"/>
        </vertical>
        <horizontal style="thin">
          <color theme="5" tint="0.5999633777886288"/>
        </horizontal>
      </border>
    </dxf>
    <dxf>
      <font>
        <color auto="1"/>
      </font>
      <fill>
        <patternFill patternType="none">
          <bgColor auto="1"/>
        </patternFill>
      </fill>
      <border diagonalUp="0" diagonalDown="0">
        <left/>
        <right/>
        <top style="thin">
          <color theme="5" tint="0.5999633777886288"/>
        </top>
        <bottom style="thin">
          <color theme="5" tint="0.5999633777886288"/>
        </bottom>
        <vertical/>
        <horizontal style="thin">
          <color theme="5" tint="0.5999633777886288"/>
        </horizontal>
      </border>
    </dxf>
    <dxf>
      <font>
        <color auto="1"/>
      </font>
      <fill>
        <patternFill patternType="none">
          <bgColor auto="1"/>
        </patternFill>
      </fill>
      <border diagonalUp="0" diagonalDown="0">
        <left/>
        <right/>
        <top style="thin">
          <color theme="5" tint="0.5999633777886288"/>
        </top>
        <bottom style="thin">
          <color theme="5" tint="0.5999633777886288"/>
        </bottom>
        <vertical/>
        <horizontal style="thin">
          <color theme="5" tint="0.5999633777886288"/>
        </horizontal>
      </border>
    </dxf>
    <dxf>
      <fill>
        <patternFill>
          <bgColor theme="5" tint="0.7999816888943144"/>
        </patternFill>
      </fill>
      <border>
        <top style="thick">
          <color theme="0"/>
        </top>
        <bottom style="thick">
          <color theme="0"/>
        </bottom>
        <horizontal style="thick">
          <color theme="0"/>
        </horizontal>
      </border>
    </dxf>
    <dxf>
      <fill>
        <patternFill patternType="none">
          <fgColor auto="1"/>
          <bgColor auto="1"/>
        </patternFill>
      </fill>
      <border>
        <top style="thick">
          <color theme="0"/>
        </top>
        <bottom style="thick">
          <color theme="0"/>
        </bottom>
        <horizontal style="thick">
          <color theme="0"/>
        </horizontal>
      </border>
    </dxf>
    <dxf>
      <font>
        <color auto="1"/>
      </font>
      <fill>
        <patternFill>
          <fgColor theme="5" tint="0.3999450666829432"/>
          <bgColor theme="5" tint="0.3999145481734672"/>
        </patternFill>
      </fill>
      <border diagonalUp="0" diagonalDown="0">
        <left style="thin">
          <color theme="0"/>
        </left>
        <right style="thin">
          <color theme="0"/>
        </right>
        <top style="thin">
          <color theme="5" tint="0.5999633777886288"/>
        </top>
        <bottom style="thick">
          <color theme="5"/>
        </bottom>
        <vertical style="thick">
          <color theme="0"/>
        </vertical>
        <horizontal style="thin">
          <color theme="5" tint="0.5999633777886288"/>
        </horizontal>
      </border>
    </dxf>
    <dxf>
      <font>
        <color theme="0"/>
      </font>
      <fill>
        <patternFill>
          <fgColor theme="5" tint="-0.249946592608417"/>
          <bgColor theme="5" tint="-0.249946592608417"/>
        </patternFill>
      </fill>
      <border>
        <top style="thin">
          <color theme="5" tint="0.5999633777886288"/>
        </top>
        <bottom style="thin">
          <color theme="5" tint="0.5999633777886288"/>
        </bottom>
        <horizontal style="thin">
          <color theme="5" tint="0.5999633777886288"/>
        </horizontal>
      </border>
    </dxf>
    <dxf>
      <font>
        <b/>
        <i val="0"/>
        <color auto="1"/>
      </font>
      <border diagonalUp="0" diagonalDown="0">
        <left style="thin">
          <color theme="0"/>
        </left>
        <right/>
        <top style="thin">
          <color theme="0"/>
        </top>
        <bottom style="thin">
          <color theme="0"/>
        </bottom>
        <vertical style="thick">
          <color theme="0"/>
        </vertical>
        <horizontal style="thick">
          <color theme="0"/>
        </horizontal>
      </border>
    </dxf>
  </dxfs>
  <tableStyles count="2" defaultPivotStyle="PivotStyleLight16">
    <tableStyle name="Tabla de ausencia del empleado" pivot="0" count="9" xr9:uid="{00000000-0011-0000-FFFF-FFFF00000000}">
      <tableStyleElement type="wholeTable" dxfId="910"/>
      <tableStyleElement type="headerRow" dxfId="909"/>
      <tableStyleElement type="totalRow" dxfId="908"/>
      <tableStyleElement type="firstRowStripe" dxfId="907"/>
      <tableStyleElement type="secondRowStripe" dxfId="906"/>
      <tableStyleElement type="firstHeaderCell" dxfId="905"/>
      <tableStyleElement type="lastHeaderCell" dxfId="904"/>
      <tableStyleElement type="firstTotalCell" dxfId="903"/>
      <tableStyleElement type="lastTotalCell" dxfId="902"/>
    </tableStyle>
    <tableStyle name="Tabla 2 de ausencia del empleado" pivot="0" count="13" xr9:uid="{3374F2B5-EC6B-E245-A90B-F84953DFCF99}">
      <tableStyleElement type="wholeTable" dxfId="901"/>
      <tableStyleElement type="headerRow" dxfId="900"/>
      <tableStyleElement type="totalRow" dxfId="899"/>
      <tableStyleElement type="firstColumn" dxfId="898"/>
      <tableStyleElement type="lastColumn" dxfId="897"/>
      <tableStyleElement type="firstRowStripe" dxfId="896"/>
      <tableStyleElement type="secondRowStripe" dxfId="895"/>
      <tableStyleElement type="firstColumnStripe" dxfId="894"/>
      <tableStyleElement type="secondColumnStripe" dxfId="893"/>
      <tableStyleElement type="firstHeaderCell" dxfId="892"/>
      <tableStyleElement type="lastHeaderCell" dxfId="891"/>
      <tableStyleElement type="firstTotalCell" dxfId="890"/>
      <tableStyleElement type="lastTotalCell"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worksheet" Target="/xl/worksheets/sheet132.xml" Id="rId13" /><Relationship Type="http://schemas.openxmlformats.org/officeDocument/2006/relationships/customXml" Target="/customXml/item1.xml" Id="rId18" /><Relationship Type="http://schemas.openxmlformats.org/officeDocument/2006/relationships/worksheet" Target="/xl/worksheets/sheet33.xml" Id="rId3" /><Relationship Type="http://schemas.openxmlformats.org/officeDocument/2006/relationships/worksheet" Target="/xl/worksheets/sheet74.xml" Id="rId7" /><Relationship Type="http://schemas.openxmlformats.org/officeDocument/2006/relationships/worksheet" Target="/xl/worksheets/sheet125.xml" Id="rId12" /><Relationship Type="http://schemas.openxmlformats.org/officeDocument/2006/relationships/calcChain" Target="/xl/calcChain.xml" Id="rId17" /><Relationship Type="http://schemas.openxmlformats.org/officeDocument/2006/relationships/worksheet" Target="/xl/worksheets/sheet26.xml" Id="rId2" /><Relationship Type="http://schemas.openxmlformats.org/officeDocument/2006/relationships/sharedStrings" Target="/xl/sharedStrings.xml" Id="rId16" /><Relationship Type="http://schemas.openxmlformats.org/officeDocument/2006/relationships/customXml" Target="/customXml/item32.xml" Id="rId20" /><Relationship Type="http://schemas.openxmlformats.org/officeDocument/2006/relationships/worksheet" Target="/xl/worksheets/sheet17.xml" Id="rId1" /><Relationship Type="http://schemas.openxmlformats.org/officeDocument/2006/relationships/worksheet" Target="/xl/worksheets/sheet68.xml" Id="rId6" /><Relationship Type="http://schemas.openxmlformats.org/officeDocument/2006/relationships/worksheet" Target="/xl/worksheets/sheet119.xml" Id="rId11" /><Relationship Type="http://schemas.openxmlformats.org/officeDocument/2006/relationships/worksheet" Target="/xl/worksheets/sheet510.xml" Id="rId5" /><Relationship Type="http://schemas.openxmlformats.org/officeDocument/2006/relationships/styles" Target="/xl/styles.xml" Id="rId15" /><Relationship Type="http://schemas.openxmlformats.org/officeDocument/2006/relationships/worksheet" Target="/xl/worksheets/sheet1011.xml" Id="rId10" /><Relationship Type="http://schemas.openxmlformats.org/officeDocument/2006/relationships/customXml" Target="/customXml/item23.xml" Id="rId19" /><Relationship Type="http://schemas.openxmlformats.org/officeDocument/2006/relationships/worksheet" Target="/xl/worksheets/sheet412.xml" Id="rId4" /><Relationship Type="http://schemas.openxmlformats.org/officeDocument/2006/relationships/worksheet" Target="/xl/worksheets/sheet913.xml" Id="rId9" /><Relationship Type="http://schemas.openxmlformats.org/officeDocument/2006/relationships/theme" Target="/xl/theme/theme11.xml" Id="rId14" /></Relationships>
</file>

<file path=xl/tables/table10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ubre" displayName="Octubre" ref="B8:AH14" totalsRowCount="1" headerRowDxfId="301" dataDxfId="300" totalsRowDxfId="299">
  <tableColumns count="33">
    <tableColumn id="1" xr3:uid="{00000000-0010-0000-0900-000001000000}" name="Nombre del empleado" totalsRowFunction="custom" dataDxfId="298" totalsRowDxfId="297" dataCellStyle="Empleado">
      <totalsRowFormula>MonthName&amp;" Total"</totalsRowFormula>
    </tableColumn>
    <tableColumn id="2" xr3:uid="{00000000-0010-0000-0900-000002000000}" name="1" totalsRowFunction="count" dataDxfId="296" totalsRowDxfId="295"/>
    <tableColumn id="3" xr3:uid="{00000000-0010-0000-0900-000003000000}" name="2" totalsRowFunction="count" dataDxfId="294" totalsRowDxfId="293"/>
    <tableColumn id="4" xr3:uid="{00000000-0010-0000-0900-000004000000}" name="3" totalsRowFunction="count" dataDxfId="292" totalsRowDxfId="291"/>
    <tableColumn id="5" xr3:uid="{00000000-0010-0000-0900-000005000000}" name="4" totalsRowFunction="count" dataDxfId="290" totalsRowDxfId="289"/>
    <tableColumn id="6" xr3:uid="{00000000-0010-0000-0900-000006000000}" name="5" totalsRowFunction="count" dataDxfId="288" totalsRowDxfId="287"/>
    <tableColumn id="7" xr3:uid="{00000000-0010-0000-0900-000007000000}" name="6" totalsRowFunction="count" dataDxfId="286" totalsRowDxfId="285"/>
    <tableColumn id="8" xr3:uid="{00000000-0010-0000-0900-000008000000}" name="7" totalsRowFunction="count" dataDxfId="284" totalsRowDxfId="283"/>
    <tableColumn id="9" xr3:uid="{00000000-0010-0000-0900-000009000000}" name="8" totalsRowFunction="count" dataDxfId="282" totalsRowDxfId="281"/>
    <tableColumn id="10" xr3:uid="{00000000-0010-0000-0900-00000A000000}" name="9" totalsRowFunction="count" dataDxfId="280" totalsRowDxfId="279"/>
    <tableColumn id="11" xr3:uid="{00000000-0010-0000-0900-00000B000000}" name="10" totalsRowFunction="count" dataDxfId="278" totalsRowDxfId="277"/>
    <tableColumn id="12" xr3:uid="{00000000-0010-0000-0900-00000C000000}" name="11" totalsRowFunction="count" dataDxfId="276" totalsRowDxfId="275"/>
    <tableColumn id="13" xr3:uid="{00000000-0010-0000-0900-00000D000000}" name="12" totalsRowFunction="count" dataDxfId="274" totalsRowDxfId="273"/>
    <tableColumn id="14" xr3:uid="{00000000-0010-0000-0900-00000E000000}" name="13" totalsRowFunction="count" dataDxfId="272" totalsRowDxfId="271"/>
    <tableColumn id="15" xr3:uid="{00000000-0010-0000-0900-00000F000000}" name="14" totalsRowFunction="count" dataDxfId="270" totalsRowDxfId="269"/>
    <tableColumn id="16" xr3:uid="{00000000-0010-0000-0900-000010000000}" name="15" totalsRowFunction="count" dataDxfId="268" totalsRowDxfId="267"/>
    <tableColumn id="17" xr3:uid="{00000000-0010-0000-0900-000011000000}" name="16" totalsRowFunction="count" dataDxfId="266" totalsRowDxfId="265"/>
    <tableColumn id="18" xr3:uid="{00000000-0010-0000-0900-000012000000}" name="17" totalsRowFunction="count" dataDxfId="264" totalsRowDxfId="263"/>
    <tableColumn id="19" xr3:uid="{00000000-0010-0000-0900-000013000000}" name="18" totalsRowFunction="count" dataDxfId="262" totalsRowDxfId="261"/>
    <tableColumn id="20" xr3:uid="{00000000-0010-0000-0900-000014000000}" name="19" totalsRowFunction="count" dataDxfId="260" totalsRowDxfId="259"/>
    <tableColumn id="21" xr3:uid="{00000000-0010-0000-0900-000015000000}" name="20" totalsRowFunction="count" dataDxfId="258" totalsRowDxfId="257"/>
    <tableColumn id="22" xr3:uid="{00000000-0010-0000-0900-000016000000}" name="21" totalsRowFunction="count" dataDxfId="256" totalsRowDxfId="255"/>
    <tableColumn id="23" xr3:uid="{00000000-0010-0000-0900-000017000000}" name="22" totalsRowFunction="count" dataDxfId="254" totalsRowDxfId="253"/>
    <tableColumn id="24" xr3:uid="{00000000-0010-0000-0900-000018000000}" name="23" totalsRowFunction="count" dataDxfId="252" totalsRowDxfId="251"/>
    <tableColumn id="25" xr3:uid="{00000000-0010-0000-0900-000019000000}" name="24" totalsRowFunction="count" dataDxfId="250" totalsRowDxfId="249"/>
    <tableColumn id="26" xr3:uid="{00000000-0010-0000-0900-00001A000000}" name="25" totalsRowFunction="count" dataDxfId="248" totalsRowDxfId="247"/>
    <tableColumn id="27" xr3:uid="{00000000-0010-0000-0900-00001B000000}" name="26" totalsRowFunction="count" dataDxfId="246" totalsRowDxfId="245"/>
    <tableColumn id="28" xr3:uid="{00000000-0010-0000-0900-00001C000000}" name="27" totalsRowFunction="count" dataDxfId="244" totalsRowDxfId="243"/>
    <tableColumn id="29" xr3:uid="{00000000-0010-0000-0900-00001D000000}" name="28" totalsRowFunction="count" dataDxfId="242" totalsRowDxfId="241"/>
    <tableColumn id="30" xr3:uid="{00000000-0010-0000-0900-00001E000000}" name="29" totalsRowFunction="count" dataDxfId="240" totalsRowDxfId="239"/>
    <tableColumn id="31" xr3:uid="{00000000-0010-0000-0900-00001F000000}" name="30" totalsRowFunction="sum" dataDxfId="238" totalsRowDxfId="237"/>
    <tableColumn id="32" xr3:uid="{00000000-0010-0000-0900-000020000000}" name="31" totalsRowFunction="sum" dataDxfId="236" totalsRowDxfId="235" dataCellStyle="Total"/>
    <tableColumn id="33" xr3:uid="{00000000-0010-0000-0900-000021000000}" name="Total de días" totalsRowFunction="sum" dataDxfId="234" totalsRowDxfId="233" dataCellStyle="Total">
      <calculatedColumnFormula>COUNTA(Octubre[[#This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iembre" displayName="Noviembre" ref="B8:AH14" totalsRowCount="1" headerRowDxfId="232" dataDxfId="231" totalsRowDxfId="230">
  <tableColumns count="33">
    <tableColumn id="1" xr3:uid="{00000000-0010-0000-0A00-000001000000}" name="Nombre del empleado" totalsRowFunction="custom" dataDxfId="229" totalsRowDxfId="228" dataCellStyle="Empleado">
      <totalsRowFormula>MonthName&amp;" Total"</totalsRowFormula>
    </tableColumn>
    <tableColumn id="2" xr3:uid="{00000000-0010-0000-0A00-000002000000}" name="1" totalsRowFunction="count" dataDxfId="227" totalsRowDxfId="226"/>
    <tableColumn id="3" xr3:uid="{00000000-0010-0000-0A00-000003000000}" name="2" totalsRowFunction="count" dataDxfId="225" totalsRowDxfId="224"/>
    <tableColumn id="4" xr3:uid="{00000000-0010-0000-0A00-000004000000}" name="3" totalsRowFunction="count" dataDxfId="223" totalsRowDxfId="222"/>
    <tableColumn id="5" xr3:uid="{00000000-0010-0000-0A00-000005000000}" name="4" totalsRowFunction="count" dataDxfId="221" totalsRowDxfId="220"/>
    <tableColumn id="6" xr3:uid="{00000000-0010-0000-0A00-000006000000}" name="5" totalsRowFunction="count" dataDxfId="219" totalsRowDxfId="218"/>
    <tableColumn id="7" xr3:uid="{00000000-0010-0000-0A00-000007000000}" name="6" totalsRowFunction="count" dataDxfId="217" totalsRowDxfId="216"/>
    <tableColumn id="8" xr3:uid="{00000000-0010-0000-0A00-000008000000}" name="7" totalsRowFunction="count" dataDxfId="215" totalsRowDxfId="214"/>
    <tableColumn id="9" xr3:uid="{00000000-0010-0000-0A00-000009000000}" name="8" totalsRowFunction="count" dataDxfId="213" totalsRowDxfId="212"/>
    <tableColumn id="10" xr3:uid="{00000000-0010-0000-0A00-00000A000000}" name="9" totalsRowFunction="count" dataDxfId="211" totalsRowDxfId="210"/>
    <tableColumn id="11" xr3:uid="{00000000-0010-0000-0A00-00000B000000}" name="10" totalsRowFunction="count" dataDxfId="209" totalsRowDxfId="208"/>
    <tableColumn id="12" xr3:uid="{00000000-0010-0000-0A00-00000C000000}" name="11" totalsRowFunction="count" dataDxfId="207" totalsRowDxfId="206"/>
    <tableColumn id="13" xr3:uid="{00000000-0010-0000-0A00-00000D000000}" name="12" totalsRowFunction="count" dataDxfId="205" totalsRowDxfId="204"/>
    <tableColumn id="14" xr3:uid="{00000000-0010-0000-0A00-00000E000000}" name="13" totalsRowFunction="count" dataDxfId="203" totalsRowDxfId="202"/>
    <tableColumn id="15" xr3:uid="{00000000-0010-0000-0A00-00000F000000}" name="14" totalsRowFunction="count" dataDxfId="201" totalsRowDxfId="200"/>
    <tableColumn id="16" xr3:uid="{00000000-0010-0000-0A00-000010000000}" name="15" totalsRowFunction="count" dataDxfId="199" totalsRowDxfId="198"/>
    <tableColumn id="17" xr3:uid="{00000000-0010-0000-0A00-000011000000}" name="16" totalsRowFunction="count" dataDxfId="197" totalsRowDxfId="196"/>
    <tableColumn id="18" xr3:uid="{00000000-0010-0000-0A00-000012000000}" name="17" totalsRowFunction="count" dataDxfId="195" totalsRowDxfId="194"/>
    <tableColumn id="19" xr3:uid="{00000000-0010-0000-0A00-000013000000}" name="18" totalsRowFunction="count" dataDxfId="193" totalsRowDxfId="192"/>
    <tableColumn id="20" xr3:uid="{00000000-0010-0000-0A00-000014000000}" name="19" totalsRowFunction="count" dataDxfId="191" totalsRowDxfId="190"/>
    <tableColumn id="21" xr3:uid="{00000000-0010-0000-0A00-000015000000}" name="20" totalsRowFunction="count" dataDxfId="189" totalsRowDxfId="188"/>
    <tableColumn id="22" xr3:uid="{00000000-0010-0000-0A00-000016000000}" name="21" totalsRowFunction="count" dataDxfId="187" totalsRowDxfId="186"/>
    <tableColumn id="23" xr3:uid="{00000000-0010-0000-0A00-000017000000}" name="22" totalsRowFunction="count" dataDxfId="185" totalsRowDxfId="184"/>
    <tableColumn id="24" xr3:uid="{00000000-0010-0000-0A00-000018000000}" name="23" totalsRowFunction="count" dataDxfId="183" totalsRowDxfId="182"/>
    <tableColumn id="25" xr3:uid="{00000000-0010-0000-0A00-000019000000}" name="24" totalsRowFunction="count" dataDxfId="181" totalsRowDxfId="180"/>
    <tableColumn id="26" xr3:uid="{00000000-0010-0000-0A00-00001A000000}" name="25" totalsRowFunction="count" dataDxfId="179" totalsRowDxfId="178"/>
    <tableColumn id="27" xr3:uid="{00000000-0010-0000-0A00-00001B000000}" name="26" totalsRowFunction="count" dataDxfId="177" totalsRowDxfId="176"/>
    <tableColumn id="28" xr3:uid="{00000000-0010-0000-0A00-00001C000000}" name="27" totalsRowFunction="count" dataDxfId="175" totalsRowDxfId="174"/>
    <tableColumn id="29" xr3:uid="{00000000-0010-0000-0A00-00001D000000}" name="28" totalsRowFunction="count" dataDxfId="173" totalsRowDxfId="172"/>
    <tableColumn id="30" xr3:uid="{00000000-0010-0000-0A00-00001E000000}" name="29" totalsRowFunction="count" dataDxfId="171" totalsRowDxfId="170"/>
    <tableColumn id="31" xr3:uid="{00000000-0010-0000-0A00-00001F000000}" name="30" totalsRowFunction="sum" dataDxfId="169" totalsRowDxfId="168"/>
    <tableColumn id="32" xr3:uid="{00000000-0010-0000-0A00-000020000000}" name=" " totalsRowFunction="sum" dataDxfId="167" totalsRowDxfId="166" dataCellStyle="Total"/>
    <tableColumn id="33" xr3:uid="{00000000-0010-0000-0A00-000021000000}" name="Total de días" totalsRowFunction="sum" dataDxfId="165" totalsRowDxfId="164" dataCellStyle="Total">
      <calculatedColumnFormula>COUNTA(Noviembre[[#This Row],[1]:[ ]])</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 displayName="Diciembre" ref="B8:AH14" totalsRowCount="1" headerRowDxfId="163" dataDxfId="162" totalsRowDxfId="161">
  <tableColumns count="33">
    <tableColumn id="1" xr3:uid="{00000000-0010-0000-0B00-000001000000}" name="Nombre del empleado" totalsRowFunction="custom" dataDxfId="160" totalsRowDxfId="159" dataCellStyle="Empleado">
      <totalsRowFormula>MonthName&amp;" Total"</totalsRowFormula>
    </tableColumn>
    <tableColumn id="2" xr3:uid="{00000000-0010-0000-0B00-000002000000}" name="1" totalsRowFunction="count" dataDxfId="158" totalsRowDxfId="157"/>
    <tableColumn id="3" xr3:uid="{00000000-0010-0000-0B00-000003000000}" name="2" totalsRowFunction="count" dataDxfId="156" totalsRowDxfId="155"/>
    <tableColumn id="4" xr3:uid="{00000000-0010-0000-0B00-000004000000}" name="3" totalsRowFunction="count" dataDxfId="154" totalsRowDxfId="153"/>
    <tableColumn id="5" xr3:uid="{00000000-0010-0000-0B00-000005000000}" name="4" totalsRowFunction="count" dataDxfId="152" totalsRowDxfId="151"/>
    <tableColumn id="6" xr3:uid="{00000000-0010-0000-0B00-000006000000}" name="5" totalsRowFunction="count" dataDxfId="150" totalsRowDxfId="149"/>
    <tableColumn id="7" xr3:uid="{00000000-0010-0000-0B00-000007000000}" name="6" totalsRowFunction="count" dataDxfId="148" totalsRowDxfId="147"/>
    <tableColumn id="8" xr3:uid="{00000000-0010-0000-0B00-000008000000}" name="7" totalsRowFunction="count" dataDxfId="146" totalsRowDxfId="145"/>
    <tableColumn id="9" xr3:uid="{00000000-0010-0000-0B00-000009000000}" name="8" totalsRowFunction="count" dataDxfId="144" totalsRowDxfId="143"/>
    <tableColumn id="10" xr3:uid="{00000000-0010-0000-0B00-00000A000000}" name="9" totalsRowFunction="count" dataDxfId="142" totalsRowDxfId="141"/>
    <tableColumn id="11" xr3:uid="{00000000-0010-0000-0B00-00000B000000}" name="10" totalsRowFunction="count" dataDxfId="140" totalsRowDxfId="139"/>
    <tableColumn id="12" xr3:uid="{00000000-0010-0000-0B00-00000C000000}" name="11" totalsRowFunction="count" dataDxfId="138" totalsRowDxfId="137"/>
    <tableColumn id="13" xr3:uid="{00000000-0010-0000-0B00-00000D000000}" name="12" totalsRowFunction="count" dataDxfId="136" totalsRowDxfId="135"/>
    <tableColumn id="14" xr3:uid="{00000000-0010-0000-0B00-00000E000000}" name="13" totalsRowFunction="count" dataDxfId="134" totalsRowDxfId="133"/>
    <tableColumn id="15" xr3:uid="{00000000-0010-0000-0B00-00000F000000}" name="14" totalsRowFunction="count" dataDxfId="132" totalsRowDxfId="131"/>
    <tableColumn id="16" xr3:uid="{00000000-0010-0000-0B00-000010000000}" name="15" totalsRowFunction="count" dataDxfId="130" totalsRowDxfId="129"/>
    <tableColumn id="17" xr3:uid="{00000000-0010-0000-0B00-000011000000}" name="16" totalsRowFunction="count" dataDxfId="128" totalsRowDxfId="127"/>
    <tableColumn id="18" xr3:uid="{00000000-0010-0000-0B00-000012000000}" name="17" totalsRowFunction="count" dataDxfId="126" totalsRowDxfId="125"/>
    <tableColumn id="19" xr3:uid="{00000000-0010-0000-0B00-000013000000}" name="18" totalsRowFunction="count" dataDxfId="124" totalsRowDxfId="123"/>
    <tableColumn id="20" xr3:uid="{00000000-0010-0000-0B00-000014000000}" name="19" totalsRowFunction="count" dataDxfId="122" totalsRowDxfId="121"/>
    <tableColumn id="21" xr3:uid="{00000000-0010-0000-0B00-000015000000}" name="20" totalsRowFunction="count" dataDxfId="120" totalsRowDxfId="119"/>
    <tableColumn id="22" xr3:uid="{00000000-0010-0000-0B00-000016000000}" name="21" totalsRowFunction="count" dataDxfId="118" totalsRowDxfId="117"/>
    <tableColumn id="23" xr3:uid="{00000000-0010-0000-0B00-000017000000}" name="22" totalsRowFunction="count" dataDxfId="116" totalsRowDxfId="115"/>
    <tableColumn id="24" xr3:uid="{00000000-0010-0000-0B00-000018000000}" name="23" totalsRowFunction="count" dataDxfId="114" totalsRowDxfId="113"/>
    <tableColumn id="25" xr3:uid="{00000000-0010-0000-0B00-000019000000}" name="24" totalsRowFunction="count" dataDxfId="112" totalsRowDxfId="111"/>
    <tableColumn id="26" xr3:uid="{00000000-0010-0000-0B00-00001A000000}" name="25" totalsRowFunction="count" dataDxfId="110" totalsRowDxfId="109"/>
    <tableColumn id="27" xr3:uid="{00000000-0010-0000-0B00-00001B000000}" name="26" totalsRowFunction="count" dataDxfId="108" totalsRowDxfId="107"/>
    <tableColumn id="28" xr3:uid="{00000000-0010-0000-0B00-00001C000000}" name="27" totalsRowFunction="count" dataDxfId="106" totalsRowDxfId="105"/>
    <tableColumn id="29" xr3:uid="{00000000-0010-0000-0B00-00001D000000}" name="28" totalsRowFunction="count" dataDxfId="104" totalsRowDxfId="103"/>
    <tableColumn id="30" xr3:uid="{00000000-0010-0000-0B00-00001E000000}" name="29" totalsRowFunction="count" dataDxfId="102" totalsRowDxfId="101"/>
    <tableColumn id="31" xr3:uid="{00000000-0010-0000-0B00-00001F000000}" name="30" totalsRowFunction="sum" dataDxfId="100" totalsRowDxfId="99"/>
    <tableColumn id="32" xr3:uid="{00000000-0010-0000-0B00-000020000000}" name="31" totalsRowFunction="sum" dataDxfId="98" totalsRowDxfId="97" dataCellStyle="Total"/>
    <tableColumn id="33" xr3:uid="{00000000-0010-0000-0B00-000021000000}" name="Total de días" totalsRowFunction="sum" dataDxfId="96" totalsRowDxfId="95" dataCellStyle="Total">
      <calculatedColumnFormula>COUNTA(Diciembre[[#This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a una lista de nombres y fechas del calendario para registrar las ausencias de los empleados y el tipo de ausencia específico, como V = vacaciones, E = baja por enfermedad, P = asuntos personales y dos marcadores de posición de entradas personalizadas"/>
    </ext>
  </extLst>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Nombre_del_empleado" displayName="Nombre_del_empleado" ref="B3:B8" totalsRowShown="0">
  <autoFilter ref="B3:B8" xr:uid="{00000000-0009-0000-0100-00000D000000}"/>
  <tableColumns count="1">
    <tableColumn id="1" xr3:uid="{00000000-0010-0000-0C00-000001000000}" name="Nombres de los empleados" dataCellStyle="Empleado"/>
  </tableColumns>
  <tableStyleInfo name="Tabla de ausencia del empleado" showFirstColumn="1" showLastColumn="1" showRowStripes="1" showColumnStripes="0"/>
  <extLst>
    <ext xmlns:x14="http://schemas.microsoft.com/office/spreadsheetml/2009/9/main" uri="{504A1905-F514-4f6f-8877-14C23A59335A}">
      <x14:table altTextSummary="Escriba los nombres de los empleados en esta tabla. Estos nombres se usan como opciones en la columna B de la programación de ausencias de cada mes"/>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Enero" displayName="Enero" ref="B8:AH14" totalsRowCount="1" headerRowDxfId="888" dataDxfId="887" totalsRowDxfId="886">
  <autoFilter ref="B8:AH1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Nombre del empleado" totalsRowFunction="custom" dataDxfId="885" totalsRowDxfId="94" dataCellStyle="Empleado">
      <totalsRowFormula>MonthName&amp;" total"</totalsRowFormula>
    </tableColumn>
    <tableColumn id="2" xr3:uid="{00000000-0010-0000-0000-000002000000}" name="1" totalsRowFunction="custom" dataDxfId="884" totalsRowDxfId="93" dataCellStyle="Total">
      <totalsRowFormula>SUBTOTAL(103,Enero!$C$9:$C$13)</totalsRowFormula>
    </tableColumn>
    <tableColumn id="3" xr3:uid="{00000000-0010-0000-0000-000003000000}" name="2" totalsRowFunction="custom" dataDxfId="883" totalsRowDxfId="92" dataCellStyle="Total">
      <totalsRowFormula>SUBTOTAL(103,Enero!$D$9:$D$13)</totalsRowFormula>
    </tableColumn>
    <tableColumn id="4" xr3:uid="{00000000-0010-0000-0000-000004000000}" name="3" totalsRowFunction="custom" dataDxfId="882" totalsRowDxfId="91" dataCellStyle="Total">
      <totalsRowFormula>SUBTOTAL(103,Enero!$E$9:$E$13)</totalsRowFormula>
    </tableColumn>
    <tableColumn id="5" xr3:uid="{00000000-0010-0000-0000-000005000000}" name="4" totalsRowFunction="custom" dataDxfId="881" totalsRowDxfId="90" dataCellStyle="Total">
      <totalsRowFormula>SUBTOTAL(103,Enero!$F$9:$F$13)</totalsRowFormula>
    </tableColumn>
    <tableColumn id="6" xr3:uid="{00000000-0010-0000-0000-000006000000}" name="5" totalsRowFunction="custom" totalsRowDxfId="89" dataCellStyle="Total">
      <totalsRowFormula>SUBTOTAL(103,Enero!$G$9:$G$13)</totalsRowFormula>
    </tableColumn>
    <tableColumn id="7" xr3:uid="{00000000-0010-0000-0000-000007000000}" name="6" totalsRowFunction="custom" dataDxfId="880" totalsRowDxfId="88" dataCellStyle="Total">
      <totalsRowFormula>SUBTOTAL(103,Enero!$H$9:$H$13)</totalsRowFormula>
    </tableColumn>
    <tableColumn id="8" xr3:uid="{00000000-0010-0000-0000-000008000000}" name="7" totalsRowFunction="custom" dataDxfId="879" totalsRowDxfId="87" dataCellStyle="Total">
      <totalsRowFormula>SUBTOTAL(103,Enero!$I$9:$I$13)</totalsRowFormula>
    </tableColumn>
    <tableColumn id="9" xr3:uid="{00000000-0010-0000-0000-000009000000}" name="8" totalsRowFunction="custom" dataDxfId="878" totalsRowDxfId="86" dataCellStyle="Total">
      <totalsRowFormula>SUBTOTAL(103,Enero!$J$9:$J$13)</totalsRowFormula>
    </tableColumn>
    <tableColumn id="10" xr3:uid="{00000000-0010-0000-0000-00000A000000}" name="9" totalsRowFunction="custom" dataDxfId="877" totalsRowDxfId="85" dataCellStyle="Total">
      <totalsRowFormula>SUBTOTAL(103,Enero!$K$9:$K$13)</totalsRowFormula>
    </tableColumn>
    <tableColumn id="11" xr3:uid="{00000000-0010-0000-0000-00000B000000}" name="10" totalsRowFunction="custom" dataDxfId="876" totalsRowDxfId="84" dataCellStyle="Total">
      <totalsRowFormula>SUBTOTAL(103,Enero!$L$9:$L$13)</totalsRowFormula>
    </tableColumn>
    <tableColumn id="12" xr3:uid="{00000000-0010-0000-0000-00000C000000}" name="11" totalsRowFunction="custom" dataDxfId="875" totalsRowDxfId="83" dataCellStyle="Total">
      <totalsRowFormula>SUBTOTAL(103,Enero!$M$9:$M$13)</totalsRowFormula>
    </tableColumn>
    <tableColumn id="13" xr3:uid="{00000000-0010-0000-0000-00000D000000}" name="12" totalsRowFunction="custom" dataDxfId="874" totalsRowDxfId="82" dataCellStyle="Total">
      <totalsRowFormula>SUBTOTAL(103,Enero!$N$9:$N$13)</totalsRowFormula>
    </tableColumn>
    <tableColumn id="14" xr3:uid="{00000000-0010-0000-0000-00000E000000}" name="13" totalsRowFunction="custom" dataDxfId="873" totalsRowDxfId="81" dataCellStyle="Total">
      <totalsRowFormula>SUBTOTAL(103,Enero!$O$9:$O$13)</totalsRowFormula>
    </tableColumn>
    <tableColumn id="15" xr3:uid="{00000000-0010-0000-0000-00000F000000}" name="14" totalsRowFunction="custom" dataDxfId="872" totalsRowDxfId="80" dataCellStyle="Total">
      <totalsRowFormula>SUBTOTAL(103,Enero!$P$9:$P$13)</totalsRowFormula>
    </tableColumn>
    <tableColumn id="16" xr3:uid="{00000000-0010-0000-0000-000010000000}" name="15" totalsRowFunction="custom" dataDxfId="871" totalsRowDxfId="79" dataCellStyle="Total">
      <totalsRowFormula>SUBTOTAL(103,Enero!$Q$9:$Q$13)</totalsRowFormula>
    </tableColumn>
    <tableColumn id="17" xr3:uid="{00000000-0010-0000-0000-000011000000}" name="16" totalsRowFunction="custom" dataDxfId="870" totalsRowDxfId="78" dataCellStyle="Total">
      <totalsRowFormula>SUBTOTAL(103,Enero!$R$9:$R$13)</totalsRowFormula>
    </tableColumn>
    <tableColumn id="18" xr3:uid="{00000000-0010-0000-0000-000012000000}" name="17" totalsRowFunction="custom" dataDxfId="869" totalsRowDxfId="77" dataCellStyle="Total">
      <totalsRowFormula>SUBTOTAL(103,Enero!$S$9:$S$13)</totalsRowFormula>
    </tableColumn>
    <tableColumn id="19" xr3:uid="{00000000-0010-0000-0000-000013000000}" name="18" totalsRowFunction="custom" dataDxfId="868" totalsRowDxfId="76" dataCellStyle="Total">
      <totalsRowFormula>SUBTOTAL(103,Enero!$T$9:$T$13)</totalsRowFormula>
    </tableColumn>
    <tableColumn id="20" xr3:uid="{00000000-0010-0000-0000-000014000000}" name="19" totalsRowFunction="custom" dataDxfId="867" totalsRowDxfId="75" dataCellStyle="Total">
      <totalsRowFormula>SUBTOTAL(103,Enero!$U$9:$U$13)</totalsRowFormula>
    </tableColumn>
    <tableColumn id="21" xr3:uid="{00000000-0010-0000-0000-000015000000}" name="20" totalsRowFunction="custom" dataDxfId="866" totalsRowDxfId="74" dataCellStyle="Total">
      <totalsRowFormula>SUBTOTAL(103,Enero!$V$9:$V$13)</totalsRowFormula>
    </tableColumn>
    <tableColumn id="22" xr3:uid="{00000000-0010-0000-0000-000016000000}" name="21" totalsRowFunction="custom" dataDxfId="865" totalsRowDxfId="73" dataCellStyle="Total">
      <totalsRowFormula>SUBTOTAL(103,Enero!$W$9:$W$13)</totalsRowFormula>
    </tableColumn>
    <tableColumn id="23" xr3:uid="{00000000-0010-0000-0000-000017000000}" name="22" totalsRowFunction="custom" dataDxfId="864" totalsRowDxfId="72" dataCellStyle="Total">
      <totalsRowFormula>SUBTOTAL(103,Enero!$X$9:$X$13)</totalsRowFormula>
    </tableColumn>
    <tableColumn id="24" xr3:uid="{00000000-0010-0000-0000-000018000000}" name="23" totalsRowFunction="custom" dataDxfId="863" totalsRowDxfId="71" dataCellStyle="Total">
      <totalsRowFormula>SUBTOTAL(103,Enero!$Y$9:$Y$13)</totalsRowFormula>
    </tableColumn>
    <tableColumn id="25" xr3:uid="{00000000-0010-0000-0000-000019000000}" name="24" totalsRowFunction="custom" dataDxfId="862" totalsRowDxfId="70" dataCellStyle="Total">
      <totalsRowFormula>SUBTOTAL(103,Enero!$Z$9:$Z$13)</totalsRowFormula>
    </tableColumn>
    <tableColumn id="26" xr3:uid="{00000000-0010-0000-0000-00001A000000}" name="25" totalsRowFunction="custom" dataDxfId="861" totalsRowDxfId="69" dataCellStyle="Total">
      <totalsRowFormula>SUBTOTAL(103,Enero!$AA$9:$AA$13)</totalsRowFormula>
    </tableColumn>
    <tableColumn id="27" xr3:uid="{00000000-0010-0000-0000-00001B000000}" name="26" totalsRowFunction="custom" dataDxfId="860" totalsRowDxfId="68" dataCellStyle="Total">
      <totalsRowFormula>SUBTOTAL(103,Enero!$AB$9:$AB$13)</totalsRowFormula>
    </tableColumn>
    <tableColumn id="28" xr3:uid="{00000000-0010-0000-0000-00001C000000}" name="27" totalsRowFunction="custom" dataDxfId="859" totalsRowDxfId="67" dataCellStyle="Total">
      <totalsRowFormula>SUBTOTAL(103,Enero!$AC$9:$AC$13)</totalsRowFormula>
    </tableColumn>
    <tableColumn id="29" xr3:uid="{00000000-0010-0000-0000-00001D000000}" name="28" totalsRowFunction="custom" dataDxfId="858" totalsRowDxfId="66" dataCellStyle="Total">
      <totalsRowFormula>SUBTOTAL(103,Enero!$AD$9:$AD$13)</totalsRowFormula>
    </tableColumn>
    <tableColumn id="30" xr3:uid="{00000000-0010-0000-0000-00001E000000}" name="29" totalsRowFunction="custom" dataDxfId="857" totalsRowDxfId="65" dataCellStyle="Total">
      <totalsRowFormula>SUBTOTAL(103,Enero!$AE$9:$AE$13)</totalsRowFormula>
    </tableColumn>
    <tableColumn id="31" xr3:uid="{00000000-0010-0000-0000-00001F000000}" name="30" totalsRowFunction="custom" dataDxfId="856" totalsRowDxfId="64" dataCellStyle="Total">
      <totalsRowFormula>SUBTOTAL(103,Enero!$AF$9:$AF$13)</totalsRowFormula>
    </tableColumn>
    <tableColumn id="32" xr3:uid="{00000000-0010-0000-0000-000020000000}" name="31" totalsRowFunction="custom" dataDxfId="855" totalsRowDxfId="63" dataCellStyle="Total">
      <totalsRowFormula>SUBTOTAL(103,Enero!$AG$9:$AG$13)</totalsRowFormula>
    </tableColumn>
    <tableColumn id="33" xr3:uid="{00000000-0010-0000-0000-000021000000}" name="Total de días" totalsRowFunction="sum" dataDxfId="854" totalsRowDxfId="62" dataCellStyle="Total">
      <calculatedColumnFormula>COUNTA(Enero!$C9:$AG9)</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 displayName="Febrero" ref="B8:AH14" totalsRowCount="1" headerRowDxfId="853" dataDxfId="852" totalsRowDxfId="851">
  <tableColumns count="33">
    <tableColumn id="1" xr3:uid="{00000000-0010-0000-0100-000001000000}" name="Nombre del empleado" totalsRowFunction="custom" dataDxfId="850" totalsRowDxfId="849" dataCellStyle="Empleado">
      <totalsRowFormula>MonthName&amp;" total"</totalsRowFormula>
    </tableColumn>
    <tableColumn id="2" xr3:uid="{00000000-0010-0000-0100-000002000000}" name="1" totalsRowFunction="count" dataDxfId="848" totalsRowDxfId="847" dataCellStyle="Total"/>
    <tableColumn id="3" xr3:uid="{00000000-0010-0000-0100-000003000000}" name="2" totalsRowFunction="count" dataDxfId="846" totalsRowDxfId="845" dataCellStyle="Total"/>
    <tableColumn id="4" xr3:uid="{00000000-0010-0000-0100-000004000000}" name="3" totalsRowFunction="count" dataDxfId="844" totalsRowDxfId="843" dataCellStyle="Total"/>
    <tableColumn id="5" xr3:uid="{00000000-0010-0000-0100-000005000000}" name="4" totalsRowFunction="count" dataDxfId="842" totalsRowDxfId="841" dataCellStyle="Total"/>
    <tableColumn id="6" xr3:uid="{00000000-0010-0000-0100-000006000000}" name="5" totalsRowFunction="count" dataDxfId="840" totalsRowDxfId="839" dataCellStyle="Total"/>
    <tableColumn id="7" xr3:uid="{00000000-0010-0000-0100-000007000000}" name="6" totalsRowFunction="count" dataDxfId="838" totalsRowDxfId="837" dataCellStyle="Total"/>
    <tableColumn id="8" xr3:uid="{00000000-0010-0000-0100-000008000000}" name="7" totalsRowFunction="count" dataDxfId="836" totalsRowDxfId="835" dataCellStyle="Total"/>
    <tableColumn id="9" xr3:uid="{00000000-0010-0000-0100-000009000000}" name="8" totalsRowFunction="count" dataDxfId="834" totalsRowDxfId="833" dataCellStyle="Total"/>
    <tableColumn id="10" xr3:uid="{00000000-0010-0000-0100-00000A000000}" name="9" totalsRowFunction="count" dataDxfId="832" totalsRowDxfId="831" dataCellStyle="Total"/>
    <tableColumn id="11" xr3:uid="{00000000-0010-0000-0100-00000B000000}" name="10" totalsRowFunction="count" dataDxfId="830" totalsRowDxfId="829" dataCellStyle="Total"/>
    <tableColumn id="12" xr3:uid="{00000000-0010-0000-0100-00000C000000}" name="11" totalsRowFunction="count" dataDxfId="828" totalsRowDxfId="827" dataCellStyle="Total"/>
    <tableColumn id="13" xr3:uid="{00000000-0010-0000-0100-00000D000000}" name="12" totalsRowFunction="count" dataDxfId="826" totalsRowDxfId="825" dataCellStyle="Total"/>
    <tableColumn id="14" xr3:uid="{00000000-0010-0000-0100-00000E000000}" name="13" totalsRowFunction="count" dataDxfId="824" totalsRowDxfId="823" dataCellStyle="Total"/>
    <tableColumn id="15" xr3:uid="{00000000-0010-0000-0100-00000F000000}" name="14" totalsRowFunction="count" dataDxfId="822" totalsRowDxfId="821" dataCellStyle="Total"/>
    <tableColumn id="16" xr3:uid="{00000000-0010-0000-0100-000010000000}" name="15" totalsRowFunction="count" dataDxfId="820" totalsRowDxfId="819" dataCellStyle="Total"/>
    <tableColumn id="17" xr3:uid="{00000000-0010-0000-0100-000011000000}" name="16" totalsRowFunction="count" dataDxfId="818" totalsRowDxfId="817" dataCellStyle="Total"/>
    <tableColumn id="18" xr3:uid="{00000000-0010-0000-0100-000012000000}" name="17" totalsRowFunction="count" dataDxfId="816" totalsRowDxfId="815" dataCellStyle="Total"/>
    <tableColumn id="19" xr3:uid="{00000000-0010-0000-0100-000013000000}" name="18" totalsRowFunction="count" dataDxfId="814" totalsRowDxfId="813" dataCellStyle="Total"/>
    <tableColumn id="20" xr3:uid="{00000000-0010-0000-0100-000014000000}" name="19" totalsRowFunction="count" dataDxfId="812" totalsRowDxfId="811" dataCellStyle="Total"/>
    <tableColumn id="21" xr3:uid="{00000000-0010-0000-0100-000015000000}" name="20" totalsRowFunction="count" dataDxfId="810" totalsRowDxfId="809" dataCellStyle="Total"/>
    <tableColumn id="22" xr3:uid="{00000000-0010-0000-0100-000016000000}" name="21" totalsRowFunction="count" dataDxfId="808" totalsRowDxfId="807" dataCellStyle="Total"/>
    <tableColumn id="23" xr3:uid="{00000000-0010-0000-0100-000017000000}" name="22" totalsRowFunction="count" dataDxfId="806" totalsRowDxfId="805" dataCellStyle="Total"/>
    <tableColumn id="24" xr3:uid="{00000000-0010-0000-0100-000018000000}" name="23" totalsRowFunction="count" dataDxfId="804" totalsRowDxfId="803" dataCellStyle="Total"/>
    <tableColumn id="25" xr3:uid="{00000000-0010-0000-0100-000019000000}" name="24" totalsRowFunction="count" dataDxfId="802" totalsRowDxfId="801" dataCellStyle="Total"/>
    <tableColumn id="26" xr3:uid="{00000000-0010-0000-0100-00001A000000}" name="25" totalsRowFunction="count" dataDxfId="800" totalsRowDxfId="799" dataCellStyle="Total"/>
    <tableColumn id="27" xr3:uid="{00000000-0010-0000-0100-00001B000000}" name="26" totalsRowFunction="count" dataDxfId="798" totalsRowDxfId="797" dataCellStyle="Total"/>
    <tableColumn id="28" xr3:uid="{00000000-0010-0000-0100-00001C000000}" name="27" totalsRowFunction="count" dataDxfId="796" totalsRowDxfId="795" dataCellStyle="Total"/>
    <tableColumn id="29" xr3:uid="{00000000-0010-0000-0100-00001D000000}" name="28" totalsRowFunction="count" dataDxfId="794" totalsRowDxfId="793" dataCellStyle="Total"/>
    <tableColumn id="30" xr3:uid="{00000000-0010-0000-0100-00001E000000}" name="29" totalsRowFunction="count" dataDxfId="792" totalsRowDxfId="791" dataCellStyle="Total"/>
    <tableColumn id="31" xr3:uid="{00000000-0010-0000-0100-00001F000000}" name=" " dataDxfId="790" totalsRowDxfId="789" dataCellStyle="Total"/>
    <tableColumn id="32" xr3:uid="{00000000-0010-0000-0100-000020000000}" name="  " dataDxfId="788" totalsRowDxfId="787" dataCellStyle="Total"/>
    <tableColumn id="33" xr3:uid="{00000000-0010-0000-0100-000021000000}" name="Total de días" totalsRowFunction="sum" dataDxfId="786" totalsRowDxfId="785" dataCellStyle="Total">
      <calculatedColumnFormula>COUNTA(Febrero[[#This Row],[1]:[29]])</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zo" displayName="Marzo" ref="B8:AH14" totalsRowCount="1" headerRowDxfId="784" dataDxfId="783" totalsRowDxfId="782">
  <tableColumns count="33">
    <tableColumn id="1" xr3:uid="{00000000-0010-0000-0200-000001000000}" name="Nombre del empleado" totalsRowFunction="custom" dataDxfId="781" totalsRowDxfId="780" dataCellStyle="Empleado">
      <totalsRowFormula>MonthName&amp;" Total"</totalsRowFormula>
    </tableColumn>
    <tableColumn id="2" xr3:uid="{00000000-0010-0000-0200-000002000000}" name="1" totalsRowFunction="count" dataDxfId="779" totalsRowDxfId="778"/>
    <tableColumn id="3" xr3:uid="{00000000-0010-0000-0200-000003000000}" name="2" totalsRowFunction="count" dataDxfId="777" totalsRowDxfId="776"/>
    <tableColumn id="4" xr3:uid="{00000000-0010-0000-0200-000004000000}" name="3" totalsRowFunction="count" dataDxfId="775" totalsRowDxfId="774"/>
    <tableColumn id="5" xr3:uid="{00000000-0010-0000-0200-000005000000}" name="4" totalsRowFunction="count" dataDxfId="773" totalsRowDxfId="772"/>
    <tableColumn id="6" xr3:uid="{00000000-0010-0000-0200-000006000000}" name="5" totalsRowFunction="count" dataDxfId="771" totalsRowDxfId="770"/>
    <tableColumn id="7" xr3:uid="{00000000-0010-0000-0200-000007000000}" name="6" totalsRowFunction="count" dataDxfId="769" totalsRowDxfId="768"/>
    <tableColumn id="8" xr3:uid="{00000000-0010-0000-0200-000008000000}" name="7" totalsRowFunction="count" dataDxfId="767" totalsRowDxfId="766"/>
    <tableColumn id="9" xr3:uid="{00000000-0010-0000-0200-000009000000}" name="8" totalsRowFunction="count" dataDxfId="765" totalsRowDxfId="764"/>
    <tableColumn id="10" xr3:uid="{00000000-0010-0000-0200-00000A000000}" name="9" totalsRowFunction="count" dataDxfId="763" totalsRowDxfId="762"/>
    <tableColumn id="11" xr3:uid="{00000000-0010-0000-0200-00000B000000}" name="10" totalsRowFunction="count" dataDxfId="761" totalsRowDxfId="760"/>
    <tableColumn id="12" xr3:uid="{00000000-0010-0000-0200-00000C000000}" name="11" totalsRowFunction="count" dataDxfId="759" totalsRowDxfId="758"/>
    <tableColumn id="13" xr3:uid="{00000000-0010-0000-0200-00000D000000}" name="12" totalsRowFunction="count" dataDxfId="757" totalsRowDxfId="756"/>
    <tableColumn id="14" xr3:uid="{00000000-0010-0000-0200-00000E000000}" name="13" totalsRowFunction="count" dataDxfId="755" totalsRowDxfId="754"/>
    <tableColumn id="15" xr3:uid="{00000000-0010-0000-0200-00000F000000}" name="14" totalsRowFunction="count" dataDxfId="753" totalsRowDxfId="752"/>
    <tableColumn id="16" xr3:uid="{00000000-0010-0000-0200-000010000000}" name="15" totalsRowFunction="count" dataDxfId="751" totalsRowDxfId="750"/>
    <tableColumn id="17" xr3:uid="{00000000-0010-0000-0200-000011000000}" name="16" totalsRowFunction="count" dataDxfId="749" totalsRowDxfId="748"/>
    <tableColumn id="18" xr3:uid="{00000000-0010-0000-0200-000012000000}" name="17" totalsRowFunction="count" dataDxfId="747" totalsRowDxfId="746"/>
    <tableColumn id="19" xr3:uid="{00000000-0010-0000-0200-000013000000}" name="18" totalsRowFunction="count" dataDxfId="745" totalsRowDxfId="744"/>
    <tableColumn id="20" xr3:uid="{00000000-0010-0000-0200-000014000000}" name="19" totalsRowFunction="count" dataDxfId="743" totalsRowDxfId="742"/>
    <tableColumn id="21" xr3:uid="{00000000-0010-0000-0200-000015000000}" name="20" totalsRowFunction="count" dataDxfId="741" totalsRowDxfId="740"/>
    <tableColumn id="22" xr3:uid="{00000000-0010-0000-0200-000016000000}" name="21" totalsRowFunction="count" dataDxfId="739" totalsRowDxfId="738"/>
    <tableColumn id="23" xr3:uid="{00000000-0010-0000-0200-000017000000}" name="22" totalsRowFunction="count" dataDxfId="737" totalsRowDxfId="736"/>
    <tableColumn id="24" xr3:uid="{00000000-0010-0000-0200-000018000000}" name="23" totalsRowFunction="count" dataDxfId="735" totalsRowDxfId="734"/>
    <tableColumn id="25" xr3:uid="{00000000-0010-0000-0200-000019000000}" name="24" totalsRowFunction="count" dataDxfId="733" totalsRowDxfId="732"/>
    <tableColumn id="26" xr3:uid="{00000000-0010-0000-0200-00001A000000}" name="25" totalsRowFunction="count" dataDxfId="731" totalsRowDxfId="730"/>
    <tableColumn id="27" xr3:uid="{00000000-0010-0000-0200-00001B000000}" name="26" totalsRowFunction="count" dataDxfId="729" totalsRowDxfId="728"/>
    <tableColumn id="28" xr3:uid="{00000000-0010-0000-0200-00001C000000}" name="27" totalsRowFunction="count" dataDxfId="727" totalsRowDxfId="726"/>
    <tableColumn id="29" xr3:uid="{00000000-0010-0000-0200-00001D000000}" name="28" totalsRowFunction="count" dataDxfId="725" totalsRowDxfId="724"/>
    <tableColumn id="30" xr3:uid="{00000000-0010-0000-0200-00001E000000}" name="29" totalsRowFunction="count" dataDxfId="723" totalsRowDxfId="722"/>
    <tableColumn id="31" xr3:uid="{00000000-0010-0000-0200-00001F000000}" name="30" totalsRowFunction="sum" dataDxfId="721" totalsRowDxfId="720"/>
    <tableColumn id="32" xr3:uid="{00000000-0010-0000-0200-000020000000}" name="31" totalsRowFunction="sum" dataDxfId="719" totalsRowDxfId="718" dataCellStyle="Total"/>
    <tableColumn id="33" xr3:uid="{00000000-0010-0000-0200-000021000000}" name="Total de días" totalsRowFunction="sum" dataDxfId="717" totalsRowDxfId="716" dataCellStyle="Total">
      <calculatedColumnFormula>COUNTA(Marzo[[#This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4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214BC2-F1A9-794B-922E-B532EC6BBFDF}" name="March5" displayName="March5" ref="B8:AH14" totalsRowCount="1" headerRowDxfId="715" dataDxfId="714" totalsRowDxfId="713">
  <tableColumns count="33">
    <tableColumn id="1" xr3:uid="{5251F992-E710-C643-B160-C37BB2131D31}" name="Nombre del empleado" totalsRowFunction="custom" dataDxfId="712" totalsRowDxfId="711" dataCellStyle="Empleado">
      <totalsRowFormula>MonthName&amp;" Total"</totalsRowFormula>
    </tableColumn>
    <tableColumn id="2" xr3:uid="{9AEC3AA3-9F0E-4B4E-A8ED-026BAE9C428F}" name="1" totalsRowFunction="count" dataDxfId="710" totalsRowDxfId="709"/>
    <tableColumn id="3" xr3:uid="{55750F7A-05DD-CB41-95C5-BE1F874725AE}" name="2" totalsRowFunction="count" dataDxfId="708" totalsRowDxfId="707"/>
    <tableColumn id="4" xr3:uid="{259912E4-C37B-5145-B99B-93F989E18A49}" name="3" totalsRowFunction="count" dataDxfId="706" totalsRowDxfId="705"/>
    <tableColumn id="5" xr3:uid="{44743504-4BFF-3B46-87DE-A0AE5C8C9FC0}" name="4" totalsRowFunction="count" dataDxfId="704" totalsRowDxfId="703"/>
    <tableColumn id="6" xr3:uid="{471BE969-F222-D642-8D1A-B386CCC29AB2}" name="5" totalsRowFunction="count" dataDxfId="702" totalsRowDxfId="701"/>
    <tableColumn id="7" xr3:uid="{35FEC3F2-5280-D342-A070-AB9A3C3BCF0A}" name="6" totalsRowFunction="count" dataDxfId="700" totalsRowDxfId="699"/>
    <tableColumn id="8" xr3:uid="{D4047C63-7046-5242-9483-0BC31BD18200}" name="7" totalsRowFunction="count" dataDxfId="698" totalsRowDxfId="697"/>
    <tableColumn id="9" xr3:uid="{79A2B7D0-444A-5942-9296-2BD32E471C66}" name="8" totalsRowFunction="count" dataDxfId="696" totalsRowDxfId="695"/>
    <tableColumn id="10" xr3:uid="{B46D113E-7D39-5A43-BAA4-11739C4AD0C2}" name="9" totalsRowFunction="count" dataDxfId="694" totalsRowDxfId="693"/>
    <tableColumn id="11" xr3:uid="{977EC8E9-AEB6-3E40-BE79-A406D4D3444D}" name="10" totalsRowFunction="count" dataDxfId="692" totalsRowDxfId="691"/>
    <tableColumn id="12" xr3:uid="{42883C66-F682-394E-8D72-6C0286CB27EA}" name="11" totalsRowFunction="count" dataDxfId="690" totalsRowDxfId="689"/>
    <tableColumn id="13" xr3:uid="{9A10401F-4CF0-8641-BCEB-2237315C8881}" name="12" totalsRowFunction="count" dataDxfId="688" totalsRowDxfId="687"/>
    <tableColumn id="14" xr3:uid="{9C8C4D04-BE8B-FB44-9666-B515D905B2D6}" name="13" totalsRowFunction="count" dataDxfId="686" totalsRowDxfId="685"/>
    <tableColumn id="15" xr3:uid="{E996717D-17EC-B048-A561-2AD987D342D0}" name="14" totalsRowFunction="count" dataDxfId="684" totalsRowDxfId="683"/>
    <tableColumn id="16" xr3:uid="{3BFEBF2B-F60F-A142-86F2-75C9DC96AFDB}" name="15" totalsRowFunction="count" dataDxfId="682" totalsRowDxfId="681"/>
    <tableColumn id="17" xr3:uid="{0C97EF54-1361-BE43-8F7F-1BCE23E1AB5A}" name="16" totalsRowFunction="count" dataDxfId="680" totalsRowDxfId="679"/>
    <tableColumn id="18" xr3:uid="{257791F4-E1CB-0642-BD3B-FB1B81C57DF1}" name="17" totalsRowFunction="count" dataDxfId="678" totalsRowDxfId="677"/>
    <tableColumn id="19" xr3:uid="{BB7AB6EF-7B76-5946-B53A-22DB3EB1F3FC}" name="18" totalsRowFunction="count" dataDxfId="676" totalsRowDxfId="675"/>
    <tableColumn id="20" xr3:uid="{85AEA6C3-1E60-234F-8E68-DD23536D850B}" name="19" totalsRowFunction="count" dataDxfId="674" totalsRowDxfId="673"/>
    <tableColumn id="21" xr3:uid="{A73B9507-91D4-9B42-8C0E-1E0FB67905F8}" name="20" totalsRowFunction="count" dataDxfId="672" totalsRowDxfId="671"/>
    <tableColumn id="22" xr3:uid="{5C7BDCBF-0A5A-4549-B80B-C8343893EAF7}" name="21" totalsRowFunction="count" dataDxfId="670" totalsRowDxfId="669"/>
    <tableColumn id="23" xr3:uid="{EC439ECF-E0C6-5D41-9DA2-07E3E82FF691}" name="22" totalsRowFunction="count" dataDxfId="668" totalsRowDxfId="667"/>
    <tableColumn id="24" xr3:uid="{97854A72-AEC9-604B-B1D4-06EC15436469}" name="23" totalsRowFunction="count" dataDxfId="666" totalsRowDxfId="665"/>
    <tableColumn id="25" xr3:uid="{F701FD79-E584-DF4B-83E9-A152532FDD15}" name="24" totalsRowFunction="count" dataDxfId="664" totalsRowDxfId="663"/>
    <tableColumn id="26" xr3:uid="{C662F6C1-F102-5942-8719-E32AD8792020}" name="25" totalsRowFunction="count" dataDxfId="662" totalsRowDxfId="661"/>
    <tableColumn id="27" xr3:uid="{50B9E2E5-9F39-0F45-AE9B-4555A77D295D}" name="26" totalsRowFunction="count" dataDxfId="660" totalsRowDxfId="659"/>
    <tableColumn id="28" xr3:uid="{3E4AF3CF-CB70-0842-B373-83CF59CBDA1D}" name="27" totalsRowFunction="count" dataDxfId="658" totalsRowDxfId="657"/>
    <tableColumn id="29" xr3:uid="{C5FCD875-31A1-4B41-AAF6-09E535D80C81}" name="28" totalsRowFunction="count" dataDxfId="656" totalsRowDxfId="655"/>
    <tableColumn id="30" xr3:uid="{84F06E67-080B-CA42-8EEC-59690B041A03}" name="29" totalsRowFunction="count" dataDxfId="654" totalsRowDxfId="653"/>
    <tableColumn id="31" xr3:uid="{284765D5-58F9-F440-84EA-ACE449176ACA}" name="30" totalsRowFunction="sum" dataDxfId="652" totalsRowDxfId="651"/>
    <tableColumn id="32" xr3:uid="{9C77C5AD-4E19-B843-B9BE-2909F268D667}" name=" " totalsRowFunction="sum" dataDxfId="650" totalsRowDxfId="649" dataCellStyle="Total"/>
    <tableColumn id="33" xr3:uid="{0DA7656D-8525-2046-AEDA-1F40E411BD0D}" name="Total de días" totalsRowFunction="sum" dataDxfId="648" totalsRowDxfId="647" dataCellStyle="Total">
      <calculatedColumnFormula>COUNTA(March5[[#This Row],[1]:[ ]])</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5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83FD69-EC79-6B43-9728-DBC90C3FDC77}" name="March58" displayName="March58" ref="B8:AH14" totalsRowCount="1" headerRowDxfId="646" dataDxfId="645" totalsRowDxfId="644">
  <tableColumns count="33">
    <tableColumn id="1" xr3:uid="{5910D0B6-76A8-1646-97A8-4AE2D1756125}" name="Nombre del empleado" totalsRowFunction="custom" dataDxfId="643" totalsRowDxfId="642" dataCellStyle="Empleado">
      <totalsRowFormula>MonthName&amp;" Total"</totalsRowFormula>
    </tableColumn>
    <tableColumn id="2" xr3:uid="{69C27970-12EA-0E42-AF5F-351BA83FD215}" name="1" totalsRowFunction="count" dataDxfId="641" totalsRowDxfId="640"/>
    <tableColumn id="3" xr3:uid="{2DB67051-6E13-964F-86B0-B00AA9A5BFAF}" name="2" totalsRowFunction="count" dataDxfId="639" totalsRowDxfId="638"/>
    <tableColumn id="4" xr3:uid="{CF201FDD-65B9-BE4B-BE51-45EFCA258036}" name="3" totalsRowFunction="count" dataDxfId="637" totalsRowDxfId="636"/>
    <tableColumn id="5" xr3:uid="{E03823B4-0CCA-7D47-BCFD-4BB07A97D88C}" name="4" totalsRowFunction="count" dataDxfId="635" totalsRowDxfId="634"/>
    <tableColumn id="6" xr3:uid="{5F39FD90-2520-0847-B186-6CA5B07A072F}" name="5" totalsRowFunction="count" dataDxfId="633" totalsRowDxfId="632"/>
    <tableColumn id="7" xr3:uid="{D7992C25-6255-D54A-8B77-C3032B2914E8}" name="6" totalsRowFunction="count" dataDxfId="631" totalsRowDxfId="630"/>
    <tableColumn id="8" xr3:uid="{161AB8A2-4451-FA40-9408-833AFFC6D7CD}" name="7" totalsRowFunction="count" dataDxfId="629" totalsRowDxfId="628"/>
    <tableColumn id="9" xr3:uid="{82432B13-145C-AC4E-A84F-0C211DED3AEE}" name="8" totalsRowFunction="count" dataDxfId="627" totalsRowDxfId="626"/>
    <tableColumn id="10" xr3:uid="{994E3A00-A93E-8A4C-A93F-5DF73DB59AA5}" name="9" totalsRowFunction="count" dataDxfId="625" totalsRowDxfId="624"/>
    <tableColumn id="11" xr3:uid="{ADA642AC-6B5D-4749-B631-64A63466A02A}" name="10" totalsRowFunction="count" dataDxfId="623" totalsRowDxfId="622"/>
    <tableColumn id="12" xr3:uid="{E1D9D052-9150-4B4A-873C-04B0C9F0EAA0}" name="11" totalsRowFunction="count" dataDxfId="621" totalsRowDxfId="620"/>
    <tableColumn id="13" xr3:uid="{7804DD46-EEB3-7047-A68F-A81094B2F0E0}" name="12" totalsRowFunction="count" dataDxfId="619" totalsRowDxfId="618"/>
    <tableColumn id="14" xr3:uid="{39F98B96-5BF4-7747-A3D2-F58049C2C331}" name="13" totalsRowFunction="count" dataDxfId="617" totalsRowDxfId="616"/>
    <tableColumn id="15" xr3:uid="{8908FF7E-1791-CA41-8CF3-4A9F971974C3}" name="14" totalsRowFunction="count" dataDxfId="615" totalsRowDxfId="614"/>
    <tableColumn id="16" xr3:uid="{773FDBBE-AB42-A546-8329-8BDAEF4D06C4}" name="15" totalsRowFunction="count" dataDxfId="613" totalsRowDxfId="612"/>
    <tableColumn id="17" xr3:uid="{01EE92EC-B490-AF40-BDB2-290F1B1C3C58}" name="16" totalsRowFunction="count" dataDxfId="611" totalsRowDxfId="610"/>
    <tableColumn id="18" xr3:uid="{DF22A54C-2BE2-1340-BC66-FDDF323ABBE0}" name="17" totalsRowFunction="count" dataDxfId="609" totalsRowDxfId="608"/>
    <tableColumn id="19" xr3:uid="{BB1CDCA3-E15B-8D4E-ABE5-0D5BE02A950E}" name="18" totalsRowFunction="count" dataDxfId="607" totalsRowDxfId="606"/>
    <tableColumn id="20" xr3:uid="{4D5E657B-D9D2-8C4A-A4EB-E29B4B8BCF70}" name="19" totalsRowFunction="count" dataDxfId="605" totalsRowDxfId="604"/>
    <tableColumn id="21" xr3:uid="{B5D1019E-86BD-A146-A976-653D87FAC02B}" name="20" totalsRowFunction="count" dataDxfId="603" totalsRowDxfId="602"/>
    <tableColumn id="22" xr3:uid="{D1F7F5A1-B363-AC44-9332-4BA33D6CCEA8}" name="21" totalsRowFunction="count" dataDxfId="601" totalsRowDxfId="600"/>
    <tableColumn id="23" xr3:uid="{0EEDA366-AE45-0947-A354-D1B1BEB67F28}" name="22" totalsRowFunction="count" dataDxfId="599" totalsRowDxfId="598"/>
    <tableColumn id="24" xr3:uid="{8DB56569-FE6B-4249-B364-D76AC1D9BE79}" name="23" totalsRowFunction="count" dataDxfId="597" totalsRowDxfId="596"/>
    <tableColumn id="25" xr3:uid="{5BECBC0C-925A-8245-AD6D-847781A68957}" name="24" totalsRowFunction="count" dataDxfId="595" totalsRowDxfId="594"/>
    <tableColumn id="26" xr3:uid="{7D745BDB-6C53-8B4B-BA72-5FBDCB5D9CCC}" name="25" totalsRowFunction="count" dataDxfId="593" totalsRowDxfId="592"/>
    <tableColumn id="27" xr3:uid="{FA6FFB4C-5E6D-DA4E-8F87-EEC900B26695}" name="26" totalsRowFunction="count" dataDxfId="591" totalsRowDxfId="590"/>
    <tableColumn id="28" xr3:uid="{A50BDA94-D72B-C043-A8B2-E1E178EA827F}" name="27" totalsRowFunction="count" dataDxfId="589" totalsRowDxfId="588"/>
    <tableColumn id="29" xr3:uid="{D68B12D0-F485-FF42-B2E6-30EC0E2C418D}" name="28" totalsRowFunction="count" dataDxfId="587" totalsRowDxfId="586"/>
    <tableColumn id="30" xr3:uid="{695C2584-A6A5-D742-A768-02D19E90DEBC}" name="29" totalsRowFunction="count" dataDxfId="585" totalsRowDxfId="584"/>
    <tableColumn id="31" xr3:uid="{0B002160-8CE9-4B4E-A7A4-CFE8C54F8781}" name="30" totalsRowFunction="sum" dataDxfId="583" totalsRowDxfId="582"/>
    <tableColumn id="32" xr3:uid="{9A241B27-F77F-9E49-9678-7978D0423F17}" name="31" totalsRowFunction="sum" dataDxfId="581" totalsRowDxfId="580" dataCellStyle="Total"/>
    <tableColumn id="33" xr3:uid="{C85EB010-29D3-FD4A-9882-B705BDC3D2EF}" name="Total de días" totalsRowFunction="sum" dataDxfId="579" totalsRowDxfId="578" dataCellStyle="Total">
      <calculatedColumnFormula>COUNTA(March58[[#This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io" displayName="Junio" ref="B8:AH14" totalsRowCount="1" headerRowDxfId="577" dataDxfId="576" totalsRowDxfId="575">
  <tableColumns count="33">
    <tableColumn id="1" xr3:uid="{00000000-0010-0000-0500-000001000000}" name="Nombre del empleado" totalsRowFunction="custom" dataDxfId="574" totalsRowDxfId="573" dataCellStyle="Empleado">
      <totalsRowFormula>MonthName&amp;" Total"</totalsRowFormula>
    </tableColumn>
    <tableColumn id="2" xr3:uid="{00000000-0010-0000-0500-000002000000}" name="1" totalsRowFunction="count" dataDxfId="572" totalsRowDxfId="571"/>
    <tableColumn id="3" xr3:uid="{00000000-0010-0000-0500-000003000000}" name="2" totalsRowFunction="count" dataDxfId="570" totalsRowDxfId="569"/>
    <tableColumn id="4" xr3:uid="{00000000-0010-0000-0500-000004000000}" name="3" totalsRowFunction="count" dataDxfId="568" totalsRowDxfId="567"/>
    <tableColumn id="5" xr3:uid="{00000000-0010-0000-0500-000005000000}" name="4" totalsRowFunction="count" dataDxfId="566" totalsRowDxfId="565"/>
    <tableColumn id="6" xr3:uid="{00000000-0010-0000-0500-000006000000}" name="5" totalsRowFunction="count" dataDxfId="564" totalsRowDxfId="563"/>
    <tableColumn id="7" xr3:uid="{00000000-0010-0000-0500-000007000000}" name="6" totalsRowFunction="count" dataDxfId="562" totalsRowDxfId="561"/>
    <tableColumn id="8" xr3:uid="{00000000-0010-0000-0500-000008000000}" name="7" totalsRowFunction="count" dataDxfId="560" totalsRowDxfId="559"/>
    <tableColumn id="9" xr3:uid="{00000000-0010-0000-0500-000009000000}" name="8" totalsRowFunction="count" dataDxfId="558" totalsRowDxfId="557"/>
    <tableColumn id="10" xr3:uid="{00000000-0010-0000-0500-00000A000000}" name="9" totalsRowFunction="count" dataDxfId="556" totalsRowDxfId="555"/>
    <tableColumn id="11" xr3:uid="{00000000-0010-0000-0500-00000B000000}" name="10" totalsRowFunction="count" dataDxfId="554" totalsRowDxfId="553"/>
    <tableColumn id="12" xr3:uid="{00000000-0010-0000-0500-00000C000000}" name="11" totalsRowFunction="count" dataDxfId="552" totalsRowDxfId="551"/>
    <tableColumn id="13" xr3:uid="{00000000-0010-0000-0500-00000D000000}" name="12" totalsRowFunction="count" dataDxfId="550" totalsRowDxfId="549"/>
    <tableColumn id="14" xr3:uid="{00000000-0010-0000-0500-00000E000000}" name="13" totalsRowFunction="count" dataDxfId="548" totalsRowDxfId="547"/>
    <tableColumn id="15" xr3:uid="{00000000-0010-0000-0500-00000F000000}" name="14" totalsRowFunction="count" dataDxfId="546" totalsRowDxfId="545"/>
    <tableColumn id="16" xr3:uid="{00000000-0010-0000-0500-000010000000}" name="15" totalsRowFunction="count" dataDxfId="544" totalsRowDxfId="543"/>
    <tableColumn id="17" xr3:uid="{00000000-0010-0000-0500-000011000000}" name="16" totalsRowFunction="count" dataDxfId="542" totalsRowDxfId="541"/>
    <tableColumn id="18" xr3:uid="{00000000-0010-0000-0500-000012000000}" name="17" totalsRowFunction="count" dataDxfId="540" totalsRowDxfId="539"/>
    <tableColumn id="19" xr3:uid="{00000000-0010-0000-0500-000013000000}" name="18" totalsRowFunction="count" dataDxfId="538" totalsRowDxfId="537"/>
    <tableColumn id="20" xr3:uid="{00000000-0010-0000-0500-000014000000}" name="19" totalsRowFunction="count" dataDxfId="536" totalsRowDxfId="535"/>
    <tableColumn id="21" xr3:uid="{00000000-0010-0000-0500-000015000000}" name="20" totalsRowFunction="count" dataDxfId="534" totalsRowDxfId="533"/>
    <tableColumn id="22" xr3:uid="{00000000-0010-0000-0500-000016000000}" name="21" totalsRowFunction="count" dataDxfId="532" totalsRowDxfId="531"/>
    <tableColumn id="23" xr3:uid="{00000000-0010-0000-0500-000017000000}" name="22" totalsRowFunction="count" dataDxfId="530" totalsRowDxfId="529"/>
    <tableColumn id="24" xr3:uid="{00000000-0010-0000-0500-000018000000}" name="23" totalsRowFunction="count" dataDxfId="528" totalsRowDxfId="527"/>
    <tableColumn id="25" xr3:uid="{00000000-0010-0000-0500-000019000000}" name="24" totalsRowFunction="count" dataDxfId="526" totalsRowDxfId="525"/>
    <tableColumn id="26" xr3:uid="{00000000-0010-0000-0500-00001A000000}" name="25" totalsRowFunction="count" dataDxfId="524" totalsRowDxfId="523"/>
    <tableColumn id="27" xr3:uid="{00000000-0010-0000-0500-00001B000000}" name="26" totalsRowFunction="count" dataDxfId="522" totalsRowDxfId="521"/>
    <tableColumn id="28" xr3:uid="{00000000-0010-0000-0500-00001C000000}" name="27" totalsRowFunction="count" dataDxfId="520" totalsRowDxfId="519"/>
    <tableColumn id="29" xr3:uid="{00000000-0010-0000-0500-00001D000000}" name="28" totalsRowFunction="count" dataDxfId="518" totalsRowDxfId="517"/>
    <tableColumn id="30" xr3:uid="{00000000-0010-0000-0500-00001E000000}" name="29" totalsRowFunction="count" dataDxfId="516" totalsRowDxfId="515"/>
    <tableColumn id="31" xr3:uid="{00000000-0010-0000-0500-00001F000000}" name="30" totalsRowFunction="sum" dataDxfId="514" totalsRowDxfId="513"/>
    <tableColumn id="32" xr3:uid="{00000000-0010-0000-0500-000020000000}" name=" " totalsRowFunction="sum" dataDxfId="512" totalsRowDxfId="511" dataCellStyle="Total"/>
    <tableColumn id="33" xr3:uid="{00000000-0010-0000-0500-000021000000}" name="Total de días" totalsRowFunction="sum" dataDxfId="510" totalsRowDxfId="509" dataCellStyle="Total">
      <calculatedColumnFormula>COUNTA(Junio[[#This Row],[1]:[ ]])</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io" displayName="Julio" ref="B8:AH14" totalsRowCount="1" headerRowDxfId="508" dataDxfId="507" totalsRowDxfId="506">
  <tableColumns count="33">
    <tableColumn id="1" xr3:uid="{00000000-0010-0000-0600-000001000000}" name="Nombre del empleado" totalsRowFunction="custom" dataDxfId="505" totalsRowDxfId="504" dataCellStyle="Empleado">
      <totalsRowFormula>MonthName&amp;" Total"</totalsRowFormula>
    </tableColumn>
    <tableColumn id="2" xr3:uid="{00000000-0010-0000-0600-000002000000}" name="1" totalsRowFunction="count" dataDxfId="503" totalsRowDxfId="502"/>
    <tableColumn id="3" xr3:uid="{00000000-0010-0000-0600-000003000000}" name="2" totalsRowFunction="count" dataDxfId="501" totalsRowDxfId="500"/>
    <tableColumn id="4" xr3:uid="{00000000-0010-0000-0600-000004000000}" name="3" totalsRowFunction="count" dataDxfId="499" totalsRowDxfId="498"/>
    <tableColumn id="5" xr3:uid="{00000000-0010-0000-0600-000005000000}" name="4" totalsRowFunction="count" dataDxfId="497" totalsRowDxfId="496"/>
    <tableColumn id="6" xr3:uid="{00000000-0010-0000-0600-000006000000}" name="5" totalsRowFunction="count" dataDxfId="495" totalsRowDxfId="494"/>
    <tableColumn id="7" xr3:uid="{00000000-0010-0000-0600-000007000000}" name="6" totalsRowFunction="count" dataDxfId="493" totalsRowDxfId="492"/>
    <tableColumn id="8" xr3:uid="{00000000-0010-0000-0600-000008000000}" name="7" totalsRowFunction="count" dataDxfId="491" totalsRowDxfId="490"/>
    <tableColumn id="9" xr3:uid="{00000000-0010-0000-0600-000009000000}" name="8" totalsRowFunction="count" dataDxfId="489" totalsRowDxfId="488"/>
    <tableColumn id="10" xr3:uid="{00000000-0010-0000-0600-00000A000000}" name="9" totalsRowFunction="count" dataDxfId="487" totalsRowDxfId="486"/>
    <tableColumn id="11" xr3:uid="{00000000-0010-0000-0600-00000B000000}" name="10" totalsRowFunction="count" dataDxfId="485" totalsRowDxfId="484"/>
    <tableColumn id="12" xr3:uid="{00000000-0010-0000-0600-00000C000000}" name="11" totalsRowFunction="count" dataDxfId="483" totalsRowDxfId="482"/>
    <tableColumn id="13" xr3:uid="{00000000-0010-0000-0600-00000D000000}" name="12" totalsRowFunction="count" dataDxfId="481" totalsRowDxfId="480"/>
    <tableColumn id="14" xr3:uid="{00000000-0010-0000-0600-00000E000000}" name="13" totalsRowFunction="count" dataDxfId="479" totalsRowDxfId="478"/>
    <tableColumn id="15" xr3:uid="{00000000-0010-0000-0600-00000F000000}" name="14" totalsRowFunction="count" dataDxfId="477" totalsRowDxfId="476"/>
    <tableColumn id="16" xr3:uid="{00000000-0010-0000-0600-000010000000}" name="15" totalsRowFunction="count" dataDxfId="475" totalsRowDxfId="474"/>
    <tableColumn id="17" xr3:uid="{00000000-0010-0000-0600-000011000000}" name="16" totalsRowFunction="count" dataDxfId="473" totalsRowDxfId="472"/>
    <tableColumn id="18" xr3:uid="{00000000-0010-0000-0600-000012000000}" name="17" totalsRowFunction="count" dataDxfId="471" totalsRowDxfId="470"/>
    <tableColumn id="19" xr3:uid="{00000000-0010-0000-0600-000013000000}" name="18" totalsRowFunction="count" dataDxfId="469" totalsRowDxfId="468"/>
    <tableColumn id="20" xr3:uid="{00000000-0010-0000-0600-000014000000}" name="19" totalsRowFunction="count" dataDxfId="467" totalsRowDxfId="466"/>
    <tableColumn id="21" xr3:uid="{00000000-0010-0000-0600-000015000000}" name="20" totalsRowFunction="count" dataDxfId="465" totalsRowDxfId="464"/>
    <tableColumn id="22" xr3:uid="{00000000-0010-0000-0600-000016000000}" name="21" totalsRowFunction="count" dataDxfId="463" totalsRowDxfId="462"/>
    <tableColumn id="23" xr3:uid="{00000000-0010-0000-0600-000017000000}" name="22" totalsRowFunction="count" dataDxfId="461" totalsRowDxfId="460"/>
    <tableColumn id="24" xr3:uid="{00000000-0010-0000-0600-000018000000}" name="23" totalsRowFunction="count" dataDxfId="459" totalsRowDxfId="458"/>
    <tableColumn id="25" xr3:uid="{00000000-0010-0000-0600-000019000000}" name="24" totalsRowFunction="count" dataDxfId="457" totalsRowDxfId="456"/>
    <tableColumn id="26" xr3:uid="{00000000-0010-0000-0600-00001A000000}" name="25" totalsRowFunction="count" dataDxfId="455" totalsRowDxfId="454"/>
    <tableColumn id="27" xr3:uid="{00000000-0010-0000-0600-00001B000000}" name="26" totalsRowFunction="count" dataDxfId="453" totalsRowDxfId="452"/>
    <tableColumn id="28" xr3:uid="{00000000-0010-0000-0600-00001C000000}" name="27" totalsRowFunction="count" dataDxfId="451" totalsRowDxfId="450"/>
    <tableColumn id="29" xr3:uid="{00000000-0010-0000-0600-00001D000000}" name="28" totalsRowFunction="count" dataDxfId="449" totalsRowDxfId="448"/>
    <tableColumn id="30" xr3:uid="{00000000-0010-0000-0600-00001E000000}" name="29" totalsRowFunction="count" dataDxfId="447" totalsRowDxfId="446"/>
    <tableColumn id="31" xr3:uid="{00000000-0010-0000-0600-00001F000000}" name="30" totalsRowFunction="sum" dataDxfId="445" totalsRowDxfId="444"/>
    <tableColumn id="32" xr3:uid="{00000000-0010-0000-0600-000020000000}" name="31" totalsRowFunction="sum" dataDxfId="443" totalsRowDxfId="442" dataCellStyle="Total"/>
    <tableColumn id="33" xr3:uid="{00000000-0010-0000-0600-000021000000}" name="Total de días" totalsRowFunction="sum" dataDxfId="441" totalsRowDxfId="440" dataCellStyle="Total">
      <calculatedColumnFormula>COUNTA(Julio[[#This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gosto" displayName="Agosto" ref="B8:AH14" totalsRowCount="1" headerRowDxfId="439" dataDxfId="438" totalsRowDxfId="437">
  <tableColumns count="33">
    <tableColumn id="1" xr3:uid="{00000000-0010-0000-0700-000001000000}" name="Nombre del empleado" totalsRowFunction="custom" dataDxfId="436" totalsRowDxfId="435" dataCellStyle="Empleado">
      <totalsRowFormula>MonthName&amp;" Total"</totalsRowFormula>
    </tableColumn>
    <tableColumn id="2" xr3:uid="{00000000-0010-0000-0700-000002000000}" name="1" totalsRowFunction="count" dataDxfId="434" totalsRowDxfId="433"/>
    <tableColumn id="3" xr3:uid="{00000000-0010-0000-0700-000003000000}" name="2" totalsRowFunction="count" dataDxfId="432" totalsRowDxfId="431"/>
    <tableColumn id="4" xr3:uid="{00000000-0010-0000-0700-000004000000}" name="3" totalsRowFunction="count" dataDxfId="430" totalsRowDxfId="429"/>
    <tableColumn id="5" xr3:uid="{00000000-0010-0000-0700-000005000000}" name="4" totalsRowFunction="count" dataDxfId="428" totalsRowDxfId="427"/>
    <tableColumn id="6" xr3:uid="{00000000-0010-0000-0700-000006000000}" name="5" totalsRowFunction="count" dataDxfId="426" totalsRowDxfId="425"/>
    <tableColumn id="7" xr3:uid="{00000000-0010-0000-0700-000007000000}" name="6" totalsRowFunction="count" dataDxfId="424" totalsRowDxfId="423"/>
    <tableColumn id="8" xr3:uid="{00000000-0010-0000-0700-000008000000}" name="7" totalsRowFunction="count" dataDxfId="422" totalsRowDxfId="421"/>
    <tableColumn id="9" xr3:uid="{00000000-0010-0000-0700-000009000000}" name="8" totalsRowFunction="count" dataDxfId="420" totalsRowDxfId="419"/>
    <tableColumn id="10" xr3:uid="{00000000-0010-0000-0700-00000A000000}" name="9" totalsRowFunction="count" dataDxfId="418" totalsRowDxfId="417"/>
    <tableColumn id="11" xr3:uid="{00000000-0010-0000-0700-00000B000000}" name="10" totalsRowFunction="count" dataDxfId="416" totalsRowDxfId="415"/>
    <tableColumn id="12" xr3:uid="{00000000-0010-0000-0700-00000C000000}" name="11" totalsRowFunction="count" dataDxfId="414" totalsRowDxfId="413"/>
    <tableColumn id="13" xr3:uid="{00000000-0010-0000-0700-00000D000000}" name="12" totalsRowFunction="count" dataDxfId="412" totalsRowDxfId="411"/>
    <tableColumn id="14" xr3:uid="{00000000-0010-0000-0700-00000E000000}" name="13" totalsRowFunction="count" dataDxfId="410" totalsRowDxfId="409"/>
    <tableColumn id="15" xr3:uid="{00000000-0010-0000-0700-00000F000000}" name="14" totalsRowFunction="count" dataDxfId="408" totalsRowDxfId="407"/>
    <tableColumn id="16" xr3:uid="{00000000-0010-0000-0700-000010000000}" name="15" totalsRowFunction="count" dataDxfId="406" totalsRowDxfId="405"/>
    <tableColumn id="17" xr3:uid="{00000000-0010-0000-0700-000011000000}" name="16" totalsRowFunction="count" dataDxfId="404" totalsRowDxfId="403"/>
    <tableColumn id="18" xr3:uid="{00000000-0010-0000-0700-000012000000}" name="17" totalsRowFunction="count" dataDxfId="402" totalsRowDxfId="401"/>
    <tableColumn id="19" xr3:uid="{00000000-0010-0000-0700-000013000000}" name="18" totalsRowFunction="count" dataDxfId="400" totalsRowDxfId="399"/>
    <tableColumn id="20" xr3:uid="{00000000-0010-0000-0700-000014000000}" name="19" totalsRowFunction="count" dataDxfId="398" totalsRowDxfId="397"/>
    <tableColumn id="21" xr3:uid="{00000000-0010-0000-0700-000015000000}" name="20" totalsRowFunction="count" dataDxfId="396" totalsRowDxfId="395"/>
    <tableColumn id="22" xr3:uid="{00000000-0010-0000-0700-000016000000}" name="21" totalsRowFunction="count" dataDxfId="394" totalsRowDxfId="393"/>
    <tableColumn id="23" xr3:uid="{00000000-0010-0000-0700-000017000000}" name="22" totalsRowFunction="count" dataDxfId="392" totalsRowDxfId="391"/>
    <tableColumn id="24" xr3:uid="{00000000-0010-0000-0700-000018000000}" name="23" totalsRowFunction="count" dataDxfId="390" totalsRowDxfId="389"/>
    <tableColumn id="25" xr3:uid="{00000000-0010-0000-0700-000019000000}" name="24" totalsRowFunction="count" dataDxfId="388" totalsRowDxfId="387"/>
    <tableColumn id="26" xr3:uid="{00000000-0010-0000-0700-00001A000000}" name="25" totalsRowFunction="count" dataDxfId="386" totalsRowDxfId="385"/>
    <tableColumn id="27" xr3:uid="{00000000-0010-0000-0700-00001B000000}" name="26" totalsRowFunction="count" dataDxfId="384" totalsRowDxfId="383"/>
    <tableColumn id="28" xr3:uid="{00000000-0010-0000-0700-00001C000000}" name="27" totalsRowFunction="count" dataDxfId="382" totalsRowDxfId="381"/>
    <tableColumn id="29" xr3:uid="{00000000-0010-0000-0700-00001D000000}" name="28" totalsRowFunction="count" dataDxfId="380" totalsRowDxfId="379"/>
    <tableColumn id="30" xr3:uid="{00000000-0010-0000-0700-00001E000000}" name="29" totalsRowFunction="count" dataDxfId="378" totalsRowDxfId="377"/>
    <tableColumn id="31" xr3:uid="{00000000-0010-0000-0700-00001F000000}" name="30" totalsRowFunction="sum" dataDxfId="376" totalsRowDxfId="375"/>
    <tableColumn id="32" xr3:uid="{00000000-0010-0000-0700-000020000000}" name="31" totalsRowFunction="sum" dataDxfId="374" totalsRowDxfId="373" dataCellStyle="Total"/>
    <tableColumn id="33" xr3:uid="{00000000-0010-0000-0700-000021000000}" name="Total de días" totalsRowFunction="sum" dataDxfId="372" totalsRowDxfId="371" dataCellStyle="Total">
      <calculatedColumnFormula>COUNTA(Agosto[[#This Row],[1]:[31]])</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ables/table9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iembre" displayName="Septiembre" ref="B8:AH14" totalsRowCount="1" headerRowDxfId="370" dataDxfId="369" totalsRowDxfId="368">
  <tableColumns count="33">
    <tableColumn id="1" xr3:uid="{00000000-0010-0000-0800-000001000000}" name="Nombre del empleado" totalsRowFunction="custom" dataDxfId="367" totalsRowDxfId="366" dataCellStyle="Empleado">
      <totalsRowFormula>MonthName&amp;" Total"</totalsRowFormula>
    </tableColumn>
    <tableColumn id="2" xr3:uid="{00000000-0010-0000-0800-000002000000}" name="1" totalsRowFunction="count" dataDxfId="365" totalsRowDxfId="364"/>
    <tableColumn id="3" xr3:uid="{00000000-0010-0000-0800-000003000000}" name="2" totalsRowFunction="count" dataDxfId="363" totalsRowDxfId="362"/>
    <tableColumn id="4" xr3:uid="{00000000-0010-0000-0800-000004000000}" name="3" totalsRowFunction="count" dataDxfId="361" totalsRowDxfId="360"/>
    <tableColumn id="5" xr3:uid="{00000000-0010-0000-0800-000005000000}" name="4" totalsRowFunction="count" dataDxfId="359" totalsRowDxfId="358"/>
    <tableColumn id="6" xr3:uid="{00000000-0010-0000-0800-000006000000}" name="5" totalsRowFunction="count" dataDxfId="357" totalsRowDxfId="356"/>
    <tableColumn id="7" xr3:uid="{00000000-0010-0000-0800-000007000000}" name="6" totalsRowFunction="count" dataDxfId="355" totalsRowDxfId="354"/>
    <tableColumn id="8" xr3:uid="{00000000-0010-0000-0800-000008000000}" name="7" totalsRowFunction="count" dataDxfId="353" totalsRowDxfId="352"/>
    <tableColumn id="9" xr3:uid="{00000000-0010-0000-0800-000009000000}" name="8" totalsRowFunction="count" dataDxfId="351" totalsRowDxfId="350"/>
    <tableColumn id="10" xr3:uid="{00000000-0010-0000-0800-00000A000000}" name="9" totalsRowFunction="count" dataDxfId="349" totalsRowDxfId="348"/>
    <tableColumn id="11" xr3:uid="{00000000-0010-0000-0800-00000B000000}" name="10" totalsRowFunction="count" dataDxfId="347" totalsRowDxfId="346"/>
    <tableColumn id="12" xr3:uid="{00000000-0010-0000-0800-00000C000000}" name="11" totalsRowFunction="count" dataDxfId="345" totalsRowDxfId="344"/>
    <tableColumn id="13" xr3:uid="{00000000-0010-0000-0800-00000D000000}" name="12" totalsRowFunction="count" dataDxfId="343" totalsRowDxfId="342"/>
    <tableColumn id="14" xr3:uid="{00000000-0010-0000-0800-00000E000000}" name="13" totalsRowFunction="count" dataDxfId="341" totalsRowDxfId="340"/>
    <tableColumn id="15" xr3:uid="{00000000-0010-0000-0800-00000F000000}" name="14" totalsRowFunction="count" dataDxfId="339" totalsRowDxfId="338"/>
    <tableColumn id="16" xr3:uid="{00000000-0010-0000-0800-000010000000}" name="15" totalsRowFunction="count" dataDxfId="337" totalsRowDxfId="336"/>
    <tableColumn id="17" xr3:uid="{00000000-0010-0000-0800-000011000000}" name="16" totalsRowFunction="count" dataDxfId="335" totalsRowDxfId="334"/>
    <tableColumn id="18" xr3:uid="{00000000-0010-0000-0800-000012000000}" name="17" totalsRowFunction="count" dataDxfId="333" totalsRowDxfId="332"/>
    <tableColumn id="19" xr3:uid="{00000000-0010-0000-0800-000013000000}" name="18" totalsRowFunction="count" dataDxfId="331" totalsRowDxfId="330"/>
    <tableColumn id="20" xr3:uid="{00000000-0010-0000-0800-000014000000}" name="19" totalsRowFunction="count" dataDxfId="329" totalsRowDxfId="328"/>
    <tableColumn id="21" xr3:uid="{00000000-0010-0000-0800-000015000000}" name="20" totalsRowFunction="count" dataDxfId="327" totalsRowDxfId="326"/>
    <tableColumn id="22" xr3:uid="{00000000-0010-0000-0800-000016000000}" name="21" totalsRowFunction="count" dataDxfId="325" totalsRowDxfId="324"/>
    <tableColumn id="23" xr3:uid="{00000000-0010-0000-0800-000017000000}" name="22" totalsRowFunction="count" dataDxfId="323" totalsRowDxfId="322"/>
    <tableColumn id="24" xr3:uid="{00000000-0010-0000-0800-000018000000}" name="23" totalsRowFunction="count" dataDxfId="321" totalsRowDxfId="320"/>
    <tableColumn id="25" xr3:uid="{00000000-0010-0000-0800-000019000000}" name="24" totalsRowFunction="count" dataDxfId="319" totalsRowDxfId="318"/>
    <tableColumn id="26" xr3:uid="{00000000-0010-0000-0800-00001A000000}" name="25" totalsRowFunction="count" dataDxfId="317" totalsRowDxfId="316"/>
    <tableColumn id="27" xr3:uid="{00000000-0010-0000-0800-00001B000000}" name="26" totalsRowFunction="count" dataDxfId="315" totalsRowDxfId="314"/>
    <tableColumn id="28" xr3:uid="{00000000-0010-0000-0800-00001C000000}" name="27" totalsRowFunction="count" dataDxfId="313" totalsRowDxfId="312"/>
    <tableColumn id="29" xr3:uid="{00000000-0010-0000-0800-00001D000000}" name="28" totalsRowFunction="count" dataDxfId="311" totalsRowDxfId="310"/>
    <tableColumn id="30" xr3:uid="{00000000-0010-0000-0800-00001E000000}" name="29" totalsRowFunction="count" dataDxfId="309" totalsRowDxfId="308"/>
    <tableColumn id="31" xr3:uid="{00000000-0010-0000-0800-00001F000000}" name="30" totalsRowFunction="sum" dataDxfId="307" totalsRowDxfId="306"/>
    <tableColumn id="32" xr3:uid="{00000000-0010-0000-0800-000020000000}" name=" " totalsRowFunction="sum" dataDxfId="305" totalsRowDxfId="304" dataCellStyle="Total"/>
    <tableColumn id="33" xr3:uid="{00000000-0010-0000-0800-000021000000}" name="Total de días" totalsRowFunction="sum" dataDxfId="303" totalsRowDxfId="302" dataCellStyle="Total">
      <calculatedColumnFormula>COUNTA(Septiembre[[#This Row],[1]:[ ]])</calculatedColumnFormula>
    </tableColumn>
  </tableColumns>
  <tableStyleInfo name="Tabla de ausencia del empleado" showFirstColumn="1" showLastColumn="1" showRowStripes="1" showColumnStripes="0"/>
  <extLst>
    <ext xmlns:x14="http://schemas.microsoft.com/office/spreadsheetml/2009/9/main" uri="{504A1905-F514-4f6f-8877-14C23A59335A}">
      <x14:table altTextSummary="Proporcione los nombres de los empleados y las fechas de ausencia. Registre el tipo de ausencia según su clave en la fila 12: V = vacaciones, E = enfermedad, P = personal y dos marcadores de posición para entradas personalizadas"/>
    </ext>
  </extLst>
</table>
</file>

<file path=xl/theme/theme11.xml><?xml version="1.0" encoding="utf-8"?>
<a:theme xmlns:a="http://schemas.openxmlformats.org/drawingml/2006/main" name="Office Theme">
  <a:themeElements>
    <a:clrScheme name="TM03987167">
      <a:dk1>
        <a:srgbClr val="000000"/>
      </a:dk1>
      <a:lt1>
        <a:srgbClr val="FFFFFF"/>
      </a:lt1>
      <a:dk2>
        <a:srgbClr val="44546A"/>
      </a:dk2>
      <a:lt2>
        <a:srgbClr val="E7E6E6"/>
      </a:lt2>
      <a:accent1>
        <a:srgbClr val="1F452F"/>
      </a:accent1>
      <a:accent2>
        <a:srgbClr val="709A97"/>
      </a:accent2>
      <a:accent3>
        <a:srgbClr val="1B417C"/>
      </a:accent3>
      <a:accent4>
        <a:srgbClr val="D8A141"/>
      </a:accent4>
      <a:accent5>
        <a:srgbClr val="CAAFF3"/>
      </a:accent5>
      <a:accent6>
        <a:srgbClr val="EF5C37"/>
      </a:accent6>
      <a:hlink>
        <a:srgbClr val="0563C1"/>
      </a:hlink>
      <a:folHlink>
        <a:srgbClr val="954F72"/>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11.xml.rels>&#65279;<?xml version="1.0" encoding="utf-8"?><Relationships xmlns="http://schemas.openxmlformats.org/package/2006/relationships"><Relationship Type="http://schemas.openxmlformats.org/officeDocument/2006/relationships/table" Target="/xl/tables/table1011.xml" Id="rId2" /><Relationship Type="http://schemas.openxmlformats.org/officeDocument/2006/relationships/printerSettings" Target="/xl/printerSettings/printerSettings1011.bin" Id="rId1" /></Relationships>
</file>

<file path=xl/worksheets/_rels/sheet119.xml.rels>&#65279;<?xml version="1.0" encoding="utf-8"?><Relationships xmlns="http://schemas.openxmlformats.org/package/2006/relationships"><Relationship Type="http://schemas.openxmlformats.org/officeDocument/2006/relationships/table" Target="/xl/tables/table119.xml" Id="rId2" /><Relationship Type="http://schemas.openxmlformats.org/officeDocument/2006/relationships/printerSettings" Target="/xl/printerSettings/printerSettings119.bin" Id="rId1" /></Relationships>
</file>

<file path=xl/worksheets/_rels/sheet125.xml.rels>&#65279;<?xml version="1.0" encoding="utf-8"?><Relationships xmlns="http://schemas.openxmlformats.org/package/2006/relationships"><Relationship Type="http://schemas.openxmlformats.org/officeDocument/2006/relationships/table" Target="/xl/tables/table125.xml" Id="rId2" /><Relationship Type="http://schemas.openxmlformats.org/officeDocument/2006/relationships/printerSettings" Target="/xl/printerSettings/printerSettings125.bin" Id="rId1" /></Relationships>
</file>

<file path=xl/worksheets/_rels/sheet132.xml.rels>&#65279;<?xml version="1.0" encoding="utf-8"?><Relationships xmlns="http://schemas.openxmlformats.org/package/2006/relationships"><Relationship Type="http://schemas.openxmlformats.org/officeDocument/2006/relationships/table" Target="/xl/tables/table132.xml" Id="rId2" /><Relationship Type="http://schemas.openxmlformats.org/officeDocument/2006/relationships/printerSettings" Target="/xl/printerSettings/printerSettings132.bin" Id="rId1" /></Relationships>
</file>

<file path=xl/worksheets/_rels/sheet17.xml.rels>&#65279;<?xml version="1.0" encoding="utf-8"?><Relationships xmlns="http://schemas.openxmlformats.org/package/2006/relationships"><Relationship Type="http://schemas.openxmlformats.org/officeDocument/2006/relationships/table" Target="/xl/tables/table17.xml" Id="rId2" /><Relationship Type="http://schemas.openxmlformats.org/officeDocument/2006/relationships/printerSettings" Target="/xl/printerSettings/printerSettings17.bin" Id="rId1" /></Relationships>
</file>

<file path=xl/worksheets/_rels/sheet26.xml.rels>&#65279;<?xml version="1.0" encoding="utf-8"?><Relationships xmlns="http://schemas.openxmlformats.org/package/2006/relationships"><Relationship Type="http://schemas.openxmlformats.org/officeDocument/2006/relationships/table" Target="/xl/tables/table26.xml" Id="rId2" /><Relationship Type="http://schemas.openxmlformats.org/officeDocument/2006/relationships/printerSettings" Target="/xl/printerSettings/printerSettings26.bin" Id="rId1" /></Relationships>
</file>

<file path=xl/worksheets/_rels/sheet33.xml.rels>&#65279;<?xml version="1.0" encoding="utf-8"?><Relationships xmlns="http://schemas.openxmlformats.org/package/2006/relationships"><Relationship Type="http://schemas.openxmlformats.org/officeDocument/2006/relationships/table" Target="/xl/tables/table33.xml" Id="rId2" /><Relationship Type="http://schemas.openxmlformats.org/officeDocument/2006/relationships/printerSettings" Target="/xl/printerSettings/printerSettings33.bin" Id="rId1" /></Relationships>
</file>

<file path=xl/worksheets/_rels/sheet412.xml.rels>&#65279;<?xml version="1.0" encoding="utf-8"?><Relationships xmlns="http://schemas.openxmlformats.org/package/2006/relationships"><Relationship Type="http://schemas.openxmlformats.org/officeDocument/2006/relationships/table" Target="/xl/tables/table412.xml" Id="rId2" /><Relationship Type="http://schemas.openxmlformats.org/officeDocument/2006/relationships/printerSettings" Target="/xl/printerSettings/printerSettings412.bin" Id="rId1" /></Relationships>
</file>

<file path=xl/worksheets/_rels/sheet510.xml.rels>&#65279;<?xml version="1.0" encoding="utf-8"?><Relationships xmlns="http://schemas.openxmlformats.org/package/2006/relationships"><Relationship Type="http://schemas.openxmlformats.org/officeDocument/2006/relationships/table" Target="/xl/tables/table510.xml" Id="rId2" /><Relationship Type="http://schemas.openxmlformats.org/officeDocument/2006/relationships/printerSettings" Target="/xl/printerSettings/printerSettings510.bin" Id="rId1" /></Relationships>
</file>

<file path=xl/worksheets/_rels/sheet68.xml.rels>&#65279;<?xml version="1.0" encoding="utf-8"?><Relationships xmlns="http://schemas.openxmlformats.org/package/2006/relationships"><Relationship Type="http://schemas.openxmlformats.org/officeDocument/2006/relationships/table" Target="/xl/tables/table68.xml" Id="rId2" /><Relationship Type="http://schemas.openxmlformats.org/officeDocument/2006/relationships/printerSettings" Target="/xl/printerSettings/printerSettings68.bin" Id="rId1" /></Relationships>
</file>

<file path=xl/worksheets/_rels/sheet74.xml.rels>&#65279;<?xml version="1.0" encoding="utf-8"?><Relationships xmlns="http://schemas.openxmlformats.org/package/2006/relationships"><Relationship Type="http://schemas.openxmlformats.org/officeDocument/2006/relationships/table" Target="/xl/tables/table74.xml" Id="rId2" /><Relationship Type="http://schemas.openxmlformats.org/officeDocument/2006/relationships/printerSettings" Target="/xl/printerSettings/printerSettings74.bin" Id="rId1" /></Relationships>
</file>

<file path=xl/worksheets/_rels/sheet81.xml.rels>&#65279;<?xml version="1.0" encoding="utf-8"?><Relationships xmlns="http://schemas.openxmlformats.org/package/2006/relationships"><Relationship Type="http://schemas.openxmlformats.org/officeDocument/2006/relationships/table" Target="/xl/tables/table81.xml" Id="rId2" /><Relationship Type="http://schemas.openxmlformats.org/officeDocument/2006/relationships/printerSettings" Target="/xl/printerSettings/printerSettings81.bin" Id="rId1" /></Relationships>
</file>

<file path=xl/worksheets/_rels/sheet913.xml.rels>&#65279;<?xml version="1.0" encoding="utf-8"?><Relationships xmlns="http://schemas.openxmlformats.org/package/2006/relationships"><Relationship Type="http://schemas.openxmlformats.org/officeDocument/2006/relationships/table" Target="/xl/tables/table913.xml" Id="rId2" /><Relationship Type="http://schemas.openxmlformats.org/officeDocument/2006/relationships/printerSettings" Target="/xl/printerSettings/printerSettings913.bin" Id="rId1" /></Relationships>
</file>

<file path=xl/worksheets/sheet10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32" t="s">
        <v>60</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TEXT(WEEKDAY(DATE(CalendarYear,10,1),1),"ddd")</f>
        <v>do</v>
      </c>
      <c r="D7" s="23" t="str">
        <f>TEXT(WEEKDAY(DATE(CalendarYear,10,2),1),"ddd")</f>
        <v>lu</v>
      </c>
      <c r="E7" s="23" t="str">
        <f>TEXT(WEEKDAY(DATE(CalendarYear,10,3),1),"ddd")</f>
        <v>ma</v>
      </c>
      <c r="F7" s="23" t="str">
        <f>TEXT(WEEKDAY(DATE(CalendarYear,10,4),1),"ddd")</f>
        <v>mi</v>
      </c>
      <c r="G7" s="23" t="str">
        <f>TEXT(WEEKDAY(DATE(CalendarYear,10,5),1),"ddd")</f>
        <v>ju</v>
      </c>
      <c r="H7" s="23" t="str">
        <f>TEXT(WEEKDAY(DATE(CalendarYear,10,6),1),"ddd")</f>
        <v>vi</v>
      </c>
      <c r="I7" s="23" t="str">
        <f>TEXT(WEEKDAY(DATE(CalendarYear,10,7),1),"ddd")</f>
        <v>sá</v>
      </c>
      <c r="J7" s="23" t="str">
        <f>TEXT(WEEKDAY(DATE(CalendarYear,10,8),1),"ddd")</f>
        <v>do</v>
      </c>
      <c r="K7" s="23" t="str">
        <f>TEXT(WEEKDAY(DATE(CalendarYear,10,9),1),"ddd")</f>
        <v>lu</v>
      </c>
      <c r="L7" s="23" t="str">
        <f>TEXT(WEEKDAY(DATE(CalendarYear,10,10),1),"ddd")</f>
        <v>ma</v>
      </c>
      <c r="M7" s="23" t="str">
        <f>TEXT(WEEKDAY(DATE(CalendarYear,10,11),1),"ddd")</f>
        <v>mi</v>
      </c>
      <c r="N7" s="23" t="str">
        <f>TEXT(WEEKDAY(DATE(CalendarYear,10,12),1),"ddd")</f>
        <v>ju</v>
      </c>
      <c r="O7" s="23" t="str">
        <f>TEXT(WEEKDAY(DATE(CalendarYear,10,13),1),"ddd")</f>
        <v>vi</v>
      </c>
      <c r="P7" s="23" t="str">
        <f>TEXT(WEEKDAY(DATE(CalendarYear,10,14),1),"ddd")</f>
        <v>sá</v>
      </c>
      <c r="Q7" s="23" t="str">
        <f>TEXT(WEEKDAY(DATE(CalendarYear,10,15),1),"ddd")</f>
        <v>do</v>
      </c>
      <c r="R7" s="23" t="str">
        <f>TEXT(WEEKDAY(DATE(CalendarYear,10,16),1),"ddd")</f>
        <v>lu</v>
      </c>
      <c r="S7" s="23" t="str">
        <f>TEXT(WEEKDAY(DATE(CalendarYear,10,17),1),"ddd")</f>
        <v>ma</v>
      </c>
      <c r="T7" s="23" t="str">
        <f>TEXT(WEEKDAY(DATE(CalendarYear,10,18),1),"ddd")</f>
        <v>mi</v>
      </c>
      <c r="U7" s="23" t="str">
        <f>TEXT(WEEKDAY(DATE(CalendarYear,10,19),1),"ddd")</f>
        <v>ju</v>
      </c>
      <c r="V7" s="23" t="str">
        <f>TEXT(WEEKDAY(DATE(CalendarYear,10,20),1),"ddd")</f>
        <v>vi</v>
      </c>
      <c r="W7" s="23" t="str">
        <f>TEXT(WEEKDAY(DATE(CalendarYear,10,21),1),"ddd")</f>
        <v>sá</v>
      </c>
      <c r="X7" s="23" t="str">
        <f>TEXT(WEEKDAY(DATE(CalendarYear,10,22),1),"ddd")</f>
        <v>do</v>
      </c>
      <c r="Y7" s="23" t="str">
        <f>TEXT(WEEKDAY(DATE(CalendarYear,10,23),1),"ddd")</f>
        <v>lu</v>
      </c>
      <c r="Z7" s="23" t="str">
        <f>TEXT(WEEKDAY(DATE(CalendarYear,10,24),1),"ddd")</f>
        <v>ma</v>
      </c>
      <c r="AA7" s="23" t="str">
        <f>TEXT(WEEKDAY(DATE(CalendarYear,10,25),1),"ddd")</f>
        <v>mi</v>
      </c>
      <c r="AB7" s="23" t="str">
        <f>TEXT(WEEKDAY(DATE(CalendarYear,10,26),1),"ddd")</f>
        <v>ju</v>
      </c>
      <c r="AC7" s="23" t="str">
        <f>TEXT(WEEKDAY(DATE(CalendarYear,10,27),1),"ddd")</f>
        <v>vi</v>
      </c>
      <c r="AD7" s="23" t="str">
        <f>TEXT(WEEKDAY(DATE(CalendarYear,10,28),1),"ddd")</f>
        <v>sá</v>
      </c>
      <c r="AE7" s="23" t="str">
        <f>TEXT(WEEKDAY(DATE(CalendarYear,10,29),1),"ddd")</f>
        <v>do</v>
      </c>
      <c r="AF7" s="23" t="str">
        <f>TEXT(WEEKDAY(DATE(CalendarYear,10,30),1),"ddd")</f>
        <v>lu</v>
      </c>
      <c r="AG7" s="23" t="str">
        <f>TEXT(WEEKDAY(DATE(CalendarYear,10,31),1),"ddd")</f>
        <v>ma</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COUNTA(Octubre[[#This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COUNTA(Octubre[[#This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COUNTA(Octubre[[#This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COUNTA(Octubre[[#This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COUNTA(Octubre[[#This Row],[1]:[31]])</f>
        <v>0</v>
      </c>
    </row>
    <row r="14" spans="2:34" ht="30" customHeight="1">
      <c r="B14" s="5" t="str">
        <f>MonthName&amp;" Total"</f>
        <v>Octubre Total</v>
      </c>
      <c r="C14" s="4">
        <f>SUBTOTAL(103,Octubre[1])</f>
        <v>0</v>
      </c>
      <c r="D14" s="4">
        <f>SUBTOTAL(103,Octubre[2])</f>
        <v>0</v>
      </c>
      <c r="E14" s="4">
        <f>SUBTOTAL(103,Octubre[3])</f>
        <v>0</v>
      </c>
      <c r="F14" s="4">
        <f>SUBTOTAL(103,Octubre[4])</f>
        <v>0</v>
      </c>
      <c r="G14" s="4">
        <f>SUBTOTAL(103,Octubre[5])</f>
        <v>0</v>
      </c>
      <c r="H14" s="4">
        <f>SUBTOTAL(103,Octubre[6])</f>
        <v>0</v>
      </c>
      <c r="I14" s="4">
        <f>SUBTOTAL(103,Octubre[7])</f>
        <v>0</v>
      </c>
      <c r="J14" s="4">
        <f>SUBTOTAL(103,Octubre[8])</f>
        <v>0</v>
      </c>
      <c r="K14" s="4">
        <f>SUBTOTAL(103,Octubre[9])</f>
        <v>0</v>
      </c>
      <c r="L14" s="4">
        <f>SUBTOTAL(103,Octubre[10])</f>
        <v>0</v>
      </c>
      <c r="M14" s="4">
        <f>SUBTOTAL(103,Octubre[11])</f>
        <v>0</v>
      </c>
      <c r="N14" s="4">
        <f>SUBTOTAL(103,Octubre[12])</f>
        <v>0</v>
      </c>
      <c r="O14" s="4">
        <f>SUBTOTAL(103,Octubre[13])</f>
        <v>0</v>
      </c>
      <c r="P14" s="4">
        <f>SUBTOTAL(103,Octubre[14])</f>
        <v>0</v>
      </c>
      <c r="Q14" s="4">
        <f>SUBTOTAL(103,Octubre[15])</f>
        <v>0</v>
      </c>
      <c r="R14" s="4">
        <f>SUBTOTAL(103,Octubre[16])</f>
        <v>0</v>
      </c>
      <c r="S14" s="4">
        <f>SUBTOTAL(103,Octubre[17])</f>
        <v>0</v>
      </c>
      <c r="T14" s="4">
        <f>SUBTOTAL(103,Octubre[18])</f>
        <v>0</v>
      </c>
      <c r="U14" s="4">
        <f>SUBTOTAL(103,Octubre[19])</f>
        <v>0</v>
      </c>
      <c r="V14" s="4">
        <f>SUBTOTAL(103,Octubre[20])</f>
        <v>0</v>
      </c>
      <c r="W14" s="4">
        <f>SUBTOTAL(103,Octubre[21])</f>
        <v>0</v>
      </c>
      <c r="X14" s="4">
        <f>SUBTOTAL(103,Octubre[22])</f>
        <v>0</v>
      </c>
      <c r="Y14" s="4">
        <f>SUBTOTAL(103,Octubre[23])</f>
        <v>0</v>
      </c>
      <c r="Z14" s="4">
        <f>SUBTOTAL(103,Octubre[24])</f>
        <v>0</v>
      </c>
      <c r="AA14" s="4">
        <f>SUBTOTAL(103,Octubre[25])</f>
        <v>0</v>
      </c>
      <c r="AB14" s="4">
        <f>SUBTOTAL(103,Octubre[26])</f>
        <v>0</v>
      </c>
      <c r="AC14" s="4">
        <f>SUBTOTAL(103,Octubre[27])</f>
        <v>0</v>
      </c>
      <c r="AD14" s="4">
        <f>SUBTOTAL(103,Octubre[28])</f>
        <v>0</v>
      </c>
      <c r="AE14" s="4">
        <f>SUBTOTAL(103,Octubre[29])</f>
        <v>0</v>
      </c>
      <c r="AF14" s="4">
        <f>SUBTOTAL(109,Octubre[30])</f>
        <v>0</v>
      </c>
      <c r="AG14" s="4">
        <f>SUBTOTAL(109,Octubre[31])</f>
        <v>0</v>
      </c>
      <c r="AH14" s="4">
        <f>SUBTOTAL(109,Octubre[Total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14" priority="2" stopIfTrue="1">
      <formula>C9=KeyCustom2</formula>
    </cfRule>
    <cfRule type="expression" dxfId="13" priority="3" stopIfTrue="1">
      <formula>C9=KeyCustom1</formula>
    </cfRule>
    <cfRule type="expression" dxfId="12" priority="4" stopIfTrue="1">
      <formula>C9=KeySick</formula>
    </cfRule>
    <cfRule type="expression" dxfId="11" priority="5" stopIfTrue="1">
      <formula>C9=KeyPersonal</formula>
    </cfRule>
    <cfRule type="expression" dxfId="1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Los días laborables en esta fila se actualizan automáticamente durante el mes según el año en AH4. Cada día del mes es una columna para indicar la ausencia del empleado y el tipo de ausencia" sqref="C7" xr:uid="{6C3B7250-7883-E447-A5BD-190F9EC85610}"/>
    <dataValidation allowBlank="1" showInputMessage="1" showErrorMessage="1" prompt="Año actualizado automáticamente en función del año introducido en la hoja de cálculo de enero" sqref="AH6" xr:uid="{856FAEF4-8645-3447-91CD-944E3DA437F4}"/>
    <dataValidation allowBlank="1" showInputMessage="1" showErrorMessage="1" prompt="Cálculo automático del número total de días que un empleado ha estado ausente este mes en esta columna" sqref="AH8" xr:uid="{460C2673-D90D-514F-89AA-D6D7BDC2B7D4}"/>
    <dataValidation allowBlank="1" showInputMessage="1" showErrorMessage="1" prompt="Realice un seguimiento de las ausencias de octubre en esta hoja de cálculo" sqref="A1" xr:uid="{00000000-0002-0000-0900-000003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44EADDEC-C0C0-D348-A864-4940BC2D178C}"/>
    <dataValidation allowBlank="1" showInputMessage="1" showErrorMessage="1" prompt="La letra “V” indica una ausencia por vacaciones" sqref="C4" xr:uid="{8AFA64B3-CA12-D746-A7DF-89EF58BCE3D5}"/>
    <dataValidation allowBlank="1" showInputMessage="1" showErrorMessage="1" prompt="La letra “P” indica una ausencia por motivos personales" sqref="G4" xr:uid="{3B7999AA-167A-CE4C-8796-899AE23635AB}"/>
    <dataValidation allowBlank="1" showInputMessage="1" showErrorMessage="1" prompt="La letra “E” indica una ausencia por enfermedad" sqref="K4" xr:uid="{1B40AE04-6602-1B4B-831F-DE91BF80E5BA}"/>
    <dataValidation allowBlank="1" showInputMessage="1" showErrorMessage="1" prompt="Escriba una letra y personalice la etiqueta de la derecha para agregar otro elemento clave." sqref="O4 T4" xr:uid="{E244B439-C378-D64B-B39B-3ECAC0628D41}"/>
    <dataValidation allowBlank="1" showInputMessage="1" showErrorMessage="1" prompt="Escriba una etiqueta para describir la clave personalizada de la izquierda." sqref="U4 P4" xr:uid="{8092AE17-9B79-B44F-87F7-9F40BB2047F6}"/>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900-00000C000000}"/>
    <dataValidation allowBlank="1" showInputMessage="1" showErrorMessage="1" prompt="Los días del mes se generan automáticamente en esta fila. Especifique la ausencia del empleado y el tipo en cada columna para cada día del mes. En blanco significa que no hay ninguna ausencia" sqref="C8" xr:uid="{E2589F34-72AD-7946-9C30-9FD4409BBCB4}"/>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64951AAF-92FB-44AB-A8AD-B37C0B2DD08A}"/>
    <dataValidation allowBlank="1" showInputMessage="1" showErrorMessage="1" prompt="Esta celda contiene el título de la hoja de cálculo. " sqref="B1" xr:uid="{1C12649E-FD35-4288-A6DD-5F40186B166C}"/>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'Nombres de los empleados'!$B$4:$B$8</xm:f>
          </x14:formula1>
          <xm:sqref>B9:B13</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32" t="s">
        <v>61</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TEXT(WEEKDAY(DATE(CalendarYear,11,1),1),"ddd")</f>
        <v>mi</v>
      </c>
      <c r="D7" s="23" t="str">
        <f>TEXT(WEEKDAY(DATE(CalendarYear,11,2),1),"ddd")</f>
        <v>ju</v>
      </c>
      <c r="E7" s="23" t="str">
        <f>TEXT(WEEKDAY(DATE(CalendarYear,11,3),1),"ddd")</f>
        <v>vi</v>
      </c>
      <c r="F7" s="23" t="str">
        <f>TEXT(WEEKDAY(DATE(CalendarYear,11,4),1),"ddd")</f>
        <v>sá</v>
      </c>
      <c r="G7" s="23" t="str">
        <f>TEXT(WEEKDAY(DATE(CalendarYear,11,5),1),"ddd")</f>
        <v>do</v>
      </c>
      <c r="H7" s="23" t="str">
        <f>TEXT(WEEKDAY(DATE(CalendarYear,11,6),1),"ddd")</f>
        <v>lu</v>
      </c>
      <c r="I7" s="23" t="str">
        <f>TEXT(WEEKDAY(DATE(CalendarYear,11,7),1),"ddd")</f>
        <v>ma</v>
      </c>
      <c r="J7" s="23" t="str">
        <f>TEXT(WEEKDAY(DATE(CalendarYear,11,8),1),"ddd")</f>
        <v>mi</v>
      </c>
      <c r="K7" s="23" t="str">
        <f>TEXT(WEEKDAY(DATE(CalendarYear,11,9),1),"ddd")</f>
        <v>ju</v>
      </c>
      <c r="L7" s="23" t="str">
        <f>TEXT(WEEKDAY(DATE(CalendarYear,11,10),1),"ddd")</f>
        <v>vi</v>
      </c>
      <c r="M7" s="23" t="str">
        <f>TEXT(WEEKDAY(DATE(CalendarYear,11,11),1),"ddd")</f>
        <v>sá</v>
      </c>
      <c r="N7" s="23" t="str">
        <f>TEXT(WEEKDAY(DATE(CalendarYear,11,12),1),"ddd")</f>
        <v>do</v>
      </c>
      <c r="O7" s="23" t="str">
        <f>TEXT(WEEKDAY(DATE(CalendarYear,11,13),1),"ddd")</f>
        <v>lu</v>
      </c>
      <c r="P7" s="23" t="str">
        <f>TEXT(WEEKDAY(DATE(CalendarYear,11,14),1),"ddd")</f>
        <v>ma</v>
      </c>
      <c r="Q7" s="23" t="str">
        <f>TEXT(WEEKDAY(DATE(CalendarYear,11,15),1),"ddd")</f>
        <v>mi</v>
      </c>
      <c r="R7" s="23" t="str">
        <f>TEXT(WEEKDAY(DATE(CalendarYear,11,16),1),"ddd")</f>
        <v>ju</v>
      </c>
      <c r="S7" s="23" t="str">
        <f>TEXT(WEEKDAY(DATE(CalendarYear,11,17),1),"ddd")</f>
        <v>vi</v>
      </c>
      <c r="T7" s="23" t="str">
        <f>TEXT(WEEKDAY(DATE(CalendarYear,11,18),1),"ddd")</f>
        <v>sá</v>
      </c>
      <c r="U7" s="23" t="str">
        <f>TEXT(WEEKDAY(DATE(CalendarYear,11,19),1),"ddd")</f>
        <v>do</v>
      </c>
      <c r="V7" s="23" t="str">
        <f>TEXT(WEEKDAY(DATE(CalendarYear,11,20),1),"ddd")</f>
        <v>lu</v>
      </c>
      <c r="W7" s="23" t="str">
        <f>TEXT(WEEKDAY(DATE(CalendarYear,11,21),1),"ddd")</f>
        <v>ma</v>
      </c>
      <c r="X7" s="23" t="str">
        <f>TEXT(WEEKDAY(DATE(CalendarYear,11,22),1),"ddd")</f>
        <v>mi</v>
      </c>
      <c r="Y7" s="23" t="str">
        <f>TEXT(WEEKDAY(DATE(CalendarYear,11,23),1),"ddd")</f>
        <v>ju</v>
      </c>
      <c r="Z7" s="23" t="str">
        <f>TEXT(WEEKDAY(DATE(CalendarYear,11,24),1),"ddd")</f>
        <v>vi</v>
      </c>
      <c r="AA7" s="23" t="str">
        <f>TEXT(WEEKDAY(DATE(CalendarYear,11,25),1),"ddd")</f>
        <v>sá</v>
      </c>
      <c r="AB7" s="23" t="str">
        <f>TEXT(WEEKDAY(DATE(CalendarYear,11,26),1),"ddd")</f>
        <v>do</v>
      </c>
      <c r="AC7" s="23" t="str">
        <f>TEXT(WEEKDAY(DATE(CalendarYear,11,27),1),"ddd")</f>
        <v>lu</v>
      </c>
      <c r="AD7" s="23" t="str">
        <f>TEXT(WEEKDAY(DATE(CalendarYear,11,28),1),"ddd")</f>
        <v>ma</v>
      </c>
      <c r="AE7" s="23" t="str">
        <f>TEXT(WEEKDAY(DATE(CalendarYear,11,29),1),"ddd")</f>
        <v>mi</v>
      </c>
      <c r="AF7" s="23" t="str">
        <f>TEXT(WEEKDAY(DATE(CalendarYear,11,30),1),"ddd")</f>
        <v>ju</v>
      </c>
      <c r="AG7" s="23"/>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51</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COUNTA(Noviembre[[#This Row],[1]:[ ]])</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COUNTA(Noviembre[[#This Row],[1]:[ ]])</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COUNTA(Noviembre[[#This Row],[1]:[ ]])</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COUNTA(Noviembre[[#This Row],[1]:[ ]])</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COUNTA(Noviembre[[#This Row],[1]:[ ]])</f>
        <v>0</v>
      </c>
    </row>
    <row r="14" spans="2:34" ht="30" customHeight="1">
      <c r="B14" s="5" t="str">
        <f>MonthName&amp;" Total"</f>
        <v>Noviembre Total</v>
      </c>
      <c r="C14" s="4">
        <f>SUBTOTAL(103,Noviembre[1])</f>
        <v>0</v>
      </c>
      <c r="D14" s="4">
        <f>SUBTOTAL(103,Noviembre[2])</f>
        <v>0</v>
      </c>
      <c r="E14" s="4">
        <f>SUBTOTAL(103,Noviembre[3])</f>
        <v>0</v>
      </c>
      <c r="F14" s="4">
        <f>SUBTOTAL(103,Noviembre[4])</f>
        <v>0</v>
      </c>
      <c r="G14" s="4">
        <f>SUBTOTAL(103,Noviembre[5])</f>
        <v>0</v>
      </c>
      <c r="H14" s="4">
        <f>SUBTOTAL(103,Noviembre[6])</f>
        <v>0</v>
      </c>
      <c r="I14" s="4">
        <f>SUBTOTAL(103,Noviembre[7])</f>
        <v>0</v>
      </c>
      <c r="J14" s="4">
        <f>SUBTOTAL(103,Noviembre[8])</f>
        <v>0</v>
      </c>
      <c r="K14" s="4">
        <f>SUBTOTAL(103,Noviembre[9])</f>
        <v>0</v>
      </c>
      <c r="L14" s="4">
        <f>SUBTOTAL(103,Noviembre[10])</f>
        <v>0</v>
      </c>
      <c r="M14" s="4">
        <f>SUBTOTAL(103,Noviembre[11])</f>
        <v>0</v>
      </c>
      <c r="N14" s="4">
        <f>SUBTOTAL(103,Noviembre[12])</f>
        <v>0</v>
      </c>
      <c r="O14" s="4">
        <f>SUBTOTAL(103,Noviembre[13])</f>
        <v>0</v>
      </c>
      <c r="P14" s="4">
        <f>SUBTOTAL(103,Noviembre[14])</f>
        <v>0</v>
      </c>
      <c r="Q14" s="4">
        <f>SUBTOTAL(103,Noviembre[15])</f>
        <v>0</v>
      </c>
      <c r="R14" s="4">
        <f>SUBTOTAL(103,Noviembre[16])</f>
        <v>0</v>
      </c>
      <c r="S14" s="4">
        <f>SUBTOTAL(103,Noviembre[17])</f>
        <v>0</v>
      </c>
      <c r="T14" s="4">
        <f>SUBTOTAL(103,Noviembre[18])</f>
        <v>0</v>
      </c>
      <c r="U14" s="4">
        <f>SUBTOTAL(103,Noviembre[19])</f>
        <v>0</v>
      </c>
      <c r="V14" s="4">
        <f>SUBTOTAL(103,Noviembre[20])</f>
        <v>0</v>
      </c>
      <c r="W14" s="4">
        <f>SUBTOTAL(103,Noviembre[21])</f>
        <v>0</v>
      </c>
      <c r="X14" s="4">
        <f>SUBTOTAL(103,Noviembre[22])</f>
        <v>0</v>
      </c>
      <c r="Y14" s="4">
        <f>SUBTOTAL(103,Noviembre[23])</f>
        <v>0</v>
      </c>
      <c r="Z14" s="4">
        <f>SUBTOTAL(103,Noviembre[24])</f>
        <v>0</v>
      </c>
      <c r="AA14" s="4">
        <f>SUBTOTAL(103,Noviembre[25])</f>
        <v>0</v>
      </c>
      <c r="AB14" s="4">
        <f>SUBTOTAL(103,Noviembre[26])</f>
        <v>0</v>
      </c>
      <c r="AC14" s="4">
        <f>SUBTOTAL(103,Noviembre[27])</f>
        <v>0</v>
      </c>
      <c r="AD14" s="4">
        <f>SUBTOTAL(103,Noviembre[28])</f>
        <v>0</v>
      </c>
      <c r="AE14" s="4">
        <f>SUBTOTAL(103,Noviembre[29])</f>
        <v>0</v>
      </c>
      <c r="AF14" s="4">
        <f>SUBTOTAL(109,Noviembre[30])</f>
        <v>0</v>
      </c>
      <c r="AG14" s="4">
        <f>SUBTOTAL(109,Noviembre[[ ]])</f>
        <v>0</v>
      </c>
      <c r="AH14" s="4">
        <f>SUBTOTAL(109,Noviembre[Total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9" priority="2" stopIfTrue="1">
      <formula>C9=KeyCustom2</formula>
    </cfRule>
    <cfRule type="expression" dxfId="8" priority="3" stopIfTrue="1">
      <formula>C9=KeyCustom1</formula>
    </cfRule>
    <cfRule type="expression" dxfId="7" priority="4" stopIfTrue="1">
      <formula>C9=KeySick</formula>
    </cfRule>
    <cfRule type="expression" dxfId="6" priority="5" stopIfTrue="1">
      <formula>C9=KeyPersonal</formula>
    </cfRule>
    <cfRule type="expression" dxfId="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5">
    <dataValidation allowBlank="1" showInputMessage="1" showErrorMessage="1" prompt="Los días del mes se generan automáticamente en esta fila. Especifique la ausencia del empleado y el tipo en cada columna para cada día del mes. En blanco significa que no hay ninguna ausencia" sqref="C8" xr:uid="{97706874-D6EF-7649-8BB0-992E1F25B736}"/>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A00-000001000000}"/>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3113BD82-2D3E-8F4A-8BB6-5BEEE7BE0789}"/>
    <dataValidation allowBlank="1" showInputMessage="1" showErrorMessage="1" prompt="Escriba una etiqueta para describir la clave personalizada de la izquierda." sqref="U4 P4" xr:uid="{2D3A090B-F718-4F41-8211-E6CC79F16B14}"/>
    <dataValidation allowBlank="1" showInputMessage="1" showErrorMessage="1" prompt="Escriba una letra y personalice la etiqueta de la derecha para agregar otro elemento clave." sqref="O4 T4" xr:uid="{4AA8F930-0666-B342-B223-6859D3ED72AA}"/>
    <dataValidation allowBlank="1" showInputMessage="1" showErrorMessage="1" prompt="La letra “E” indica una ausencia por enfermedad" sqref="K4" xr:uid="{E3290C1F-2EBB-F545-A50F-DF2335729F55}"/>
    <dataValidation allowBlank="1" showInputMessage="1" showErrorMessage="1" prompt="La letra “P” indica una ausencia por motivos personales" sqref="G4" xr:uid="{FE1B1844-2315-B443-8B6F-709F2D8FD91A}"/>
    <dataValidation allowBlank="1" showInputMessage="1" showErrorMessage="1" prompt="La letra “V” indica una ausencia por vacaciones" sqref="C4" xr:uid="{1EA742A5-682B-AB4E-9F1E-EC4DA4D0EE38}"/>
    <dataValidation allowBlank="1" showInputMessage="1" showErrorMessage="1" prompt="El título se actualiza automáticamente en esta celda. Para modificarlo, actualice la celda B1 en la hoja de cálculo de enero" sqref="B2" xr:uid="{00000000-0002-0000-0A00-000008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3B118AC1-307A-6645-A98D-9A80D2AE0EE3}"/>
    <dataValidation allowBlank="1" showInputMessage="1" showErrorMessage="1" prompt="Realice un seguimiento de las ausencias de noviembre en esta hoja de cálculo" sqref="A1" xr:uid="{00000000-0002-0000-0A00-00000A000000}"/>
    <dataValidation allowBlank="1" showInputMessage="1" showErrorMessage="1" prompt="Cálculo automático del número total de días que un empleado ha estado ausente este mes en esta columna" sqref="AH8" xr:uid="{689D502A-5D97-B44F-AA8E-4AB5A8802DDE}"/>
    <dataValidation allowBlank="1" showInputMessage="1" showErrorMessage="1" prompt="Año actualizado automáticamente en función del año introducido en la hoja de cálculo de enero" sqref="AH6" xr:uid="{CA024147-D189-C949-8452-0A51ECF8D4AA}"/>
    <dataValidation allowBlank="1" showInputMessage="1" showErrorMessage="1" prompt="Los días laborables en esta fila se actualizan automáticamente durante el mes según el año en AH4. Cada día del mes es una columna para indicar la ausencia del empleado y el tipo de ausencia" sqref="C7" xr:uid="{DEEC83F4-4C72-7D4D-B442-B00CC4990A25}"/>
    <dataValidation allowBlank="1" showInputMessage="1" showErrorMessage="1" prompt="Esta celda contiene el título de la hoja de cálculo. " sqref="B1" xr:uid="{C3B9D9EA-9B20-4756-B664-7AA7A0EDAD13}"/>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'Nombres de los empleados'!$B$4:$B$8</xm:f>
          </x14:formula1>
          <xm:sqref>B9:B13</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25" t="s">
        <v>62</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TEXT(WEEKDAY(DATE(CalendarYear,12,1),1),"ddd")</f>
        <v>vi</v>
      </c>
      <c r="D7" s="23" t="str">
        <f>TEXT(WEEKDAY(DATE(CalendarYear,12,2),1),"ddd")</f>
        <v>sá</v>
      </c>
      <c r="E7" s="23" t="str">
        <f>TEXT(WEEKDAY(DATE(CalendarYear,12,3),1),"ddd")</f>
        <v>do</v>
      </c>
      <c r="F7" s="23" t="str">
        <f>TEXT(WEEKDAY(DATE(CalendarYear,12,4),1),"ddd")</f>
        <v>lu</v>
      </c>
      <c r="G7" s="23" t="str">
        <f>TEXT(WEEKDAY(DATE(CalendarYear,12,5),1),"ddd")</f>
        <v>ma</v>
      </c>
      <c r="H7" s="23" t="str">
        <f>TEXT(WEEKDAY(DATE(CalendarYear,12,6),1),"ddd")</f>
        <v>mi</v>
      </c>
      <c r="I7" s="23" t="str">
        <f>TEXT(WEEKDAY(DATE(CalendarYear,12,7),1),"ddd")</f>
        <v>ju</v>
      </c>
      <c r="J7" s="23" t="str">
        <f>TEXT(WEEKDAY(DATE(CalendarYear,12,8),1),"ddd")</f>
        <v>vi</v>
      </c>
      <c r="K7" s="23" t="str">
        <f>TEXT(WEEKDAY(DATE(CalendarYear,12,9),1),"ddd")</f>
        <v>sá</v>
      </c>
      <c r="L7" s="23" t="str">
        <f>TEXT(WEEKDAY(DATE(CalendarYear,12,10),1),"ddd")</f>
        <v>do</v>
      </c>
      <c r="M7" s="23" t="str">
        <f>TEXT(WEEKDAY(DATE(CalendarYear,12,11),1),"ddd")</f>
        <v>lu</v>
      </c>
      <c r="N7" s="23" t="str">
        <f>TEXT(WEEKDAY(DATE(CalendarYear,12,12),1),"ddd")</f>
        <v>ma</v>
      </c>
      <c r="O7" s="23" t="str">
        <f>TEXT(WEEKDAY(DATE(CalendarYear,12,13),1),"ddd")</f>
        <v>mi</v>
      </c>
      <c r="P7" s="23" t="str">
        <f>TEXT(WEEKDAY(DATE(CalendarYear,12,14),1),"ddd")</f>
        <v>ju</v>
      </c>
      <c r="Q7" s="23" t="str">
        <f>TEXT(WEEKDAY(DATE(CalendarYear,12,15),1),"ddd")</f>
        <v>vi</v>
      </c>
      <c r="R7" s="23" t="str">
        <f>TEXT(WEEKDAY(DATE(CalendarYear,12,16),1),"ddd")</f>
        <v>sá</v>
      </c>
      <c r="S7" s="23" t="str">
        <f>TEXT(WEEKDAY(DATE(CalendarYear,12,17),1),"ddd")</f>
        <v>do</v>
      </c>
      <c r="T7" s="23" t="str">
        <f>TEXT(WEEKDAY(DATE(CalendarYear,12,18),1),"ddd")</f>
        <v>lu</v>
      </c>
      <c r="U7" s="23" t="str">
        <f>TEXT(WEEKDAY(DATE(CalendarYear,12,19),1),"ddd")</f>
        <v>ma</v>
      </c>
      <c r="V7" s="23" t="str">
        <f>TEXT(WEEKDAY(DATE(CalendarYear,12,20),1),"ddd")</f>
        <v>mi</v>
      </c>
      <c r="W7" s="23" t="str">
        <f>TEXT(WEEKDAY(DATE(CalendarYear,12,21),1),"ddd")</f>
        <v>ju</v>
      </c>
      <c r="X7" s="23" t="str">
        <f>TEXT(WEEKDAY(DATE(CalendarYear,12,22),1),"ddd")</f>
        <v>vi</v>
      </c>
      <c r="Y7" s="23" t="str">
        <f>TEXT(WEEKDAY(DATE(CalendarYear,12,23),1),"ddd")</f>
        <v>sá</v>
      </c>
      <c r="Z7" s="23" t="str">
        <f>TEXT(WEEKDAY(DATE(CalendarYear,12,24),1),"ddd")</f>
        <v>do</v>
      </c>
      <c r="AA7" s="23" t="str">
        <f>TEXT(WEEKDAY(DATE(CalendarYear,12,25),1),"ddd")</f>
        <v>lu</v>
      </c>
      <c r="AB7" s="23" t="str">
        <f>TEXT(WEEKDAY(DATE(CalendarYear,12,26),1),"ddd")</f>
        <v>ma</v>
      </c>
      <c r="AC7" s="23" t="str">
        <f>TEXT(WEEKDAY(DATE(CalendarYear,12,27),1),"ddd")</f>
        <v>mi</v>
      </c>
      <c r="AD7" s="23" t="str">
        <f>TEXT(WEEKDAY(DATE(CalendarYear,12,28),1),"ddd")</f>
        <v>ju</v>
      </c>
      <c r="AE7" s="23" t="str">
        <f>TEXT(WEEKDAY(DATE(CalendarYear,12,29),1),"ddd")</f>
        <v>vi</v>
      </c>
      <c r="AF7" s="23" t="str">
        <f>TEXT(WEEKDAY(DATE(CalendarYear,12,30),1),"ddd")</f>
        <v>sá</v>
      </c>
      <c r="AG7" s="23" t="str">
        <f>TEXT(WEEKDAY(DATE(CalendarYear,12,31),1),"ddd")</f>
        <v>do</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COUNTA(Diciembre[[#This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COUNTA(Diciembre[[#This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COUNTA(Diciembre[[#This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COUNTA(Diciembre[[#This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COUNTA(Diciembre[[#This Row],[1]:[31]])</f>
        <v>0</v>
      </c>
    </row>
    <row r="14" spans="2:34" ht="30" customHeight="1">
      <c r="B14" s="5" t="str">
        <f>MonthName&amp;" Total"</f>
        <v>Diciembre Total</v>
      </c>
      <c r="C14" s="4">
        <f>SUBTOTAL(103,Diciembre[1])</f>
        <v>0</v>
      </c>
      <c r="D14" s="4">
        <f>SUBTOTAL(103,Diciembre[2])</f>
        <v>0</v>
      </c>
      <c r="E14" s="4">
        <f>SUBTOTAL(103,Diciembre[3])</f>
        <v>0</v>
      </c>
      <c r="F14" s="4">
        <f>SUBTOTAL(103,Diciembre[4])</f>
        <v>0</v>
      </c>
      <c r="G14" s="4">
        <f>SUBTOTAL(103,Diciembre[5])</f>
        <v>0</v>
      </c>
      <c r="H14" s="4">
        <f>SUBTOTAL(103,Diciembre[6])</f>
        <v>0</v>
      </c>
      <c r="I14" s="4">
        <f>SUBTOTAL(103,Diciembre[7])</f>
        <v>0</v>
      </c>
      <c r="J14" s="4">
        <f>SUBTOTAL(103,Diciembre[8])</f>
        <v>0</v>
      </c>
      <c r="K14" s="4">
        <f>SUBTOTAL(103,Diciembre[9])</f>
        <v>0</v>
      </c>
      <c r="L14" s="4">
        <f>SUBTOTAL(103,Diciembre[10])</f>
        <v>0</v>
      </c>
      <c r="M14" s="4">
        <f>SUBTOTAL(103,Diciembre[11])</f>
        <v>0</v>
      </c>
      <c r="N14" s="4">
        <f>SUBTOTAL(103,Diciembre[12])</f>
        <v>0</v>
      </c>
      <c r="O14" s="4">
        <f>SUBTOTAL(103,Diciembre[13])</f>
        <v>0</v>
      </c>
      <c r="P14" s="4">
        <f>SUBTOTAL(103,Diciembre[14])</f>
        <v>0</v>
      </c>
      <c r="Q14" s="4">
        <f>SUBTOTAL(103,Diciembre[15])</f>
        <v>0</v>
      </c>
      <c r="R14" s="4">
        <f>SUBTOTAL(103,Diciembre[16])</f>
        <v>0</v>
      </c>
      <c r="S14" s="4">
        <f>SUBTOTAL(103,Diciembre[17])</f>
        <v>0</v>
      </c>
      <c r="T14" s="4">
        <f>SUBTOTAL(103,Diciembre[18])</f>
        <v>0</v>
      </c>
      <c r="U14" s="4">
        <f>SUBTOTAL(103,Diciembre[19])</f>
        <v>0</v>
      </c>
      <c r="V14" s="4">
        <f>SUBTOTAL(103,Diciembre[20])</f>
        <v>0</v>
      </c>
      <c r="W14" s="4">
        <f>SUBTOTAL(103,Diciembre[21])</f>
        <v>0</v>
      </c>
      <c r="X14" s="4">
        <f>SUBTOTAL(103,Diciembre[22])</f>
        <v>0</v>
      </c>
      <c r="Y14" s="4">
        <f>SUBTOTAL(103,Diciembre[23])</f>
        <v>0</v>
      </c>
      <c r="Z14" s="4">
        <f>SUBTOTAL(103,Diciembre[24])</f>
        <v>0</v>
      </c>
      <c r="AA14" s="4">
        <f>SUBTOTAL(103,Diciembre[25])</f>
        <v>0</v>
      </c>
      <c r="AB14" s="4">
        <f>SUBTOTAL(103,Diciembre[26])</f>
        <v>0</v>
      </c>
      <c r="AC14" s="4">
        <f>SUBTOTAL(103,Diciembre[27])</f>
        <v>0</v>
      </c>
      <c r="AD14" s="4">
        <f>SUBTOTAL(103,Diciembre[28])</f>
        <v>0</v>
      </c>
      <c r="AE14" s="4">
        <f>SUBTOTAL(103,Diciembre[29])</f>
        <v>0</v>
      </c>
      <c r="AF14" s="4">
        <f>SUBTOTAL(109,Diciembre[30])</f>
        <v>0</v>
      </c>
      <c r="AG14" s="4">
        <f>SUBTOTAL(109,Diciembre[31])</f>
        <v>0</v>
      </c>
      <c r="AH14" s="4">
        <f>SUBTOTAL(109,Diciembre[Total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4" priority="2" stopIfTrue="1">
      <formula>C9=KeyCustom2</formula>
    </cfRule>
    <cfRule type="expression" dxfId="3" priority="3" stopIfTrue="1">
      <formula>C9=KeyCustom1</formula>
    </cfRule>
    <cfRule type="expression" dxfId="2" priority="4" stopIfTrue="1">
      <formula>C9=KeySick</formula>
    </cfRule>
    <cfRule type="expression" dxfId="1" priority="5" stopIfTrue="1">
      <formula>C9=KeyPersonal</formula>
    </cfRule>
    <cfRule type="expression" dxfId="0" priority="6" stopIfTrue="1">
      <formula>C9=KeyVacation</formula>
    </cfRule>
  </conditionalFormatting>
  <conditionalFormatting sqref="AH9:AH13">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ño actualizado de forma automática en función del año introducido en la hoja de cálculo de enero" sqref="AH6" xr:uid="{F939E1BE-E9C7-DD4A-972C-CB40EF785EA4}"/>
    <dataValidation allowBlank="1" showInputMessage="1" showErrorMessage="1" prompt="Cálculo automático del número total de días que un empleado ha estado ausente este mes en esta columna" sqref="AH8" xr:uid="{E810E773-697E-9042-BA14-6FFBF70DB80B}"/>
    <dataValidation allowBlank="1" showInputMessage="1" showErrorMessage="1" prompt="Realice un seguimiento de las ausencias de diciembre en esta hoja de cálculo." sqref="A1" xr:uid="{00000000-0002-0000-0B00-000002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F25CB198-02E4-9141-B0E1-E7775C53D7BD}"/>
    <dataValidation allowBlank="1" showInputMessage="1" showErrorMessage="1" prompt="La letra “V” indica una ausencia por vacaciones" sqref="C4" xr:uid="{ED4A15C0-8DA5-2043-A297-E9A845742425}"/>
    <dataValidation allowBlank="1" showInputMessage="1" showErrorMessage="1" prompt="La letra “P” indica una ausencia por motivos personales" sqref="G4" xr:uid="{7207D7FD-5017-EF42-9569-45A9524170F8}"/>
    <dataValidation allowBlank="1" showInputMessage="1" showErrorMessage="1" prompt="La letra “E” indica una ausencia por enfermedad" sqref="K4" xr:uid="{4D084239-C8FB-C046-9230-A15D4D47B694}"/>
    <dataValidation allowBlank="1" showInputMessage="1" showErrorMessage="1" prompt="Escriba una letra y personalice la etiqueta de la derecha para agregar otro elemento clave." sqref="O4 T4" xr:uid="{0DF704A8-DCAE-FA47-8E43-6E8199D9D1C3}"/>
    <dataValidation allowBlank="1" showInputMessage="1" showErrorMessage="1" prompt="Escriba una etiqueta para describir la clave personalizada de la izquierda." sqref="U4 P4" xr:uid="{FCF8A90C-1CD6-4D49-B950-62F1E1562EA4}"/>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B00-00000B000000}"/>
    <dataValidation allowBlank="1" showInputMessage="1" showErrorMessage="1" prompt="Los días del mes se generan automáticamente en esta fila. Especifique la ausencia del empleado y el tipo en cada columna para cada día del mes. En blanco significa que no hay ninguna ausencia" sqref="C8" xr:uid="{0482EFB3-0A55-4547-B0F2-69F4B25A0231}"/>
    <dataValidation allowBlank="1" showInputMessage="1" showErrorMessage="1" prompt="Esta celda contiene el título de la hoja de cálculo. " sqref="B1" xr:uid="{FDB263A1-B6DC-D444-9FD0-77187D984860}"/>
    <dataValidation allowBlank="1" showInputMessage="1" showErrorMessage="1" prompt="Los días laborables en esta fila se actualizan automáticamente durante el mes según el año en AH4. Cada día del mes es una columna para indicar la ausencia del empleado y el tipo de ausencia" sqref="C7" xr:uid="{CB1E42E3-65E1-5041-91B2-633C92F4BB63}"/>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7C3D3AA3-51C0-46FC-A6A3-BE2B656A1D6B}"/>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'Nombres de los empleados'!$B$4:$B$8</xm:f>
          </x14:formula1>
          <xm:sqref>B9:B13</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pageSetUpPr fitToPage="1"/>
  </sheetPr>
  <dimension ref="B1:B8"/>
  <sheetViews>
    <sheetView showGridLines="0" workbookViewId="0"/>
  </sheetViews>
  <sheetFormatPr baseColWidth="10" defaultColWidth="8.7109375" defaultRowHeight="30" customHeight="1"/>
  <cols>
    <col min="1" max="1" width="2.7109375" customWidth="1"/>
    <col min="2" max="2" width="43" customWidth="1"/>
    <col min="3" max="3" width="2.7109375" customWidth="1"/>
  </cols>
  <sheetData>
    <row r="1" spans="2:2" ht="49.9" customHeight="1">
      <c r="B1" s="13" t="s">
        <v>63</v>
      </c>
    </row>
    <row r="2" spans="2:2" ht="15" customHeight="1"/>
    <row r="3" spans="2:2" ht="30" customHeight="1">
      <c r="B3" t="s">
        <v>63</v>
      </c>
    </row>
    <row r="4" spans="2:2" ht="30" customHeight="1">
      <c r="B4" s="6" t="s">
        <v>4</v>
      </c>
    </row>
    <row r="5" spans="2:2" ht="30" customHeight="1">
      <c r="B5" s="6" t="s">
        <v>5</v>
      </c>
    </row>
    <row r="6" spans="2:2" ht="30" customHeight="1">
      <c r="B6" s="6" t="s">
        <v>6</v>
      </c>
    </row>
    <row r="7" spans="2:2" ht="30" customHeight="1">
      <c r="B7" s="6" t="s">
        <v>7</v>
      </c>
    </row>
    <row r="8" spans="2:2" ht="30" customHeight="1">
      <c r="B8" s="6" t="s">
        <v>8</v>
      </c>
    </row>
  </sheetData>
  <phoneticPr fontId="32" type="noConversion"/>
  <dataValidations count="2">
    <dataValidation allowBlank="1" showInputMessage="1" showErrorMessage="1" prompt="Escriba los nombres de los empleados en la tabla del nombre del empleado de esta hoja de cálculo. Estos nombres se usan como opciones en la columna B de la tabla de ausencias de cada mes" sqref="A1" xr:uid="{00000000-0002-0000-0C00-000001000000}"/>
    <dataValidation allowBlank="1" showInputMessage="1" showErrorMessage="1" prompt="Escriba los nombres de los empleados en esta columna" sqref="B3" xr:uid="{00000000-0002-0000-0C00-000002000000}"/>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
    <pageSetUpPr fitToPage="1"/>
  </sheetPr>
  <dimension ref="A1:AH14"/>
  <sheetViews>
    <sheetView showGridLines="0" tabSelected="1"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1:34" s="15" customFormat="1" ht="49.9" customHeight="1">
      <c r="A1" s="14"/>
      <c r="B1" s="26" t="s">
        <v>0</v>
      </c>
    </row>
    <row r="2" spans="1:34" s="15" customFormat="1" ht="100.15" customHeight="1">
      <c r="A2"/>
      <c r="B2" s="25" t="s">
        <v>1</v>
      </c>
    </row>
    <row r="3" spans="1:34" s="15" customFormat="1" ht="15" customHeight="1">
      <c r="A3"/>
      <c r="B3" s="10"/>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1:34" ht="15" customHeight="1">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8"/>
    </row>
    <row r="6" spans="1: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v>2023</v>
      </c>
    </row>
    <row r="7" spans="1:34" ht="30" customHeight="1">
      <c r="B7" s="7"/>
      <c r="C7" s="23" t="str">
        <f>TEXT(WEEKDAY(DATE(CalendarYear,1,1),1),"ddd")</f>
        <v>do</v>
      </c>
      <c r="D7" s="23" t="str">
        <f>TEXT(WEEKDAY(DATE(CalendarYear,1,2),1),"ddd")</f>
        <v>lu</v>
      </c>
      <c r="E7" s="23" t="str">
        <f>TEXT(WEEKDAY(DATE(CalendarYear,1,3),1),"ddd")</f>
        <v>ma</v>
      </c>
      <c r="F7" s="23" t="str">
        <f>TEXT(WEEKDAY(DATE(CalendarYear,1,4),1),"ddd")</f>
        <v>mi</v>
      </c>
      <c r="G7" s="23" t="str">
        <f>TEXT(WEEKDAY(DATE(CalendarYear,1,5),1),"ddd")</f>
        <v>ju</v>
      </c>
      <c r="H7" s="23" t="str">
        <f>TEXT(WEEKDAY(DATE(CalendarYear,1,6),1),"ddd")</f>
        <v>vi</v>
      </c>
      <c r="I7" s="23" t="str">
        <f>TEXT(WEEKDAY(DATE(CalendarYear,1,7),1),"ddd")</f>
        <v>sá</v>
      </c>
      <c r="J7" s="23" t="str">
        <f>TEXT(WEEKDAY(DATE(CalendarYear,1,8),1),"ddd")</f>
        <v>do</v>
      </c>
      <c r="K7" s="23" t="str">
        <f>TEXT(WEEKDAY(DATE(CalendarYear,1,9),1),"ddd")</f>
        <v>lu</v>
      </c>
      <c r="L7" s="23" t="str">
        <f>TEXT(WEEKDAY(DATE(CalendarYear,1,10),1),"ddd")</f>
        <v>ma</v>
      </c>
      <c r="M7" s="23" t="str">
        <f>TEXT(WEEKDAY(DATE(CalendarYear,1,11),1),"ddd")</f>
        <v>mi</v>
      </c>
      <c r="N7" s="23" t="str">
        <f>TEXT(WEEKDAY(DATE(CalendarYear,1,12),1),"ddd")</f>
        <v>ju</v>
      </c>
      <c r="O7" s="23" t="str">
        <f>TEXT(WEEKDAY(DATE(CalendarYear,1,13),1),"ddd")</f>
        <v>vi</v>
      </c>
      <c r="P7" s="23" t="str">
        <f>TEXT(WEEKDAY(DATE(CalendarYear,1,14),1),"ddd")</f>
        <v>sá</v>
      </c>
      <c r="Q7" s="23" t="str">
        <f>TEXT(WEEKDAY(DATE(CalendarYear,1,15),1),"ddd")</f>
        <v>do</v>
      </c>
      <c r="R7" s="23" t="str">
        <f>TEXT(WEEKDAY(DATE(CalendarYear,1,16),1),"ddd")</f>
        <v>lu</v>
      </c>
      <c r="S7" s="23" t="str">
        <f>TEXT(WEEKDAY(DATE(CalendarYear,1,17),1),"ddd")</f>
        <v>ma</v>
      </c>
      <c r="T7" s="23" t="str">
        <f>TEXT(WEEKDAY(DATE(CalendarYear,1,18),1),"ddd")</f>
        <v>mi</v>
      </c>
      <c r="U7" s="23" t="str">
        <f>TEXT(WEEKDAY(DATE(CalendarYear,1,19),1),"ddd")</f>
        <v>ju</v>
      </c>
      <c r="V7" s="23" t="str">
        <f>TEXT(WEEKDAY(DATE(CalendarYear,1,20),1),"ddd")</f>
        <v>vi</v>
      </c>
      <c r="W7" s="23" t="str">
        <f>TEXT(WEEKDAY(DATE(CalendarYear,1,21),1),"ddd")</f>
        <v>sá</v>
      </c>
      <c r="X7" s="23" t="str">
        <f>TEXT(WEEKDAY(DATE(CalendarYear,1,22),1),"ddd")</f>
        <v>do</v>
      </c>
      <c r="Y7" s="23" t="str">
        <f>TEXT(WEEKDAY(DATE(CalendarYear,1,23),1),"ddd")</f>
        <v>lu</v>
      </c>
      <c r="Z7" s="23" t="str">
        <f>TEXT(WEEKDAY(DATE(CalendarYear,1,24),1),"ddd")</f>
        <v>ma</v>
      </c>
      <c r="AA7" s="23" t="str">
        <f>TEXT(WEEKDAY(DATE(CalendarYear,1,25),1),"ddd")</f>
        <v>mi</v>
      </c>
      <c r="AB7" s="23" t="str">
        <f>TEXT(WEEKDAY(DATE(CalendarYear,1,26),1),"ddd")</f>
        <v>ju</v>
      </c>
      <c r="AC7" s="23" t="str">
        <f>TEXT(WEEKDAY(DATE(CalendarYear,1,27),1),"ddd")</f>
        <v>vi</v>
      </c>
      <c r="AD7" s="23" t="str">
        <f>TEXT(WEEKDAY(DATE(CalendarYear,1,28),1),"ddd")</f>
        <v>sá</v>
      </c>
      <c r="AE7" s="23" t="str">
        <f>TEXT(WEEKDAY(DATE(CalendarYear,1,29),1),"ddd")</f>
        <v>do</v>
      </c>
      <c r="AF7" s="23" t="str">
        <f>TEXT(WEEKDAY(DATE(CalendarYear,1,30),1),"ddd")</f>
        <v>lu</v>
      </c>
      <c r="AG7" s="23" t="str">
        <f>TEXT(WEEKDAY(DATE(CalendarYear,1,31),1),"ddd")</f>
        <v>ma</v>
      </c>
      <c r="AH7" s="7"/>
    </row>
    <row r="8" spans="1: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1:34" ht="30" customHeight="1">
      <c r="B9" s="2" t="s">
        <v>4</v>
      </c>
      <c r="C9" s="1"/>
      <c r="D9" s="1"/>
      <c r="E9" s="21" t="s">
        <v>9</v>
      </c>
      <c r="F9" s="21" t="s">
        <v>9</v>
      </c>
      <c r="G9" s="21" t="s">
        <v>9</v>
      </c>
      <c r="H9" s="21" t="s">
        <v>9</v>
      </c>
      <c r="I9" s="1"/>
      <c r="J9" s="1"/>
      <c r="K9" s="1"/>
      <c r="L9" s="1"/>
      <c r="M9" s="1"/>
      <c r="N9" s="1"/>
      <c r="O9" s="1" t="s">
        <v>9</v>
      </c>
      <c r="P9" s="1"/>
      <c r="Q9" s="1"/>
      <c r="R9" s="1"/>
      <c r="S9" s="1"/>
      <c r="T9" s="1"/>
      <c r="U9" s="1"/>
      <c r="V9" s="1"/>
      <c r="W9" s="1"/>
      <c r="X9" s="1"/>
      <c r="Y9" s="1"/>
      <c r="Z9" s="1"/>
      <c r="AA9" s="1"/>
      <c r="AB9" s="1"/>
      <c r="AC9" s="1"/>
      <c r="AD9" s="1"/>
      <c r="AE9" s="1"/>
      <c r="AF9" s="1"/>
      <c r="AG9" s="1"/>
      <c r="AH9" s="3">
        <f>COUNTA(Enero!$C9:$AG9)</f>
        <v>5</v>
      </c>
    </row>
    <row r="10" spans="1:34" ht="30" customHeight="1">
      <c r="B10" s="2" t="s">
        <v>5</v>
      </c>
      <c r="C10" s="1"/>
      <c r="D10" s="1"/>
      <c r="E10" s="1"/>
      <c r="F10" s="1"/>
      <c r="G10" s="1" t="s">
        <v>17</v>
      </c>
      <c r="H10" s="1" t="s">
        <v>17</v>
      </c>
      <c r="I10" s="1"/>
      <c r="J10" s="1"/>
      <c r="K10" s="1"/>
      <c r="L10" s="1"/>
      <c r="M10" s="1" t="s">
        <v>15</v>
      </c>
      <c r="N10" s="1"/>
      <c r="O10" s="1"/>
      <c r="P10" s="1"/>
      <c r="Q10" s="1"/>
      <c r="R10" s="1"/>
      <c r="S10" s="1"/>
      <c r="T10" s="1"/>
      <c r="U10" s="1"/>
      <c r="V10" s="1" t="s">
        <v>17</v>
      </c>
      <c r="W10" s="1"/>
      <c r="X10" s="1"/>
      <c r="Y10" s="1"/>
      <c r="Z10" s="1"/>
      <c r="AA10" s="1" t="s">
        <v>9</v>
      </c>
      <c r="AB10" s="1" t="s">
        <v>9</v>
      </c>
      <c r="AC10" s="1" t="s">
        <v>9</v>
      </c>
      <c r="AD10" s="1"/>
      <c r="AE10" s="1"/>
      <c r="AF10" s="1"/>
      <c r="AG10" s="1"/>
      <c r="AH10" s="3">
        <f>COUNTA(Enero!$C10:$AG10)</f>
        <v>7</v>
      </c>
    </row>
    <row r="11" spans="1:34" ht="30" customHeight="1">
      <c r="B11" s="2" t="s">
        <v>6</v>
      </c>
      <c r="C11" s="1"/>
      <c r="D11" s="1"/>
      <c r="E11" s="1" t="s">
        <v>15</v>
      </c>
      <c r="F11" s="1"/>
      <c r="G11" s="1"/>
      <c r="H11" s="1"/>
      <c r="I11" s="1"/>
      <c r="J11" s="1"/>
      <c r="K11" s="1"/>
      <c r="L11" s="1"/>
      <c r="M11" s="1"/>
      <c r="N11" s="1"/>
      <c r="O11" s="1"/>
      <c r="P11" s="1" t="s">
        <v>17</v>
      </c>
      <c r="Q11" s="1"/>
      <c r="R11" s="1"/>
      <c r="S11" s="1"/>
      <c r="T11" s="1"/>
      <c r="U11" s="1"/>
      <c r="V11" s="1"/>
      <c r="W11" s="1"/>
      <c r="X11" s="1"/>
      <c r="Y11" s="1"/>
      <c r="Z11" s="1"/>
      <c r="AA11" s="1"/>
      <c r="AB11" s="1"/>
      <c r="AC11" s="1"/>
      <c r="AD11" s="1"/>
      <c r="AE11" s="1" t="s">
        <v>17</v>
      </c>
      <c r="AF11" s="1"/>
      <c r="AG11" s="1"/>
      <c r="AH11" s="3">
        <f>COUNTA(Enero!$C11:$AG11)</f>
        <v>3</v>
      </c>
    </row>
    <row r="12" spans="1:34" ht="30" customHeight="1">
      <c r="B12" s="2" t="s">
        <v>7</v>
      </c>
      <c r="C12" s="1"/>
      <c r="D12" s="1"/>
      <c r="E12" s="1"/>
      <c r="F12" s="1"/>
      <c r="G12" s="1"/>
      <c r="H12" s="1"/>
      <c r="I12" s="1" t="s">
        <v>15</v>
      </c>
      <c r="J12" s="1"/>
      <c r="K12" s="1"/>
      <c r="L12" s="1"/>
      <c r="M12" s="1"/>
      <c r="N12" s="1"/>
      <c r="O12" s="1"/>
      <c r="P12" s="1"/>
      <c r="Q12" s="1"/>
      <c r="R12" s="1"/>
      <c r="S12" s="1"/>
      <c r="T12" s="1"/>
      <c r="U12" s="1" t="s">
        <v>9</v>
      </c>
      <c r="V12" s="1" t="s">
        <v>9</v>
      </c>
      <c r="W12" s="1" t="s">
        <v>9</v>
      </c>
      <c r="X12" s="1"/>
      <c r="Y12" s="1"/>
      <c r="Z12" s="1"/>
      <c r="AA12" s="1"/>
      <c r="AB12" s="1"/>
      <c r="AC12" s="1"/>
      <c r="AD12" s="1"/>
      <c r="AE12" s="1"/>
      <c r="AF12" s="1"/>
      <c r="AG12" s="1"/>
      <c r="AH12" s="3">
        <f>COUNTA(Enero!$C12:$AG12)</f>
        <v>4</v>
      </c>
    </row>
    <row r="13" spans="1:34" ht="30" customHeight="1">
      <c r="B13" s="2" t="s">
        <v>8</v>
      </c>
      <c r="C13" s="1"/>
      <c r="D13" s="1"/>
      <c r="E13" s="1"/>
      <c r="F13" s="1" t="s">
        <v>17</v>
      </c>
      <c r="G13" s="1" t="s">
        <v>9</v>
      </c>
      <c r="H13" s="1" t="s">
        <v>9</v>
      </c>
      <c r="I13" s="1"/>
      <c r="J13" s="1"/>
      <c r="K13" s="1"/>
      <c r="L13" s="1"/>
      <c r="M13" s="1"/>
      <c r="N13" s="1"/>
      <c r="O13" s="1"/>
      <c r="P13" s="1"/>
      <c r="Q13" s="1"/>
      <c r="R13" s="1"/>
      <c r="S13" s="1" t="s">
        <v>17</v>
      </c>
      <c r="T13" s="1"/>
      <c r="U13" s="1"/>
      <c r="V13" s="1"/>
      <c r="W13" s="1"/>
      <c r="X13" s="1"/>
      <c r="Y13" s="1"/>
      <c r="Z13" s="1" t="s">
        <v>17</v>
      </c>
      <c r="AA13" s="1"/>
      <c r="AB13" s="1"/>
      <c r="AC13" s="1"/>
      <c r="AD13" s="1"/>
      <c r="AE13" s="1"/>
      <c r="AF13" s="1"/>
      <c r="AG13" s="1" t="s">
        <v>9</v>
      </c>
      <c r="AH13" s="3">
        <f>COUNTA(Enero!$C13:$AG13)</f>
        <v>6</v>
      </c>
    </row>
    <row r="14" spans="1:34" ht="30" customHeight="1">
      <c r="B14" s="5" t="str">
        <f>MonthName&amp;" total"</f>
        <v>Enero total</v>
      </c>
      <c r="C14" s="4">
        <f>SUBTOTAL(103,Enero!$C$9:$C$13)</f>
        <v>0</v>
      </c>
      <c r="D14" s="4">
        <f>SUBTOTAL(103,Enero!$D$9:$D$13)</f>
        <v>0</v>
      </c>
      <c r="E14" s="4">
        <f>SUBTOTAL(103,Enero!$E$9:$E$13)</f>
        <v>2</v>
      </c>
      <c r="F14" s="4">
        <f>SUBTOTAL(103,Enero!$F$9:$F$13)</f>
        <v>2</v>
      </c>
      <c r="G14" s="4">
        <f>SUBTOTAL(103,Enero!$G$9:$G$13)</f>
        <v>3</v>
      </c>
      <c r="H14" s="4">
        <f>SUBTOTAL(103,Enero!$H$9:$H$13)</f>
        <v>3</v>
      </c>
      <c r="I14" s="4">
        <f>SUBTOTAL(103,Enero!$I$9:$I$13)</f>
        <v>1</v>
      </c>
      <c r="J14" s="4">
        <f>SUBTOTAL(103,Enero!$J$9:$J$13)</f>
        <v>0</v>
      </c>
      <c r="K14" s="4">
        <f>SUBTOTAL(103,Enero!$K$9:$K$13)</f>
        <v>0</v>
      </c>
      <c r="L14" s="4">
        <f>SUBTOTAL(103,Enero!$L$9:$L$13)</f>
        <v>0</v>
      </c>
      <c r="M14" s="4">
        <f>SUBTOTAL(103,Enero!$M$9:$M$13)</f>
        <v>1</v>
      </c>
      <c r="N14" s="4">
        <f>SUBTOTAL(103,Enero!$N$9:$N$13)</f>
        <v>0</v>
      </c>
      <c r="O14" s="4">
        <f>SUBTOTAL(103,Enero!$O$9:$O$13)</f>
        <v>1</v>
      </c>
      <c r="P14" s="4">
        <f>SUBTOTAL(103,Enero!$P$9:$P$13)</f>
        <v>1</v>
      </c>
      <c r="Q14" s="4">
        <f>SUBTOTAL(103,Enero!$Q$9:$Q$13)</f>
        <v>0</v>
      </c>
      <c r="R14" s="4">
        <f>SUBTOTAL(103,Enero!$R$9:$R$13)</f>
        <v>0</v>
      </c>
      <c r="S14" s="4">
        <f>SUBTOTAL(103,Enero!$S$9:$S$13)</f>
        <v>1</v>
      </c>
      <c r="T14" s="4">
        <f>SUBTOTAL(103,Enero!$T$9:$T$13)</f>
        <v>0</v>
      </c>
      <c r="U14" s="4">
        <f>SUBTOTAL(103,Enero!$U$9:$U$13)</f>
        <v>1</v>
      </c>
      <c r="V14" s="4">
        <f>SUBTOTAL(103,Enero!$V$9:$V$13)</f>
        <v>2</v>
      </c>
      <c r="W14" s="4">
        <f>SUBTOTAL(103,Enero!$W$9:$W$13)</f>
        <v>1</v>
      </c>
      <c r="X14" s="4">
        <f>SUBTOTAL(103,Enero!$X$9:$X$13)</f>
        <v>0</v>
      </c>
      <c r="Y14" s="4">
        <f>SUBTOTAL(103,Enero!$Y$9:$Y$13)</f>
        <v>0</v>
      </c>
      <c r="Z14" s="4">
        <f>SUBTOTAL(103,Enero!$Z$9:$Z$13)</f>
        <v>1</v>
      </c>
      <c r="AA14" s="4">
        <f>SUBTOTAL(103,Enero!$AA$9:$AA$13)</f>
        <v>1</v>
      </c>
      <c r="AB14" s="4">
        <f>SUBTOTAL(103,Enero!$AB$9:$AB$13)</f>
        <v>1</v>
      </c>
      <c r="AC14" s="4">
        <f>SUBTOTAL(103,Enero!$AC$9:$AC$13)</f>
        <v>1</v>
      </c>
      <c r="AD14" s="4">
        <f>SUBTOTAL(103,Enero!$AD$9:$AD$13)</f>
        <v>0</v>
      </c>
      <c r="AE14" s="4">
        <f>SUBTOTAL(103,Enero!$AE$9:$AE$13)</f>
        <v>1</v>
      </c>
      <c r="AF14" s="4">
        <f>SUBTOTAL(103,Enero!$AF$9:$AF$13)</f>
        <v>0</v>
      </c>
      <c r="AG14" s="4">
        <f>SUBTOTAL(103,Enero!$AG$9:$AG$13)</f>
        <v>1</v>
      </c>
      <c r="AH14" s="4">
        <f>SUBTOTAL(109,Enero[Total de días])</f>
        <v>25</v>
      </c>
    </row>
  </sheetData>
  <mergeCells count="6">
    <mergeCell ref="C6:AG6"/>
    <mergeCell ref="D4:F4"/>
    <mergeCell ref="H4:J4"/>
    <mergeCell ref="L4:N4"/>
    <mergeCell ref="P4:S4"/>
    <mergeCell ref="U4:X4"/>
  </mergeCells>
  <phoneticPr fontId="32" type="noConversion"/>
  <conditionalFormatting sqref="C9:AG13">
    <cfRule type="expression" priority="3" stopIfTrue="1">
      <formula>C9=""</formula>
    </cfRule>
    <cfRule type="expression" dxfId="61" priority="8" stopIfTrue="1">
      <formula>C9=KeyCustom2</formula>
    </cfRule>
    <cfRule type="expression" dxfId="60" priority="9" stopIfTrue="1">
      <formula>C9=KeyCustom1</formula>
    </cfRule>
    <cfRule type="expression" dxfId="59" priority="10" stopIfTrue="1">
      <formula>C9=KeySick</formula>
    </cfRule>
    <cfRule type="expression" dxfId="58" priority="11" stopIfTrue="1">
      <formula>C9=KeyPersonal</formula>
    </cfRule>
    <cfRule type="expression" dxfId="57" priority="12" stopIfTrue="1">
      <formula>C9=KeyVacation</formula>
    </cfRule>
  </conditionalFormatting>
  <conditionalFormatting sqref="AH9:AH13">
    <cfRule type="dataBar" priority="170">
      <dataBar>
        <cfvo type="num" val="0"/>
        <cfvo type="num" val="31"/>
        <color theme="4"/>
      </dataBar>
      <extLst>
        <ext xmlns:x14="http://schemas.microsoft.com/office/spreadsheetml/2009/9/main" uri="{B025F937-C7B1-47D3-B67F-A62EFF666E3E}">
          <x14:id>{ECCE2C3C-1B01-4700-B60E-DAAAB19A9C1A}</x14:id>
        </ext>
      </extLst>
    </cfRule>
  </conditionalFormatting>
  <dataValidations count="16">
    <dataValidation allowBlank="1" showInputMessage="1" showErrorMessage="1" prompt="Los días del mes se generan automáticamente en esta fila. Especifique la ausencia del empleado y el tipo en cada columna para cada día del mes. En blanco significa que no hay ninguna ausencia" sqref="C8" xr:uid="{FAB55708-481E-2E48-9F66-3C8E8545F6B0}"/>
    <dataValidation allowBlank="1" showInputMessage="1" showErrorMessage="1" prompt="La letra “V” indica una ausencia por vacaciones" sqref="C4" xr:uid="{9058FE4E-B17F-E943-9A83-5582DE92BDB6}"/>
    <dataValidation allowBlank="1" showInputMessage="1" showErrorMessage="1" prompt="La letra “P” indica una ausencia por motivos personales" sqref="G4" xr:uid="{C4744D51-42B4-0342-B86A-BE9D6063B807}"/>
    <dataValidation allowBlank="1" showInputMessage="1" showErrorMessage="1" prompt="La letra “E” indica una ausencia por enfermedad" sqref="K4" xr:uid="{EBA2AA00-2D66-0547-8889-4D34A2A72241}"/>
    <dataValidation allowBlank="1" showInputMessage="1" showErrorMessage="1" prompt="Escriba una letra y personalice la etiqueta de la derecha para agregar otro elemento clave." sqref="O4 T4" xr:uid="{FEABEF84-83D3-7D42-BA7C-926AE09CBA1E}"/>
    <dataValidation allowBlank="1" showInputMessage="1" showErrorMessage="1" prompt="Escriba una etiqueta para describir la clave personalizada de la izquierda" sqref="U4 P4" xr:uid="{12884A59-5F75-0848-A6CD-363E691B1D2A}"/>
    <dataValidation allowBlank="1" showInputMessage="1" showErrorMessage="1" prompt="El plan de ausencias de los empleados realiza un seguimiento por día durante cada mes. Hay 13 hojas de cálculo, 12 para los meses y la última para los nombres de los empleados. Realice un seguimiento de las ausencias de enero en esta hoja de cálculo" sqref="A1" xr:uid="{00000000-0002-0000-0000-00000D000000}"/>
    <dataValidation allowBlank="1" showInputMessage="1" showErrorMessage="1" prompt="Escriba el año en la celda siguiente." sqref="AH5" xr:uid="{00000000-0002-0000-0000-00000E000000}"/>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DF4494D1-42F6-BB47-AFAB-18021A3441AC}"/>
    <dataValidation allowBlank="1" showInputMessage="1" showErrorMessage="1" prompt="El título se actualiza automáticamente en esta celda. Para modificarlo, actualice la celda B1 en la hoja de cálculo de enero" sqref="B2" xr:uid="{20FFCBA6-5698-4E4B-9E75-1B2FD678A862}"/>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FE3C1916-A13B-EF44-83B6-EF87C12834B2}"/>
    <dataValidation allowBlank="1" showInputMessage="1" showErrorMessage="1" prompt="Calcula automáticamente el número total de días que un empleado estuvo ausente este mes en esta columna" sqref="AH8" xr:uid="{17D68424-3ED0-774F-A440-37779B4905D7}"/>
    <dataValidation allowBlank="1" showInputMessage="1" showErrorMessage="1" prompt="Escriba el año en esta celda." sqref="AH6" xr:uid="{00000000-0002-0000-0000-000000000000}"/>
    <dataValidation allowBlank="1" showInputMessage="1" showErrorMessage="1" prompt="Los días laborables en esta fila se actualizan automáticamente durante el mes según el año en AH4. Cada día del mes es una columna para indicar la ausencia del empleado y el tipo de ausencia" sqref="C7" xr:uid="{F6CAA384-C773-F044-845D-980CB65F95B2}"/>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254C5299-B8DC-4E28-AD10-F93B45AED253}"/>
    <dataValidation allowBlank="1" showInputMessage="1" showErrorMessage="1" prompt="Esta celda contiene el título de la hoja de cálculo. " sqref="B1" xr:uid="{F61E6882-FE5C-43CD-B756-4B881652736D}"/>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gradient="0">
              <x14:cfvo type="num">
                <xm:f>0</xm:f>
              </x14:cfvo>
              <x14:cfvo type="num">
                <xm:f>31</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'Nombres de los empleados'!$B$4:$B$8</xm:f>
          </x14:formula1>
          <xm:sqref>B9:B13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
    <pageSetUpPr fitToPage="1"/>
  </sheetPr>
  <dimension ref="A1:AH14"/>
  <sheetViews>
    <sheetView showGridLines="0" zoomScaleNormal="100" workbookViewId="0"/>
  </sheetViews>
  <sheetFormatPr baseColWidth="10" defaultColWidth="9.140625" defaultRowHeight="30" customHeight="1"/>
  <cols>
    <col min="1" max="1" width="2.7109375" customWidth="1"/>
    <col min="2" max="2" width="36" customWidth="1"/>
    <col min="3" max="33" width="4.7109375" customWidth="1"/>
    <col min="34" max="34" width="15.42578125" customWidth="1"/>
    <col min="35" max="35" width="2.7109375" customWidth="1"/>
  </cols>
  <sheetData>
    <row r="1" spans="1:34" ht="49.9" customHeight="1">
      <c r="B1" s="26" t="s">
        <v>0</v>
      </c>
    </row>
    <row r="2" spans="1:34" s="12" customFormat="1" ht="100.15" customHeight="1">
      <c r="A2"/>
      <c r="B2" s="25" t="s">
        <v>50</v>
      </c>
    </row>
    <row r="3" spans="1: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1: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1:34" ht="30" customHeight="1">
      <c r="B7" s="7"/>
      <c r="C7" s="23" t="str">
        <f>TEXT(WEEKDAY(DATE(CalendarYear,2,1),1),"ddd")</f>
        <v>mi</v>
      </c>
      <c r="D7" s="23" t="str">
        <f>TEXT(WEEKDAY(DATE(CalendarYear,2,2),1),"ddd")</f>
        <v>ju</v>
      </c>
      <c r="E7" s="23" t="str">
        <f>TEXT(WEEKDAY(DATE(CalendarYear,2,3),1),"ddd")</f>
        <v>vi</v>
      </c>
      <c r="F7" s="23" t="str">
        <f>TEXT(WEEKDAY(DATE(CalendarYear,2,4),1),"ddd")</f>
        <v>sá</v>
      </c>
      <c r="G7" s="23" t="str">
        <f>TEXT(WEEKDAY(DATE(CalendarYear,2,5),1),"ddd")</f>
        <v>do</v>
      </c>
      <c r="H7" s="23" t="str">
        <f>TEXT(WEEKDAY(DATE(CalendarYear,2,6),1),"ddd")</f>
        <v>lu</v>
      </c>
      <c r="I7" s="23" t="str">
        <f>TEXT(WEEKDAY(DATE(CalendarYear,2,7),1),"ddd")</f>
        <v>ma</v>
      </c>
      <c r="J7" s="23" t="str">
        <f>TEXT(WEEKDAY(DATE(CalendarYear,2,8),1),"ddd")</f>
        <v>mi</v>
      </c>
      <c r="K7" s="23" t="str">
        <f>TEXT(WEEKDAY(DATE(CalendarYear,2,9),1),"ddd")</f>
        <v>ju</v>
      </c>
      <c r="L7" s="23" t="str">
        <f>TEXT(WEEKDAY(DATE(CalendarYear,2,10),1),"ddd")</f>
        <v>vi</v>
      </c>
      <c r="M7" s="23" t="str">
        <f>TEXT(WEEKDAY(DATE(CalendarYear,2,11),1),"ddd")</f>
        <v>sá</v>
      </c>
      <c r="N7" s="23" t="str">
        <f>TEXT(WEEKDAY(DATE(CalendarYear,2,12),1),"ddd")</f>
        <v>do</v>
      </c>
      <c r="O7" s="23" t="str">
        <f>TEXT(WEEKDAY(DATE(CalendarYear,2,13),1),"ddd")</f>
        <v>lu</v>
      </c>
      <c r="P7" s="23" t="str">
        <f>TEXT(WEEKDAY(DATE(CalendarYear,2,14),1),"ddd")</f>
        <v>ma</v>
      </c>
      <c r="Q7" s="23" t="str">
        <f>TEXT(WEEKDAY(DATE(CalendarYear,2,15),1),"ddd")</f>
        <v>mi</v>
      </c>
      <c r="R7" s="23" t="str">
        <f>TEXT(WEEKDAY(DATE(CalendarYear,2,16),1),"ddd")</f>
        <v>ju</v>
      </c>
      <c r="S7" s="23" t="str">
        <f>TEXT(WEEKDAY(DATE(CalendarYear,2,17),1),"ddd")</f>
        <v>vi</v>
      </c>
      <c r="T7" s="23" t="str">
        <f>TEXT(WEEKDAY(DATE(CalendarYear,2,18),1),"ddd")</f>
        <v>sá</v>
      </c>
      <c r="U7" s="23" t="str">
        <f>TEXT(WEEKDAY(DATE(CalendarYear,2,19),1),"ddd")</f>
        <v>do</v>
      </c>
      <c r="V7" s="23" t="str">
        <f>TEXT(WEEKDAY(DATE(CalendarYear,2,20),1),"ddd")</f>
        <v>lu</v>
      </c>
      <c r="W7" s="23" t="str">
        <f>TEXT(WEEKDAY(DATE(CalendarYear,2,21),1),"ddd")</f>
        <v>ma</v>
      </c>
      <c r="X7" s="23" t="str">
        <f>TEXT(WEEKDAY(DATE(CalendarYear,2,22),1),"ddd")</f>
        <v>mi</v>
      </c>
      <c r="Y7" s="23" t="str">
        <f>TEXT(WEEKDAY(DATE(CalendarYear,2,23),1),"ddd")</f>
        <v>ju</v>
      </c>
      <c r="Z7" s="23" t="str">
        <f>TEXT(WEEKDAY(DATE(CalendarYear,2,24),1),"ddd")</f>
        <v>vi</v>
      </c>
      <c r="AA7" s="23" t="str">
        <f>TEXT(WEEKDAY(DATE(CalendarYear,2,25),1),"ddd")</f>
        <v>sá</v>
      </c>
      <c r="AB7" s="23" t="str">
        <f>TEXT(WEEKDAY(DATE(CalendarYear,2,26),1),"ddd")</f>
        <v>do</v>
      </c>
      <c r="AC7" s="23" t="str">
        <f>TEXT(WEEKDAY(DATE(CalendarYear,2,27),1),"ddd")</f>
        <v>lu</v>
      </c>
      <c r="AD7" s="23" t="str">
        <f>TEXT(WEEKDAY(DATE(CalendarYear,2,28),1),"ddd")</f>
        <v>ma</v>
      </c>
      <c r="AE7" s="23" t="str">
        <f>TEXT(WEEKDAY(DATE(CalendarYear,2,29),1),"ddd")</f>
        <v>mi</v>
      </c>
      <c r="AF7" s="23"/>
      <c r="AG7" s="23"/>
      <c r="AH7" s="7"/>
    </row>
    <row r="8" spans="1: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51</v>
      </c>
      <c r="AG8" s="1" t="s">
        <v>52</v>
      </c>
      <c r="AH8" s="24" t="s">
        <v>49</v>
      </c>
    </row>
    <row r="9" spans="1:34" ht="30" customHeight="1">
      <c r="B9" s="2" t="s">
        <v>4</v>
      </c>
      <c r="C9" s="21"/>
      <c r="D9" s="21"/>
      <c r="E9" s="21" t="s">
        <v>9</v>
      </c>
      <c r="F9" s="21" t="s">
        <v>9</v>
      </c>
      <c r="G9" s="21" t="s">
        <v>9</v>
      </c>
      <c r="H9" s="21" t="s">
        <v>9</v>
      </c>
      <c r="I9" s="21"/>
      <c r="J9" s="21"/>
      <c r="K9" s="21"/>
      <c r="L9" s="21"/>
      <c r="M9" s="21"/>
      <c r="N9" s="21"/>
      <c r="O9" s="21" t="s">
        <v>9</v>
      </c>
      <c r="P9" s="21"/>
      <c r="Q9" s="21"/>
      <c r="R9" s="21"/>
      <c r="S9" s="21"/>
      <c r="T9" s="21"/>
      <c r="U9" s="21"/>
      <c r="V9" s="21"/>
      <c r="W9" s="21"/>
      <c r="X9" s="21"/>
      <c r="Y9" s="21"/>
      <c r="Z9" s="21"/>
      <c r="AA9" s="21"/>
      <c r="AB9" s="21"/>
      <c r="AC9" s="21"/>
      <c r="AD9" s="21"/>
      <c r="AE9" s="21"/>
      <c r="AF9" s="21"/>
      <c r="AG9" s="21"/>
      <c r="AH9" s="3">
        <f>COUNTA(Febrero[[#This Row],[1]:[29]])</f>
        <v>5</v>
      </c>
    </row>
    <row r="10" spans="1:34" ht="30" customHeight="1">
      <c r="B10" s="2" t="s">
        <v>5</v>
      </c>
      <c r="C10" s="21"/>
      <c r="D10" s="21"/>
      <c r="E10" s="21"/>
      <c r="F10" s="21"/>
      <c r="G10" s="21" t="s">
        <v>17</v>
      </c>
      <c r="H10" s="21" t="s">
        <v>17</v>
      </c>
      <c r="I10" s="21"/>
      <c r="J10" s="21"/>
      <c r="K10" s="21"/>
      <c r="L10" s="21"/>
      <c r="M10" s="21" t="s">
        <v>15</v>
      </c>
      <c r="N10" s="21"/>
      <c r="O10" s="21"/>
      <c r="P10" s="21"/>
      <c r="Q10" s="21"/>
      <c r="R10" s="21"/>
      <c r="S10" s="21"/>
      <c r="T10" s="21"/>
      <c r="U10" s="21"/>
      <c r="V10" s="21" t="s">
        <v>17</v>
      </c>
      <c r="W10" s="21"/>
      <c r="X10" s="21"/>
      <c r="Y10" s="21"/>
      <c r="Z10" s="21"/>
      <c r="AA10" s="21" t="s">
        <v>9</v>
      </c>
      <c r="AB10" s="21" t="s">
        <v>9</v>
      </c>
      <c r="AC10" s="21" t="s">
        <v>9</v>
      </c>
      <c r="AD10" s="21"/>
      <c r="AE10" s="21"/>
      <c r="AF10" s="21"/>
      <c r="AG10" s="21"/>
      <c r="AH10" s="3">
        <f>COUNTA(Febrero[[#This Row],[1]:[29]])</f>
        <v>7</v>
      </c>
    </row>
    <row r="11" spans="1:34" ht="30" customHeight="1">
      <c r="B11" s="2" t="s">
        <v>6</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3">
        <f>COUNTA(Febrero[[#This Row],[1]:[29]])</f>
        <v>0</v>
      </c>
    </row>
    <row r="12" spans="1:34" ht="30" customHeight="1">
      <c r="B12" s="2" t="s">
        <v>7</v>
      </c>
      <c r="C12" s="21"/>
      <c r="D12" s="21"/>
      <c r="E12" s="21" t="s">
        <v>17</v>
      </c>
      <c r="F12" s="21"/>
      <c r="G12" s="21"/>
      <c r="H12" s="21"/>
      <c r="I12" s="21"/>
      <c r="J12" s="21"/>
      <c r="K12" s="21"/>
      <c r="L12" s="21"/>
      <c r="M12" s="21"/>
      <c r="N12" s="21"/>
      <c r="O12" s="21"/>
      <c r="P12" s="21" t="s">
        <v>17</v>
      </c>
      <c r="Q12" s="21"/>
      <c r="R12" s="21"/>
      <c r="S12" s="21"/>
      <c r="T12" s="21" t="s">
        <v>15</v>
      </c>
      <c r="U12" s="21"/>
      <c r="V12" s="21"/>
      <c r="W12" s="21"/>
      <c r="X12" s="21"/>
      <c r="Y12" s="21"/>
      <c r="Z12" s="21"/>
      <c r="AA12" s="21"/>
      <c r="AB12" s="21"/>
      <c r="AC12" s="21"/>
      <c r="AD12" s="21" t="s">
        <v>17</v>
      </c>
      <c r="AE12" s="21"/>
      <c r="AF12" s="21"/>
      <c r="AG12" s="21"/>
      <c r="AH12" s="3">
        <f>COUNTA(Febrero[[#This Row],[1]:[29]])</f>
        <v>4</v>
      </c>
    </row>
    <row r="13" spans="1:34" ht="30" customHeight="1">
      <c r="B13" s="2" t="s">
        <v>8</v>
      </c>
      <c r="C13" s="21"/>
      <c r="D13" s="21"/>
      <c r="E13" s="21"/>
      <c r="F13" s="21"/>
      <c r="G13" s="21"/>
      <c r="H13" s="21"/>
      <c r="I13" s="21"/>
      <c r="J13" s="21" t="s">
        <v>9</v>
      </c>
      <c r="K13" s="21" t="s">
        <v>9</v>
      </c>
      <c r="L13" s="21" t="s">
        <v>9</v>
      </c>
      <c r="M13" s="21" t="s">
        <v>9</v>
      </c>
      <c r="N13" s="21"/>
      <c r="O13" s="21"/>
      <c r="P13" s="21"/>
      <c r="Q13" s="21"/>
      <c r="R13" s="21"/>
      <c r="S13" s="21"/>
      <c r="T13" s="21"/>
      <c r="U13" s="21"/>
      <c r="V13" s="21"/>
      <c r="W13" s="21"/>
      <c r="X13" s="21"/>
      <c r="Y13" s="21"/>
      <c r="Z13" s="21" t="s">
        <v>17</v>
      </c>
      <c r="AA13" s="21"/>
      <c r="AB13" s="21"/>
      <c r="AC13" s="21"/>
      <c r="AD13" s="21"/>
      <c r="AE13" s="21"/>
      <c r="AF13" s="21"/>
      <c r="AG13" s="21"/>
      <c r="AH13" s="3">
        <f>COUNTA(Febrero[[#This Row],[1]:[29]])</f>
        <v>5</v>
      </c>
    </row>
    <row r="14" spans="1:34" ht="30" customHeight="1">
      <c r="B14" s="5" t="str">
        <f>MonthName&amp;" total"</f>
        <v>Febrero total</v>
      </c>
      <c r="C14" s="4">
        <f>SUBTOTAL(103,Febrero[1])</f>
        <v>0</v>
      </c>
      <c r="D14" s="4">
        <f>SUBTOTAL(103,Febrero[2])</f>
        <v>0</v>
      </c>
      <c r="E14" s="4">
        <f>SUBTOTAL(103,Febrero[3])</f>
        <v>2</v>
      </c>
      <c r="F14" s="4">
        <f>SUBTOTAL(103,Febrero[4])</f>
        <v>1</v>
      </c>
      <c r="G14" s="4">
        <f>SUBTOTAL(103,Febrero[5])</f>
        <v>2</v>
      </c>
      <c r="H14" s="4">
        <f>SUBTOTAL(103,Febrero[6])</f>
        <v>2</v>
      </c>
      <c r="I14" s="4">
        <f>SUBTOTAL(103,Febrero[7])</f>
        <v>0</v>
      </c>
      <c r="J14" s="4">
        <f>SUBTOTAL(103,Febrero[8])</f>
        <v>1</v>
      </c>
      <c r="K14" s="4">
        <f>SUBTOTAL(103,Febrero[9])</f>
        <v>1</v>
      </c>
      <c r="L14" s="4">
        <f>SUBTOTAL(103,Febrero[10])</f>
        <v>1</v>
      </c>
      <c r="M14" s="4">
        <f>SUBTOTAL(103,Febrero[11])</f>
        <v>2</v>
      </c>
      <c r="N14" s="4">
        <f>SUBTOTAL(103,Febrero[12])</f>
        <v>0</v>
      </c>
      <c r="O14" s="4">
        <f>SUBTOTAL(103,Febrero[13])</f>
        <v>1</v>
      </c>
      <c r="P14" s="4">
        <f>SUBTOTAL(103,Febrero[14])</f>
        <v>1</v>
      </c>
      <c r="Q14" s="4">
        <f>SUBTOTAL(103,Febrero[15])</f>
        <v>0</v>
      </c>
      <c r="R14" s="4">
        <f>SUBTOTAL(103,Febrero[16])</f>
        <v>0</v>
      </c>
      <c r="S14" s="4">
        <f>SUBTOTAL(103,Febrero[17])</f>
        <v>0</v>
      </c>
      <c r="T14" s="4">
        <f>SUBTOTAL(103,Febrero[18])</f>
        <v>1</v>
      </c>
      <c r="U14" s="4">
        <f>SUBTOTAL(103,Febrero[19])</f>
        <v>0</v>
      </c>
      <c r="V14" s="4">
        <f>SUBTOTAL(103,Febrero[20])</f>
        <v>1</v>
      </c>
      <c r="W14" s="4">
        <f>SUBTOTAL(103,Febrero[21])</f>
        <v>0</v>
      </c>
      <c r="X14" s="4">
        <f>SUBTOTAL(103,Febrero[22])</f>
        <v>0</v>
      </c>
      <c r="Y14" s="4">
        <f>SUBTOTAL(103,Febrero[23])</f>
        <v>0</v>
      </c>
      <c r="Z14" s="4">
        <f>SUBTOTAL(103,Febrero[24])</f>
        <v>1</v>
      </c>
      <c r="AA14" s="4">
        <f>SUBTOTAL(103,Febrero[25])</f>
        <v>1</v>
      </c>
      <c r="AB14" s="4">
        <f>SUBTOTAL(103,Febrero[26])</f>
        <v>1</v>
      </c>
      <c r="AC14" s="4">
        <f>SUBTOTAL(103,Febrero[27])</f>
        <v>1</v>
      </c>
      <c r="AD14" s="4">
        <f>SUBTOTAL(103,Febrero[28])</f>
        <v>1</v>
      </c>
      <c r="AE14" s="4">
        <f>SUBTOTAL(103,Febrero[29])</f>
        <v>0</v>
      </c>
      <c r="AF14" s="4"/>
      <c r="AG14" s="4"/>
      <c r="AH14" s="4">
        <f>SUBTOTAL(109,Febrero[Total de días])</f>
        <v>21</v>
      </c>
    </row>
  </sheetData>
  <mergeCells count="6">
    <mergeCell ref="C6:AG6"/>
    <mergeCell ref="D4:F4"/>
    <mergeCell ref="H4:J4"/>
    <mergeCell ref="L4:N4"/>
    <mergeCell ref="P4:S4"/>
    <mergeCell ref="U4:X4"/>
  </mergeCells>
  <phoneticPr fontId="32" type="noConversion"/>
  <conditionalFormatting sqref="C9:AG13">
    <cfRule type="expression" priority="3" stopIfTrue="1">
      <formula>C9=""</formula>
    </cfRule>
    <cfRule type="expression" dxfId="56" priority="4" stopIfTrue="1">
      <formula>C9=KeyCustom2</formula>
    </cfRule>
    <cfRule type="expression" dxfId="55" priority="6" stopIfTrue="1">
      <formula>C9=KeyCustom1</formula>
    </cfRule>
    <cfRule type="expression" dxfId="54" priority="7" stopIfTrue="1">
      <formula>C9=KeySick</formula>
    </cfRule>
    <cfRule type="expression" dxfId="53" priority="8" stopIfTrue="1">
      <formula>C9=KeyPersonal</formula>
    </cfRule>
    <cfRule type="expression" dxfId="52" priority="9" stopIfTrue="1">
      <formula>C9=KeyVacation</formula>
    </cfRule>
  </conditionalFormatting>
  <conditionalFormatting sqref="AE7">
    <cfRule type="expression" dxfId="51" priority="1">
      <formula>MONTH(DATE(CalendarYear,2,29))&lt;&gt;2</formula>
    </cfRule>
  </conditionalFormatting>
  <conditionalFormatting sqref="AE8">
    <cfRule type="expression" dxfId="50" priority="17">
      <formula>MONTH(DATE(CalendarYear,2,29))&lt;&gt;2</formula>
    </cfRule>
  </conditionalFormatting>
  <conditionalFormatting sqref="AH9:AH13">
    <cfRule type="dataBar" priority="154">
      <dataBar>
        <cfvo type="min"/>
        <cfvo type="formula" val="DATEDIF(DATE(CalendarYear,2,1),DATE(CalendarYear,3,1),&quot;d&quot;)"/>
        <color theme="4"/>
      </dataBar>
      <extLst>
        <ext xmlns:x14="http://schemas.microsoft.com/office/spreadsheetml/2009/9/main" uri="{B025F937-C7B1-47D3-B67F-A62EFF666E3E}">
          <x14:id>{94738C71-AB78-40C3-A818-D083AE35CC38}</x14:id>
        </ext>
      </extLst>
    </cfRule>
  </conditionalFormatting>
  <dataValidations xWindow="232" yWindow="365" count="15">
    <dataValidation allowBlank="1" showInputMessage="1" showErrorMessage="1" prompt="Año actualizado automáticamente en función del año introducido en la hoja de cálculo de enero" sqref="AH6" xr:uid="{00000000-0002-0000-0100-000000000000}"/>
    <dataValidation allowBlank="1" showInputMessage="1" showErrorMessage="1" prompt="Realice un seguimiento de las ausencias de febrero en esta hoja de cálculo." sqref="A1" xr:uid="{00000000-0002-0000-0100-000001000000}"/>
    <dataValidation allowBlank="1" showInputMessage="1" showErrorMessage="1" prompt="Calcula automáticamente el número total de días que un empleado ha estado ausente este mes en esta columna" sqref="AH8" xr:uid="{77246999-1DD3-7143-AA66-1A208D7E07C6}"/>
    <dataValidation allowBlank="1" showInputMessage="1" showErrorMessage="1" prompt="El título se actualiza automáticamente en esta celda. Para modificarlo, actualice la celda B1 en la hoja de cálculo de enero" sqref="B2" xr:uid="{00000000-0002-0000-0100-000003000000}"/>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100-000004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63261372-7DCA-F84F-9EF6-13D18C8D58CC}"/>
    <dataValidation allowBlank="1" showInputMessage="1" showErrorMessage="1" prompt="Escriba una etiqueta para describir la clave personalizada de la izquierda." sqref="U4 P4" xr:uid="{00000000-0002-0000-0100-000007000000}"/>
    <dataValidation allowBlank="1" showInputMessage="1" showErrorMessage="1" prompt="Escriba una letra y personalice la etiqueta de la derecha para agregar otro elemento clave." sqref="O4 T4" xr:uid="{00000000-0002-0000-0100-000008000000}"/>
    <dataValidation allowBlank="1" showInputMessage="1" showErrorMessage="1" prompt="La letra “E” indica una ausencia por enfermedad" sqref="K4" xr:uid="{00000000-0002-0000-0100-000009000000}"/>
    <dataValidation allowBlank="1" showInputMessage="1" showErrorMessage="1" prompt="La letra “P” indica una ausencia por motivos personales" sqref="G4" xr:uid="{00000000-0002-0000-0100-00000A000000}"/>
    <dataValidation allowBlank="1" showInputMessage="1" showErrorMessage="1" prompt="La letra “V” indica una ausencia por vacaciones" sqref="C4" xr:uid="{00000000-0002-0000-0100-00000B000000}"/>
    <dataValidation allowBlank="1" showInputMessage="1" showErrorMessage="1" prompt="Los días del mes se generan automáticamente en esta fila. Especifique la ausencia del empleado y el tipo en cada columna para cada día del mes. En blanco significa que no hay ninguna ausencia" sqref="C8" xr:uid="{00000000-0002-0000-0100-00000D000000}"/>
    <dataValidation allowBlank="1" showInputMessage="1" showErrorMessage="1" prompt="Los días laborables en esta fila se actualizan automáticamente durante el mes según el año en AH4. Cada día del mes es una columna para indicar la ausencia del empleado y el tipo de ausencia" sqref="C7" xr:uid="{525721C9-B345-0C4C-8302-350AF692807F}"/>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7C2F778E-AA90-4389-BE25-016652C40577}"/>
    <dataValidation allowBlank="1" showInputMessage="1" showErrorMessage="1" prompt="Esta celda contiene el título de la hoja de cálculo. " sqref="B1" xr:uid="{3720AAC7-6CB9-46B3-ABB5-C56FB01AC59F}"/>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gradient="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'Nombres de los empleados'!$B$4:$B$8</xm:f>
          </x14:formula1>
          <xm:sqref>B9:B13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27" t="s">
        <v>53</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TEXT(WEEKDAY(DATE(CalendarYear,3,1),1),"ddd")</f>
        <v>mi</v>
      </c>
      <c r="D7" s="23" t="str">
        <f>TEXT(WEEKDAY(DATE(CalendarYear,3,2),1),"ddd")</f>
        <v>ju</v>
      </c>
      <c r="E7" s="23" t="str">
        <f>TEXT(WEEKDAY(DATE(CalendarYear,3,3),1),"ddd")</f>
        <v>vi</v>
      </c>
      <c r="F7" s="23" t="str">
        <f>TEXT(WEEKDAY(DATE(CalendarYear,3,4),1),"ddd")</f>
        <v>sá</v>
      </c>
      <c r="G7" s="23" t="str">
        <f>TEXT(WEEKDAY(DATE(CalendarYear,3,5),1),"ddd")</f>
        <v>do</v>
      </c>
      <c r="H7" s="23" t="str">
        <f>TEXT(WEEKDAY(DATE(CalendarYear,3,6),1),"ddd")</f>
        <v>lu</v>
      </c>
      <c r="I7" s="23" t="str">
        <f>TEXT(WEEKDAY(DATE(CalendarYear,3,7),1),"ddd")</f>
        <v>ma</v>
      </c>
      <c r="J7" s="23" t="str">
        <f>TEXT(WEEKDAY(DATE(CalendarYear,3,8),1),"ddd")</f>
        <v>mi</v>
      </c>
      <c r="K7" s="23" t="str">
        <f>TEXT(WEEKDAY(DATE(CalendarYear,3,9),1),"ddd")</f>
        <v>ju</v>
      </c>
      <c r="L7" s="23" t="str">
        <f>TEXT(WEEKDAY(DATE(CalendarYear,3,10),1),"ddd")</f>
        <v>vi</v>
      </c>
      <c r="M7" s="23" t="str">
        <f>TEXT(WEEKDAY(DATE(CalendarYear,3,11),1),"ddd")</f>
        <v>sá</v>
      </c>
      <c r="N7" s="23" t="str">
        <f>TEXT(WEEKDAY(DATE(CalendarYear,3,12),1),"ddd")</f>
        <v>do</v>
      </c>
      <c r="O7" s="23" t="str">
        <f>TEXT(WEEKDAY(DATE(CalendarYear,3,13),1),"ddd")</f>
        <v>lu</v>
      </c>
      <c r="P7" s="23" t="str">
        <f>TEXT(WEEKDAY(DATE(CalendarYear,3,14),1),"ddd")</f>
        <v>ma</v>
      </c>
      <c r="Q7" s="23" t="str">
        <f>TEXT(WEEKDAY(DATE(CalendarYear,3,15),1),"ddd")</f>
        <v>mi</v>
      </c>
      <c r="R7" s="23" t="str">
        <f>TEXT(WEEKDAY(DATE(CalendarYear,3,16),1),"ddd")</f>
        <v>ju</v>
      </c>
      <c r="S7" s="23" t="str">
        <f>TEXT(WEEKDAY(DATE(CalendarYear,3,17),1),"ddd")</f>
        <v>vi</v>
      </c>
      <c r="T7" s="23" t="str">
        <f>TEXT(WEEKDAY(DATE(CalendarYear,3,18),1),"ddd")</f>
        <v>sá</v>
      </c>
      <c r="U7" s="23" t="str">
        <f>TEXT(WEEKDAY(DATE(CalendarYear,3,19),1),"ddd")</f>
        <v>do</v>
      </c>
      <c r="V7" s="23" t="str">
        <f>TEXT(WEEKDAY(DATE(CalendarYear,3,20),1),"ddd")</f>
        <v>lu</v>
      </c>
      <c r="W7" s="23" t="str">
        <f>TEXT(WEEKDAY(DATE(CalendarYear,3,21),1),"ddd")</f>
        <v>ma</v>
      </c>
      <c r="X7" s="23" t="str">
        <f>TEXT(WEEKDAY(DATE(CalendarYear,3,22),1),"ddd")</f>
        <v>mi</v>
      </c>
      <c r="Y7" s="23" t="str">
        <f>TEXT(WEEKDAY(DATE(CalendarYear,3,23),1),"ddd")</f>
        <v>ju</v>
      </c>
      <c r="Z7" s="23" t="str">
        <f>TEXT(WEEKDAY(DATE(CalendarYear,3,24),1),"ddd")</f>
        <v>vi</v>
      </c>
      <c r="AA7" s="23" t="str">
        <f>TEXT(WEEKDAY(DATE(CalendarYear,3,25),1),"ddd")</f>
        <v>sá</v>
      </c>
      <c r="AB7" s="23" t="str">
        <f>TEXT(WEEKDAY(DATE(CalendarYear,3,26),1),"ddd")</f>
        <v>do</v>
      </c>
      <c r="AC7" s="23" t="str">
        <f>TEXT(WEEKDAY(DATE(CalendarYear,3,27),1),"ddd")</f>
        <v>lu</v>
      </c>
      <c r="AD7" s="23" t="str">
        <f>TEXT(WEEKDAY(DATE(CalendarYear,3,28),1),"ddd")</f>
        <v>ma</v>
      </c>
      <c r="AE7" s="23" t="str">
        <f>TEXT(WEEKDAY(DATE(CalendarYear,3,29),1),"ddd")</f>
        <v>mi</v>
      </c>
      <c r="AF7" s="23" t="str">
        <f>TEXT(WEEKDAY(DATE(CalendarYear,3,30),1),"ddd")</f>
        <v>ju</v>
      </c>
      <c r="AG7" s="23" t="str">
        <f>TEXT(WEEKDAY(DATE(CalendarYear,3,31),1),"ddd")</f>
        <v>vi</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COUNTA(Marzo[[#This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COUNTA(Marzo[[#This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COUNTA(Marzo[[#This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COUNTA(Marzo[[#This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COUNTA(Marzo[[#This Row],[1]:[31]])</f>
        <v>0</v>
      </c>
    </row>
    <row r="14" spans="2:34" ht="30" customHeight="1">
      <c r="B14" s="5" t="str">
        <f>MonthName&amp;" Total"</f>
        <v>Marzo Total</v>
      </c>
      <c r="C14" s="4">
        <f>SUBTOTAL(103,Marzo[1])</f>
        <v>0</v>
      </c>
      <c r="D14" s="4">
        <f>SUBTOTAL(103,Marzo[2])</f>
        <v>0</v>
      </c>
      <c r="E14" s="4">
        <f>SUBTOTAL(103,Marzo[3])</f>
        <v>0</v>
      </c>
      <c r="F14" s="4">
        <f>SUBTOTAL(103,Marzo[4])</f>
        <v>0</v>
      </c>
      <c r="G14" s="4">
        <f>SUBTOTAL(103,Marzo[5])</f>
        <v>0</v>
      </c>
      <c r="H14" s="4">
        <f>SUBTOTAL(103,Marzo[6])</f>
        <v>0</v>
      </c>
      <c r="I14" s="4">
        <f>SUBTOTAL(103,Marzo[7])</f>
        <v>0</v>
      </c>
      <c r="J14" s="4">
        <f>SUBTOTAL(103,Marzo[8])</f>
        <v>0</v>
      </c>
      <c r="K14" s="4">
        <f>SUBTOTAL(103,Marzo[9])</f>
        <v>0</v>
      </c>
      <c r="L14" s="4">
        <f>SUBTOTAL(103,Marzo[10])</f>
        <v>0</v>
      </c>
      <c r="M14" s="4">
        <f>SUBTOTAL(103,Marzo[11])</f>
        <v>0</v>
      </c>
      <c r="N14" s="4">
        <f>SUBTOTAL(103,Marzo[12])</f>
        <v>0</v>
      </c>
      <c r="O14" s="4">
        <f>SUBTOTAL(103,Marzo[13])</f>
        <v>0</v>
      </c>
      <c r="P14" s="4">
        <f>SUBTOTAL(103,Marzo[14])</f>
        <v>0</v>
      </c>
      <c r="Q14" s="4">
        <f>SUBTOTAL(103,Marzo[15])</f>
        <v>0</v>
      </c>
      <c r="R14" s="4">
        <f>SUBTOTAL(103,Marzo[16])</f>
        <v>0</v>
      </c>
      <c r="S14" s="4">
        <f>SUBTOTAL(103,Marzo[17])</f>
        <v>0</v>
      </c>
      <c r="T14" s="4">
        <f>SUBTOTAL(103,Marzo[18])</f>
        <v>0</v>
      </c>
      <c r="U14" s="4">
        <f>SUBTOTAL(103,Marzo[19])</f>
        <v>0</v>
      </c>
      <c r="V14" s="4">
        <f>SUBTOTAL(103,Marzo[20])</f>
        <v>0</v>
      </c>
      <c r="W14" s="4">
        <f>SUBTOTAL(103,Marzo[21])</f>
        <v>0</v>
      </c>
      <c r="X14" s="4">
        <f>SUBTOTAL(103,Marzo[22])</f>
        <v>0</v>
      </c>
      <c r="Y14" s="4">
        <f>SUBTOTAL(103,Marzo[23])</f>
        <v>0</v>
      </c>
      <c r="Z14" s="4">
        <f>SUBTOTAL(103,Marzo[24])</f>
        <v>0</v>
      </c>
      <c r="AA14" s="4">
        <f>SUBTOTAL(103,Marzo[25])</f>
        <v>0</v>
      </c>
      <c r="AB14" s="4">
        <f>SUBTOTAL(103,Marzo[26])</f>
        <v>0</v>
      </c>
      <c r="AC14" s="4">
        <f>SUBTOTAL(103,Marzo[27])</f>
        <v>0</v>
      </c>
      <c r="AD14" s="4">
        <f>SUBTOTAL(103,Marzo[28])</f>
        <v>0</v>
      </c>
      <c r="AE14" s="4">
        <f>SUBTOTAL(103,Marzo[29])</f>
        <v>0</v>
      </c>
      <c r="AF14" s="4">
        <f>SUBTOTAL(109,Marzo[30])</f>
        <v>0</v>
      </c>
      <c r="AG14" s="4">
        <f>SUBTOTAL(109,Marzo[31])</f>
        <v>0</v>
      </c>
      <c r="AH14" s="4">
        <f>SUBTOTAL(109,Marzo[Total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49" priority="2" stopIfTrue="1">
      <formula>C9=KeyCustom2</formula>
    </cfRule>
    <cfRule type="expression" dxfId="48" priority="3" stopIfTrue="1">
      <formula>C9=KeyCustom1</formula>
    </cfRule>
    <cfRule type="expression" dxfId="47" priority="4" stopIfTrue="1">
      <formula>C9=KeySick</formula>
    </cfRule>
    <cfRule type="expression" dxfId="46" priority="5" stopIfTrue="1">
      <formula>C9=KeyPersonal</formula>
    </cfRule>
    <cfRule type="expression" dxfId="4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5">
    <dataValidation allowBlank="1" showInputMessage="1" showErrorMessage="1" prompt="Los días del mes se generan automáticamente en esta fila. Especifique la ausencia del empleado y el tipo en cada columna para cada día del mes. En blanco significa que no hay ninguna ausencia" sqref="C8" xr:uid="{00000000-0002-0000-0200-000000000000}"/>
    <dataValidation allowBlank="1" showInputMessage="1" showErrorMessage="1" prompt="Escriba una etiqueta para describir la clave personalizada de la izquierda." sqref="U4 P4" xr:uid="{E366FBFA-347E-8543-BF03-F13C8B9DCA49}"/>
    <dataValidation allowBlank="1" showInputMessage="1" showErrorMessage="1" prompt="Escriba una letra y personalice la etiqueta de la derecha para agregar otro elemento clave." sqref="O4 T4" xr:uid="{8C7F6C70-699C-2D4E-95B7-BEEF00444CC1}"/>
    <dataValidation allowBlank="1" showInputMessage="1" showErrorMessage="1" prompt="La letra “E” indica una ausencia por enfermedad" sqref="K4" xr:uid="{299D83F3-6B77-0849-9674-CBC3EF3148C0}"/>
    <dataValidation allowBlank="1" showInputMessage="1" showErrorMessage="1" prompt="La letra “P” indica una ausencia por motivos personales" sqref="G4" xr:uid="{D96709FA-C89E-174E-BD1B-910451DEBE05}"/>
    <dataValidation allowBlank="1" showInputMessage="1" showErrorMessage="1" prompt="La letra “V” indica una ausencia por vacaciones" sqref="C4" xr:uid="{29AC19CC-7211-AC4C-934C-F8A72FBB8569}"/>
    <dataValidation allowBlank="1" showInputMessage="1" showErrorMessage="1" prompt="El título se actualiza automáticamente en esta celda. Para modificarlo, actualice la celda B1 en la hoja de cálculo de enero" sqref="B2" xr:uid="{00000000-0002-0000-0200-000009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E46101B5-4A18-414B-9169-B2F7AB28F054}"/>
    <dataValidation allowBlank="1" showInputMessage="1" showErrorMessage="1" prompt="Realice un seguimiento de las ausencias de marzo en esta hoja de cálculo." sqref="A1" xr:uid="{00000000-0002-0000-0200-00000B000000}"/>
    <dataValidation allowBlank="1" showInputMessage="1" showErrorMessage="1" prompt="Cálculo automático del número total de días que un empleado ha estado ausente este mes en esta columna" sqref="AH8" xr:uid="{70BD9EEE-E1FD-D147-919D-901970D7AADE}"/>
    <dataValidation allowBlank="1" showInputMessage="1" showErrorMessage="1" prompt="Año actualizado automáticamente en función del año introducido en la hoja de cálculo de enero" sqref="AH6" xr:uid="{A06F72EE-346E-CD4A-B706-B1500A526D8A}"/>
    <dataValidation allowBlank="1" showInputMessage="1" showErrorMessage="1" prompt="Los días laborables en esta fila se actualizan automáticamente durante el mes según el año en AH4. Cada día del mes es una columna para indicar la ausencia del empleado y el tipo de ausencia" sqref="C7" xr:uid="{02C7B989-E77F-4A4F-82FD-F03860560B2B}"/>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200-000002000000}"/>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9A98B74B-4764-403E-92AD-9C10299A10A6}"/>
    <dataValidation allowBlank="1" showInputMessage="1" showErrorMessage="1" prompt="Esta celda contiene el título de la hoja de cálculo. " sqref="B1" xr:uid="{40DFEC58-0648-4944-BD5A-E9153E7FE7CF}"/>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'Nombres de los empleados'!$B$4:$B$8</xm:f>
          </x14:formula1>
          <xm:sqref>B9:B13</xm:sqref>
        </x14:dataValidation>
      </x14:dataValidations>
    </ext>
  </extLst>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28" t="s">
        <v>54</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TEXT(WEEKDAY(DATE(CalendarYear,4,1),1),"ddd")</f>
        <v>sá</v>
      </c>
      <c r="D7" s="23" t="str">
        <f>TEXT(WEEKDAY(DATE(CalendarYear,4,2),1),"ddd")</f>
        <v>do</v>
      </c>
      <c r="E7" s="23" t="str">
        <f>TEXT(WEEKDAY(DATE(CalendarYear,4,3),1),"ddd")</f>
        <v>lu</v>
      </c>
      <c r="F7" s="23" t="str">
        <f>TEXT(WEEKDAY(DATE(CalendarYear,4,4),1),"ddd")</f>
        <v>ma</v>
      </c>
      <c r="G7" s="23" t="str">
        <f>TEXT(WEEKDAY(DATE(CalendarYear,4,5),1),"ddd")</f>
        <v>mi</v>
      </c>
      <c r="H7" s="23" t="str">
        <f>TEXT(WEEKDAY(DATE(CalendarYear,4,6),1),"ddd")</f>
        <v>ju</v>
      </c>
      <c r="I7" s="23" t="str">
        <f>TEXT(WEEKDAY(DATE(CalendarYear,4,7),1),"ddd")</f>
        <v>vi</v>
      </c>
      <c r="J7" s="23" t="str">
        <f>TEXT(WEEKDAY(DATE(CalendarYear,4,8),1),"ddd")</f>
        <v>sá</v>
      </c>
      <c r="K7" s="23" t="str">
        <f>TEXT(WEEKDAY(DATE(CalendarYear,4,9),1),"ddd")</f>
        <v>do</v>
      </c>
      <c r="L7" s="23" t="str">
        <f>TEXT(WEEKDAY(DATE(CalendarYear,4,10),1),"ddd")</f>
        <v>lu</v>
      </c>
      <c r="M7" s="23" t="str">
        <f>TEXT(WEEKDAY(DATE(CalendarYear,4,11),1),"ddd")</f>
        <v>ma</v>
      </c>
      <c r="N7" s="23" t="str">
        <f>TEXT(WEEKDAY(DATE(CalendarYear,4,12),1),"ddd")</f>
        <v>mi</v>
      </c>
      <c r="O7" s="23" t="str">
        <f>TEXT(WEEKDAY(DATE(CalendarYear,4,13),1),"ddd")</f>
        <v>ju</v>
      </c>
      <c r="P7" s="23" t="str">
        <f>TEXT(WEEKDAY(DATE(CalendarYear,4,14),1),"ddd")</f>
        <v>vi</v>
      </c>
      <c r="Q7" s="23" t="str">
        <f>TEXT(WEEKDAY(DATE(CalendarYear,4,15),1),"ddd")</f>
        <v>sá</v>
      </c>
      <c r="R7" s="23" t="str">
        <f>TEXT(WEEKDAY(DATE(CalendarYear,4,16),1),"ddd")</f>
        <v>do</v>
      </c>
      <c r="S7" s="23" t="str">
        <f>TEXT(WEEKDAY(DATE(CalendarYear,4,17),1),"ddd")</f>
        <v>lu</v>
      </c>
      <c r="T7" s="23" t="str">
        <f>TEXT(WEEKDAY(DATE(CalendarYear,4,18),1),"ddd")</f>
        <v>ma</v>
      </c>
      <c r="U7" s="23" t="str">
        <f>TEXT(WEEKDAY(DATE(CalendarYear,4,19),1),"ddd")</f>
        <v>mi</v>
      </c>
      <c r="V7" s="23" t="str">
        <f>TEXT(WEEKDAY(DATE(CalendarYear,4,20),1),"ddd")</f>
        <v>ju</v>
      </c>
      <c r="W7" s="23" t="str">
        <f>TEXT(WEEKDAY(DATE(CalendarYear,4,21),1),"ddd")</f>
        <v>vi</v>
      </c>
      <c r="X7" s="23" t="str">
        <f>TEXT(WEEKDAY(DATE(CalendarYear,4,22),1),"ddd")</f>
        <v>sá</v>
      </c>
      <c r="Y7" s="23" t="str">
        <f>TEXT(WEEKDAY(DATE(CalendarYear,4,23),1),"ddd")</f>
        <v>do</v>
      </c>
      <c r="Z7" s="23" t="str">
        <f>TEXT(WEEKDAY(DATE(CalendarYear,4,24),1),"ddd")</f>
        <v>lu</v>
      </c>
      <c r="AA7" s="23" t="str">
        <f>TEXT(WEEKDAY(DATE(CalendarYear,4,25),1),"ddd")</f>
        <v>ma</v>
      </c>
      <c r="AB7" s="23" t="str">
        <f>TEXT(WEEKDAY(DATE(CalendarYear,4,26),1),"ddd")</f>
        <v>mi</v>
      </c>
      <c r="AC7" s="23" t="str">
        <f>TEXT(WEEKDAY(DATE(CalendarYear,4,27),1),"ddd")</f>
        <v>ju</v>
      </c>
      <c r="AD7" s="23" t="str">
        <f>TEXT(WEEKDAY(DATE(CalendarYear,4,28),1),"ddd")</f>
        <v>vi</v>
      </c>
      <c r="AE7" s="23" t="str">
        <f>TEXT(WEEKDAY(DATE(CalendarYear,4,29),1),"ddd")</f>
        <v>sá</v>
      </c>
      <c r="AF7" s="23" t="str">
        <f>TEXT(WEEKDAY(DATE(CalendarYear,4,30),1),"ddd")</f>
        <v>do</v>
      </c>
      <c r="AG7" s="23"/>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51</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COUNTA(March5[[#This Row],[1]:[ ]])</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COUNTA(March5[[#This Row],[1]:[ ]])</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COUNTA(March5[[#This Row],[1]:[ ]])</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COUNTA(March5[[#This Row],[1]:[ ]])</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COUNTA(March5[[#This Row],[1]:[ ]])</f>
        <v>0</v>
      </c>
    </row>
    <row r="14" spans="2:34" ht="30" customHeight="1">
      <c r="B14" s="5" t="str">
        <f>MonthName&amp;" Total"</f>
        <v>Abril Total</v>
      </c>
      <c r="C14" s="4">
        <f>SUBTOTAL(103,March5[1])</f>
        <v>0</v>
      </c>
      <c r="D14" s="4">
        <f>SUBTOTAL(103,March5[2])</f>
        <v>0</v>
      </c>
      <c r="E14" s="4">
        <f>SUBTOTAL(103,March5[3])</f>
        <v>0</v>
      </c>
      <c r="F14" s="4">
        <f>SUBTOTAL(103,March5[4])</f>
        <v>0</v>
      </c>
      <c r="G14" s="4">
        <f>SUBTOTAL(103,March5[5])</f>
        <v>0</v>
      </c>
      <c r="H14" s="4">
        <f>SUBTOTAL(103,March5[6])</f>
        <v>0</v>
      </c>
      <c r="I14" s="4">
        <f>SUBTOTAL(103,March5[7])</f>
        <v>0</v>
      </c>
      <c r="J14" s="4">
        <f>SUBTOTAL(103,March5[8])</f>
        <v>0</v>
      </c>
      <c r="K14" s="4">
        <f>SUBTOTAL(103,March5[9])</f>
        <v>0</v>
      </c>
      <c r="L14" s="4">
        <f>SUBTOTAL(103,March5[10])</f>
        <v>0</v>
      </c>
      <c r="M14" s="4">
        <f>SUBTOTAL(103,March5[11])</f>
        <v>0</v>
      </c>
      <c r="N14" s="4">
        <f>SUBTOTAL(103,March5[12])</f>
        <v>0</v>
      </c>
      <c r="O14" s="4">
        <f>SUBTOTAL(103,March5[13])</f>
        <v>0</v>
      </c>
      <c r="P14" s="4">
        <f>SUBTOTAL(103,March5[14])</f>
        <v>0</v>
      </c>
      <c r="Q14" s="4">
        <f>SUBTOTAL(103,March5[15])</f>
        <v>0</v>
      </c>
      <c r="R14" s="4">
        <f>SUBTOTAL(103,March5[16])</f>
        <v>0</v>
      </c>
      <c r="S14" s="4">
        <f>SUBTOTAL(103,March5[17])</f>
        <v>0</v>
      </c>
      <c r="T14" s="4">
        <f>SUBTOTAL(103,March5[18])</f>
        <v>0</v>
      </c>
      <c r="U14" s="4">
        <f>SUBTOTAL(103,March5[19])</f>
        <v>0</v>
      </c>
      <c r="V14" s="4">
        <f>SUBTOTAL(103,March5[20])</f>
        <v>0</v>
      </c>
      <c r="W14" s="4">
        <f>SUBTOTAL(103,March5[21])</f>
        <v>0</v>
      </c>
      <c r="X14" s="4">
        <f>SUBTOTAL(103,March5[22])</f>
        <v>0</v>
      </c>
      <c r="Y14" s="4">
        <f>SUBTOTAL(103,March5[23])</f>
        <v>0</v>
      </c>
      <c r="Z14" s="4">
        <f>SUBTOTAL(103,March5[24])</f>
        <v>0</v>
      </c>
      <c r="AA14" s="4">
        <f>SUBTOTAL(103,March5[25])</f>
        <v>0</v>
      </c>
      <c r="AB14" s="4">
        <f>SUBTOTAL(103,March5[26])</f>
        <v>0</v>
      </c>
      <c r="AC14" s="4">
        <f>SUBTOTAL(103,March5[27])</f>
        <v>0</v>
      </c>
      <c r="AD14" s="4">
        <f>SUBTOTAL(103,March5[28])</f>
        <v>0</v>
      </c>
      <c r="AE14" s="4">
        <f>SUBTOTAL(103,March5[29])</f>
        <v>0</v>
      </c>
      <c r="AF14" s="4">
        <f>SUBTOTAL(109,March5[30])</f>
        <v>0</v>
      </c>
      <c r="AG14" s="4">
        <f>SUBTOTAL(109,March5[[ ]])</f>
        <v>0</v>
      </c>
      <c r="AH14" s="4">
        <f>SUBTOTAL(109,March5[Total de días])</f>
        <v>0</v>
      </c>
    </row>
  </sheetData>
  <mergeCells count="6">
    <mergeCell ref="C6:AG6"/>
    <mergeCell ref="D4:F4"/>
    <mergeCell ref="H4:J4"/>
    <mergeCell ref="L4:N4"/>
    <mergeCell ref="P4:S4"/>
    <mergeCell ref="U4:X4"/>
  </mergeCells>
  <phoneticPr fontId="7" type="noConversion"/>
  <conditionalFormatting sqref="C9:AG13">
    <cfRule type="expression" priority="1" stopIfTrue="1">
      <formula>C9=""</formula>
    </cfRule>
    <cfRule type="expression" dxfId="44" priority="2" stopIfTrue="1">
      <formula>C9=KeyCustom2</formula>
    </cfRule>
    <cfRule type="expression" dxfId="43" priority="3" stopIfTrue="1">
      <formula>C9=KeyCustom1</formula>
    </cfRule>
    <cfRule type="expression" dxfId="42" priority="4" stopIfTrue="1">
      <formula>C9=KeySick</formula>
    </cfRule>
    <cfRule type="expression" dxfId="41" priority="5" stopIfTrue="1">
      <formula>C9=KeyPersonal</formula>
    </cfRule>
    <cfRule type="expression" dxfId="4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{C6C51CE4-E5A5-6548-B677-75BFC57A1AE7}</x14:id>
        </ext>
      </extLst>
    </cfRule>
  </conditionalFormatting>
  <dataValidations count="15">
    <dataValidation allowBlank="1" showInputMessage="1" showErrorMessage="1" prompt="Año actualizado de forma automática en función del año introducido en la hoja de cálculo de enero" sqref="AH6" xr:uid="{D534D450-4040-4C4B-ACFB-E0820ABC2CFC}"/>
    <dataValidation allowBlank="1" showInputMessage="1" showErrorMessage="1" prompt="Calcula automáticamente el número total de días que un empleado estuvo ausente este mes en esta columna" sqref="AH8" xr:uid="{DC341019-F88D-494A-80A9-FE7E975A2861}"/>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F36BC021-F71B-E743-A612-BDD36FE48F9B}"/>
    <dataValidation allowBlank="1" showInputMessage="1" showErrorMessage="1" prompt="El título se actualiza automáticamente en esta celda. Para modificarlo, actualice la celda B1 en la hoja de cálculo de enero" sqref="B2" xr:uid="{FC807180-F3E3-414D-9702-8FBC5210B550}"/>
    <dataValidation allowBlank="1" showInputMessage="1" showErrorMessage="1" prompt="La letra “V” indica una ausencia por vacaciones" sqref="C4" xr:uid="{9CBE34E6-0511-5048-AE20-9F897B187012}"/>
    <dataValidation allowBlank="1" showInputMessage="1" showErrorMessage="1" prompt="La letra “P” indica una ausencia por motivos personales" sqref="G4" xr:uid="{5419C718-C3A6-674F-AF48-3D453E137C51}"/>
    <dataValidation allowBlank="1" showInputMessage="1" showErrorMessage="1" prompt="La letra “E” indica una ausencia por enfermedad" sqref="K4" xr:uid="{18D615F6-AC13-3C41-A34B-EA42A09C3C9E}"/>
    <dataValidation allowBlank="1" showInputMessage="1" showErrorMessage="1" prompt="Escriba una letra y personalice la etiqueta de la derecha para agregar otro elemento clave." sqref="O4 T4" xr:uid="{D6CD6DEA-0056-CD45-92F4-DEFAAA621621}"/>
    <dataValidation allowBlank="1" showInputMessage="1" showErrorMessage="1" prompt="Escriba una etiqueta para describir la clave personalizada de la izquierda." sqref="U4 P4" xr:uid="{3D377D6E-BC27-654F-9B85-1EA9759F1F9B}"/>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8A4BB08A-5DC1-A74C-9332-E844D960CD41}"/>
    <dataValidation allowBlank="1" showInputMessage="1" showErrorMessage="1" prompt="Los días del mes se generan automáticamente en esta fila. Especifique la ausencia del empleado y el tipo en cada columna para cada día del mes. En blanco significa que no hay ninguna ausencia" sqref="C8" xr:uid="{D8726BCE-956C-3B41-916D-0B0F98B156A4}"/>
    <dataValidation allowBlank="1" showInputMessage="1" showErrorMessage="1" prompt="Los días laborables en esta fila se actualizan automáticamente durante el mes según el año en AH4. Cada día del mes es una columna para indicar la ausencia del empleado y el tipo de ausencia" sqref="C7" xr:uid="{492FF65C-4A5C-D048-AC41-58954D7E6423}"/>
    <dataValidation allowBlank="1" showInputMessage="1" showErrorMessage="1" prompt="Realice un seguimiento de las ausencias de marzo en esta hoja de cálculo." sqref="A1" xr:uid="{9C29030B-C671-584C-88AB-6E5DAA9E8710}"/>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5938E394-FC66-4AD8-81BE-3B6CE81FAFA6}"/>
    <dataValidation allowBlank="1" showInputMessage="1" showErrorMessage="1" prompt="Esta celda contiene el título de la hoja de cálculo. " sqref="B1" xr:uid="{CFDFBA1E-67F5-48E1-9539-54C88919AFDF}"/>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6C51CE4-E5A5-6548-B677-75BFC57A1AE7}">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A0626E6-C18A-DC42-8971-E3030B4FEB3F}">
          <x14:formula1>
            <xm:f>'Nombres de los empleados'!$B$4:$B$8</xm:f>
          </x14:formula1>
          <xm:sqref>B9:B13</xm:sqref>
        </x14:dataValidation>
      </x14:dataValidations>
    </ext>
  </extLst>
</worksheet>
</file>

<file path=xl/worksheets/sheet5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28" t="s">
        <v>55</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TEXT(WEEKDAY(DATE(CalendarYear,5,1),1),"ddd")</f>
        <v>lu</v>
      </c>
      <c r="D7" s="23" t="str">
        <f>TEXT(WEEKDAY(DATE(CalendarYear,5,2),1),"ddd")</f>
        <v>ma</v>
      </c>
      <c r="E7" s="23" t="str">
        <f>TEXT(WEEKDAY(DATE(CalendarYear,5,3),1),"ddd")</f>
        <v>mi</v>
      </c>
      <c r="F7" s="23" t="str">
        <f>TEXT(WEEKDAY(DATE(CalendarYear,5,4),1),"ddd")</f>
        <v>ju</v>
      </c>
      <c r="G7" s="23" t="str">
        <f>TEXT(WEEKDAY(DATE(CalendarYear,5,5),1),"ddd")</f>
        <v>vi</v>
      </c>
      <c r="H7" s="23" t="str">
        <f>TEXT(WEEKDAY(DATE(CalendarYear,5,6),1),"ddd")</f>
        <v>sá</v>
      </c>
      <c r="I7" s="23" t="str">
        <f>TEXT(WEEKDAY(DATE(CalendarYear,5,7),1),"ddd")</f>
        <v>do</v>
      </c>
      <c r="J7" s="23" t="str">
        <f>TEXT(WEEKDAY(DATE(CalendarYear,5,8),1),"ddd")</f>
        <v>lu</v>
      </c>
      <c r="K7" s="23" t="str">
        <f>TEXT(WEEKDAY(DATE(CalendarYear,5,9),1),"ddd")</f>
        <v>ma</v>
      </c>
      <c r="L7" s="23" t="str">
        <f>TEXT(WEEKDAY(DATE(CalendarYear,5,10),1),"ddd")</f>
        <v>mi</v>
      </c>
      <c r="M7" s="23" t="str">
        <f>TEXT(WEEKDAY(DATE(CalendarYear,5,11),1),"ddd")</f>
        <v>ju</v>
      </c>
      <c r="N7" s="23" t="str">
        <f>TEXT(WEEKDAY(DATE(CalendarYear,5,12),1),"ddd")</f>
        <v>vi</v>
      </c>
      <c r="O7" s="23" t="str">
        <f>TEXT(WEEKDAY(DATE(CalendarYear,5,13),1),"ddd")</f>
        <v>sá</v>
      </c>
      <c r="P7" s="23" t="str">
        <f>TEXT(WEEKDAY(DATE(CalendarYear,5,14),1),"ddd")</f>
        <v>do</v>
      </c>
      <c r="Q7" s="23" t="str">
        <f>TEXT(WEEKDAY(DATE(CalendarYear,5,15),1),"ddd")</f>
        <v>lu</v>
      </c>
      <c r="R7" s="23" t="str">
        <f>TEXT(WEEKDAY(DATE(CalendarYear,5,16),1),"ddd")</f>
        <v>ma</v>
      </c>
      <c r="S7" s="23" t="str">
        <f>TEXT(WEEKDAY(DATE(CalendarYear,5,17),1),"ddd")</f>
        <v>mi</v>
      </c>
      <c r="T7" s="23" t="str">
        <f>TEXT(WEEKDAY(DATE(CalendarYear,5,18),1),"ddd")</f>
        <v>ju</v>
      </c>
      <c r="U7" s="23" t="str">
        <f>TEXT(WEEKDAY(DATE(CalendarYear,5,19),1),"ddd")</f>
        <v>vi</v>
      </c>
      <c r="V7" s="23" t="str">
        <f>TEXT(WEEKDAY(DATE(CalendarYear,5,20),1),"ddd")</f>
        <v>sá</v>
      </c>
      <c r="W7" s="23" t="str">
        <f>TEXT(WEEKDAY(DATE(CalendarYear,5,21),1),"ddd")</f>
        <v>do</v>
      </c>
      <c r="X7" s="23" t="str">
        <f>TEXT(WEEKDAY(DATE(CalendarYear,5,22),1),"ddd")</f>
        <v>lu</v>
      </c>
      <c r="Y7" s="23" t="str">
        <f>TEXT(WEEKDAY(DATE(CalendarYear,5,23),1),"ddd")</f>
        <v>ma</v>
      </c>
      <c r="Z7" s="23" t="str">
        <f>TEXT(WEEKDAY(DATE(CalendarYear,5,24),1),"ddd")</f>
        <v>mi</v>
      </c>
      <c r="AA7" s="23" t="str">
        <f>TEXT(WEEKDAY(DATE(CalendarYear,5,25),1),"ddd")</f>
        <v>ju</v>
      </c>
      <c r="AB7" s="23" t="str">
        <f>TEXT(WEEKDAY(DATE(CalendarYear,5,26),1),"ddd")</f>
        <v>vi</v>
      </c>
      <c r="AC7" s="23" t="str">
        <f>TEXT(WEEKDAY(DATE(CalendarYear,5,27),1),"ddd")</f>
        <v>sá</v>
      </c>
      <c r="AD7" s="23" t="str">
        <f>TEXT(WEEKDAY(DATE(CalendarYear,5,28),1),"ddd")</f>
        <v>do</v>
      </c>
      <c r="AE7" s="23" t="str">
        <f>TEXT(WEEKDAY(DATE(CalendarYear,5,29),1),"ddd")</f>
        <v>lu</v>
      </c>
      <c r="AF7" s="23" t="str">
        <f>TEXT(WEEKDAY(DATE(CalendarYear,5,30),1),"ddd")</f>
        <v>ma</v>
      </c>
      <c r="AG7" s="23" t="str">
        <f>TEXT(WEEKDAY(DATE(CalendarYear,5,31),1),"ddd")</f>
        <v>mi</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COUNTA(March58[[#This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COUNTA(March58[[#This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COUNTA(March58[[#This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COUNTA(March58[[#This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COUNTA(March58[[#This Row],[1]:[31]])</f>
        <v>0</v>
      </c>
    </row>
    <row r="14" spans="2:34" ht="30" customHeight="1">
      <c r="B14" s="5" t="str">
        <f>MonthName&amp;" Total"</f>
        <v>Claves de los tipos de ausencia Total</v>
      </c>
      <c r="C14" s="4">
        <f>SUBTOTAL(103,March58[1])</f>
        <v>0</v>
      </c>
      <c r="D14" s="4">
        <f>SUBTOTAL(103,March58[2])</f>
        <v>0</v>
      </c>
      <c r="E14" s="4">
        <f>SUBTOTAL(103,March58[3])</f>
        <v>0</v>
      </c>
      <c r="F14" s="4">
        <f>SUBTOTAL(103,March58[4])</f>
        <v>0</v>
      </c>
      <c r="G14" s="4">
        <f>SUBTOTAL(103,March58[5])</f>
        <v>0</v>
      </c>
      <c r="H14" s="4">
        <f>SUBTOTAL(103,March58[6])</f>
        <v>0</v>
      </c>
      <c r="I14" s="4">
        <f>SUBTOTAL(103,March58[7])</f>
        <v>0</v>
      </c>
      <c r="J14" s="4">
        <f>SUBTOTAL(103,March58[8])</f>
        <v>0</v>
      </c>
      <c r="K14" s="4">
        <f>SUBTOTAL(103,March58[9])</f>
        <v>0</v>
      </c>
      <c r="L14" s="4">
        <f>SUBTOTAL(103,March58[10])</f>
        <v>0</v>
      </c>
      <c r="M14" s="4">
        <f>SUBTOTAL(103,March58[11])</f>
        <v>0</v>
      </c>
      <c r="N14" s="4">
        <f>SUBTOTAL(103,March58[12])</f>
        <v>0</v>
      </c>
      <c r="O14" s="4">
        <f>SUBTOTAL(103,March58[13])</f>
        <v>0</v>
      </c>
      <c r="P14" s="4">
        <f>SUBTOTAL(103,March58[14])</f>
        <v>0</v>
      </c>
      <c r="Q14" s="4">
        <f>SUBTOTAL(103,March58[15])</f>
        <v>0</v>
      </c>
      <c r="R14" s="4">
        <f>SUBTOTAL(103,March58[16])</f>
        <v>0</v>
      </c>
      <c r="S14" s="4">
        <f>SUBTOTAL(103,March58[17])</f>
        <v>0</v>
      </c>
      <c r="T14" s="4">
        <f>SUBTOTAL(103,March58[18])</f>
        <v>0</v>
      </c>
      <c r="U14" s="4">
        <f>SUBTOTAL(103,March58[19])</f>
        <v>0</v>
      </c>
      <c r="V14" s="4">
        <f>SUBTOTAL(103,March58[20])</f>
        <v>0</v>
      </c>
      <c r="W14" s="4">
        <f>SUBTOTAL(103,March58[21])</f>
        <v>0</v>
      </c>
      <c r="X14" s="4">
        <f>SUBTOTAL(103,March58[22])</f>
        <v>0</v>
      </c>
      <c r="Y14" s="4">
        <f>SUBTOTAL(103,March58[23])</f>
        <v>0</v>
      </c>
      <c r="Z14" s="4">
        <f>SUBTOTAL(103,March58[24])</f>
        <v>0</v>
      </c>
      <c r="AA14" s="4">
        <f>SUBTOTAL(103,March58[25])</f>
        <v>0</v>
      </c>
      <c r="AB14" s="4">
        <f>SUBTOTAL(103,March58[26])</f>
        <v>0</v>
      </c>
      <c r="AC14" s="4">
        <f>SUBTOTAL(103,March58[27])</f>
        <v>0</v>
      </c>
      <c r="AD14" s="4">
        <f>SUBTOTAL(103,March58[28])</f>
        <v>0</v>
      </c>
      <c r="AE14" s="4">
        <f>SUBTOTAL(103,March58[29])</f>
        <v>0</v>
      </c>
      <c r="AF14" s="4">
        <f>SUBTOTAL(109,March58[30])</f>
        <v>0</v>
      </c>
      <c r="AG14" s="4">
        <f>SUBTOTAL(109,March58[31])</f>
        <v>0</v>
      </c>
      <c r="AH14" s="4">
        <f>SUBTOTAL(109,March58[Total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39" priority="2" stopIfTrue="1">
      <formula>C9=KeyCustom2</formula>
    </cfRule>
    <cfRule type="expression" dxfId="38" priority="3" stopIfTrue="1">
      <formula>C9=KeyCustom1</formula>
    </cfRule>
    <cfRule type="expression" dxfId="37" priority="4" stopIfTrue="1">
      <formula>C9=KeySick</formula>
    </cfRule>
    <cfRule type="expression" dxfId="36" priority="5" stopIfTrue="1">
      <formula>C9=KeyPersonal</formula>
    </cfRule>
    <cfRule type="expression" dxfId="3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{A375B1A4-CE4E-6D4B-BAE6-14354F30C96E}</x14:id>
        </ext>
      </extLst>
    </cfRule>
  </conditionalFormatting>
  <dataValidations count="15">
    <dataValidation allowBlank="1" showInputMessage="1" showErrorMessage="1" prompt="Los días del mes se generan automáticamente en esta fila. Especifique la ausencia del empleado y el tipo en cada columna para cada día del mes. En blanco significa que no hay ninguna ausencia" sqref="C8" xr:uid="{335D4725-041B-2E47-BBA9-5D657DA932CD}"/>
    <dataValidation allowBlank="1" showInputMessage="1" showErrorMessage="1" prompt="Escriba una etiqueta para describir la clave personalizada de la izquierda." sqref="U4 P4" xr:uid="{F2F4B9BA-4CA6-A143-BE13-C064DBB63530}"/>
    <dataValidation allowBlank="1" showInputMessage="1" showErrorMessage="1" prompt="Escriba una letra y personalice la etiqueta de la derecha para agregar otro elemento clave." sqref="O4 T4" xr:uid="{CF766EB9-3E0D-684E-A12B-CB8F4BAD775E}"/>
    <dataValidation allowBlank="1" showInputMessage="1" showErrorMessage="1" prompt="La letra “E” indica una ausencia por enfermedad" sqref="K4" xr:uid="{3537E7A5-9E96-464A-B5FE-F2820F66FFBD}"/>
    <dataValidation allowBlank="1" showInputMessage="1" showErrorMessage="1" prompt="La letra “P” indica una ausencia por motivos personales" sqref="G4" xr:uid="{6ADF4CD3-D63B-E545-894D-A95EAB7AA9C6}"/>
    <dataValidation allowBlank="1" showInputMessage="1" showErrorMessage="1" prompt="La letra “V” indica una ausencia por vacaciones" sqref="C4" xr:uid="{71A4EE94-BDAB-1543-9622-ADA5E60EF442}"/>
    <dataValidation allowBlank="1" showInputMessage="1" showErrorMessage="1" prompt="El título se actualiza automáticamente en esta celda. Para modificarlo, actualice la celda B1 en la hoja de cálculo de enero" sqref="B2" xr:uid="{AF65042B-CFA9-EE45-B22D-BF607EFD23A2}"/>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5151223E-F15A-CC42-BB59-D2CDBDCF3261}"/>
    <dataValidation allowBlank="1" showInputMessage="1" showErrorMessage="1" prompt="Calcula automáticamente el número total de días que un empleado estuvo ausente este mes en esta columna" sqref="AH8" xr:uid="{AA6AB7B7-5D91-F64F-B211-A848209375D2}"/>
    <dataValidation allowBlank="1" showInputMessage="1" showErrorMessage="1" prompt="Año actualizado automáticamente en función del año introducido en la hoja de cálculo de enero" sqref="AH6" xr:uid="{B487DEDD-C1B1-7244-96C6-F378FEF21F51}"/>
    <dataValidation allowBlank="1" showInputMessage="1" showErrorMessage="1" prompt="Los días laborables en esta fila se actualizan automáticamente durante el mes según el año en AH4. Cada día del mes es una columna para indicar la ausencia del empleado y el tipo de ausencia" sqref="C7" xr:uid="{01F3DA31-27D6-FF4D-B48B-4013BF344DCF}"/>
    <dataValidation allowBlank="1" showInputMessage="1" showErrorMessage="1" prompt="Realice un seguimiento de las ausencias de marzo en esta hoja de cálculo." sqref="A1" xr:uid="{13CF1C37-090E-F24B-AF68-CAE6199B19CC}"/>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B5AA8D04-FE35-8C4F-90FD-347160FC6301}"/>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E5AF47AE-EACF-4382-8995-97EA4D653F4A}"/>
    <dataValidation allowBlank="1" showInputMessage="1" showErrorMessage="1" prompt="Esta celda contiene el título de la hoja de cálculo. " sqref="B1" xr:uid="{4F7FEADB-B66E-49E8-AD11-DB789AA552A4}"/>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375B1A4-CE4E-6D4B-BAE6-14354F30C96E}">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1B1DACF-B091-8040-A452-F5B0F1F6A6F7}">
          <x14:formula1>
            <xm:f>'Nombres de los empleados'!$B$4:$B$8</xm:f>
          </x14:formula1>
          <xm:sqref>B9:B13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50.1" customHeight="1">
      <c r="B1" s="26" t="s">
        <v>0</v>
      </c>
    </row>
    <row r="2" spans="2:34" ht="100.15" customHeight="1">
      <c r="B2" s="33" t="s">
        <v>56</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TEXT(WEEKDAY(DATE(CalendarYear,6,1),1),"ddd")</f>
        <v>ju</v>
      </c>
      <c r="D7" s="23" t="str">
        <f>TEXT(WEEKDAY(DATE(CalendarYear,6,2),1),"ddd")</f>
        <v>vi</v>
      </c>
      <c r="E7" s="23" t="str">
        <f>TEXT(WEEKDAY(DATE(CalendarYear,6,3),1),"ddd")</f>
        <v>sá</v>
      </c>
      <c r="F7" s="23" t="str">
        <f>TEXT(WEEKDAY(DATE(CalendarYear,6,4),1),"ddd")</f>
        <v>do</v>
      </c>
      <c r="G7" s="23" t="str">
        <f>TEXT(WEEKDAY(DATE(CalendarYear,6,5),1),"ddd")</f>
        <v>lu</v>
      </c>
      <c r="H7" s="23" t="str">
        <f>TEXT(WEEKDAY(DATE(CalendarYear,6,6),1),"ddd")</f>
        <v>ma</v>
      </c>
      <c r="I7" s="23" t="str">
        <f>TEXT(WEEKDAY(DATE(CalendarYear,6,7),1),"ddd")</f>
        <v>mi</v>
      </c>
      <c r="J7" s="23" t="str">
        <f>TEXT(WEEKDAY(DATE(CalendarYear,6,8),1),"ddd")</f>
        <v>ju</v>
      </c>
      <c r="K7" s="23" t="str">
        <f>TEXT(WEEKDAY(DATE(CalendarYear,6,9),1),"ddd")</f>
        <v>vi</v>
      </c>
      <c r="L7" s="23" t="str">
        <f>TEXT(WEEKDAY(DATE(CalendarYear,6,10),1),"ddd")</f>
        <v>sá</v>
      </c>
      <c r="M7" s="23" t="str">
        <f>TEXT(WEEKDAY(DATE(CalendarYear,6,11),1),"ddd")</f>
        <v>do</v>
      </c>
      <c r="N7" s="23" t="str">
        <f>TEXT(WEEKDAY(DATE(CalendarYear,6,12),1),"ddd")</f>
        <v>lu</v>
      </c>
      <c r="O7" s="23" t="str">
        <f>TEXT(WEEKDAY(DATE(CalendarYear,6,13),1),"ddd")</f>
        <v>ma</v>
      </c>
      <c r="P7" s="23" t="str">
        <f>TEXT(WEEKDAY(DATE(CalendarYear,6,14),1),"ddd")</f>
        <v>mi</v>
      </c>
      <c r="Q7" s="23" t="str">
        <f>TEXT(WEEKDAY(DATE(CalendarYear,6,15),1),"ddd")</f>
        <v>ju</v>
      </c>
      <c r="R7" s="23" t="str">
        <f>TEXT(WEEKDAY(DATE(CalendarYear,6,16),1),"ddd")</f>
        <v>vi</v>
      </c>
      <c r="S7" s="23" t="str">
        <f>TEXT(WEEKDAY(DATE(CalendarYear,6,17),1),"ddd")</f>
        <v>sá</v>
      </c>
      <c r="T7" s="23" t="str">
        <f>TEXT(WEEKDAY(DATE(CalendarYear,6,18),1),"ddd")</f>
        <v>do</v>
      </c>
      <c r="U7" s="23" t="str">
        <f>TEXT(WEEKDAY(DATE(CalendarYear,6,19),1),"ddd")</f>
        <v>lu</v>
      </c>
      <c r="V7" s="23" t="str">
        <f>TEXT(WEEKDAY(DATE(CalendarYear,6,20),1),"ddd")</f>
        <v>ma</v>
      </c>
      <c r="W7" s="23" t="str">
        <f>TEXT(WEEKDAY(DATE(CalendarYear,6,21),1),"ddd")</f>
        <v>mi</v>
      </c>
      <c r="X7" s="23" t="str">
        <f>TEXT(WEEKDAY(DATE(CalendarYear,6,22),1),"ddd")</f>
        <v>ju</v>
      </c>
      <c r="Y7" s="23" t="str">
        <f>TEXT(WEEKDAY(DATE(CalendarYear,6,23),1),"ddd")</f>
        <v>vi</v>
      </c>
      <c r="Z7" s="23" t="str">
        <f>TEXT(WEEKDAY(DATE(CalendarYear,6,24),1),"ddd")</f>
        <v>sá</v>
      </c>
      <c r="AA7" s="23" t="str">
        <f>TEXT(WEEKDAY(DATE(CalendarYear,6,25),1),"ddd")</f>
        <v>do</v>
      </c>
      <c r="AB7" s="23" t="str">
        <f>TEXT(WEEKDAY(DATE(CalendarYear,6,26),1),"ddd")</f>
        <v>lu</v>
      </c>
      <c r="AC7" s="23" t="str">
        <f>TEXT(WEEKDAY(DATE(CalendarYear,6,27),1),"ddd")</f>
        <v>ma</v>
      </c>
      <c r="AD7" s="23" t="str">
        <f>TEXT(WEEKDAY(DATE(CalendarYear,6,28),1),"ddd")</f>
        <v>mi</v>
      </c>
      <c r="AE7" s="23" t="str">
        <f>TEXT(WEEKDAY(DATE(CalendarYear,6,29),1),"ddd")</f>
        <v>ju</v>
      </c>
      <c r="AF7" s="23" t="str">
        <f>TEXT(WEEKDAY(DATE(CalendarYear,6,30),1),"ddd")</f>
        <v>vi</v>
      </c>
      <c r="AG7" s="23"/>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51</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COUNTA(Junio[[#This Row],[1]:[ ]])</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COUNTA(Junio[[#This Row],[1]:[ ]])</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COUNTA(Junio[[#This Row],[1]:[ ]])</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COUNTA(Junio[[#This Row],[1]:[ ]])</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COUNTA(Junio[[#This Row],[1]:[ ]])</f>
        <v>0</v>
      </c>
    </row>
    <row r="14" spans="2:34" ht="30" customHeight="1">
      <c r="B14" s="5" t="str">
        <f>MonthName&amp;" Total"</f>
        <v>Junio Total</v>
      </c>
      <c r="C14" s="4">
        <f>SUBTOTAL(103,Junio[1])</f>
        <v>0</v>
      </c>
      <c r="D14" s="4">
        <f>SUBTOTAL(103,Junio[2])</f>
        <v>0</v>
      </c>
      <c r="E14" s="4">
        <f>SUBTOTAL(103,Junio[3])</f>
        <v>0</v>
      </c>
      <c r="F14" s="4">
        <f>SUBTOTAL(103,Junio[4])</f>
        <v>0</v>
      </c>
      <c r="G14" s="4">
        <f>SUBTOTAL(103,Junio[5])</f>
        <v>0</v>
      </c>
      <c r="H14" s="4">
        <f>SUBTOTAL(103,Junio[6])</f>
        <v>0</v>
      </c>
      <c r="I14" s="4">
        <f>SUBTOTAL(103,Junio[7])</f>
        <v>0</v>
      </c>
      <c r="J14" s="4">
        <f>SUBTOTAL(103,Junio[8])</f>
        <v>0</v>
      </c>
      <c r="K14" s="4">
        <f>SUBTOTAL(103,Junio[9])</f>
        <v>0</v>
      </c>
      <c r="L14" s="4">
        <f>SUBTOTAL(103,Junio[10])</f>
        <v>0</v>
      </c>
      <c r="M14" s="4">
        <f>SUBTOTAL(103,Junio[11])</f>
        <v>0</v>
      </c>
      <c r="N14" s="4">
        <f>SUBTOTAL(103,Junio[12])</f>
        <v>0</v>
      </c>
      <c r="O14" s="4">
        <f>SUBTOTAL(103,Junio[13])</f>
        <v>0</v>
      </c>
      <c r="P14" s="4">
        <f>SUBTOTAL(103,Junio[14])</f>
        <v>0</v>
      </c>
      <c r="Q14" s="4">
        <f>SUBTOTAL(103,Junio[15])</f>
        <v>0</v>
      </c>
      <c r="R14" s="4">
        <f>SUBTOTAL(103,Junio[16])</f>
        <v>0</v>
      </c>
      <c r="S14" s="4">
        <f>SUBTOTAL(103,Junio[17])</f>
        <v>0</v>
      </c>
      <c r="T14" s="4">
        <f>SUBTOTAL(103,Junio[18])</f>
        <v>0</v>
      </c>
      <c r="U14" s="4">
        <f>SUBTOTAL(103,Junio[19])</f>
        <v>0</v>
      </c>
      <c r="V14" s="4">
        <f>SUBTOTAL(103,Junio[20])</f>
        <v>0</v>
      </c>
      <c r="W14" s="4">
        <f>SUBTOTAL(103,Junio[21])</f>
        <v>0</v>
      </c>
      <c r="X14" s="4">
        <f>SUBTOTAL(103,Junio[22])</f>
        <v>0</v>
      </c>
      <c r="Y14" s="4">
        <f>SUBTOTAL(103,Junio[23])</f>
        <v>0</v>
      </c>
      <c r="Z14" s="4">
        <f>SUBTOTAL(103,Junio[24])</f>
        <v>0</v>
      </c>
      <c r="AA14" s="4">
        <f>SUBTOTAL(103,Junio[25])</f>
        <v>0</v>
      </c>
      <c r="AB14" s="4">
        <f>SUBTOTAL(103,Junio[26])</f>
        <v>0</v>
      </c>
      <c r="AC14" s="4">
        <f>SUBTOTAL(103,Junio[27])</f>
        <v>0</v>
      </c>
      <c r="AD14" s="4">
        <f>SUBTOTAL(103,Junio[28])</f>
        <v>0</v>
      </c>
      <c r="AE14" s="4">
        <f>SUBTOTAL(103,Junio[29])</f>
        <v>0</v>
      </c>
      <c r="AF14" s="4">
        <f>SUBTOTAL(109,Junio[30])</f>
        <v>0</v>
      </c>
      <c r="AG14" s="4">
        <f>SUBTOTAL(109,Junio[[ ]])</f>
        <v>0</v>
      </c>
      <c r="AH14" s="4">
        <f>SUBTOTAL(109,Junio[Total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34" priority="2" stopIfTrue="1">
      <formula>C9=KeyCustom2</formula>
    </cfRule>
    <cfRule type="expression" dxfId="33" priority="3" stopIfTrue="1">
      <formula>C9=KeyCustom1</formula>
    </cfRule>
    <cfRule type="expression" dxfId="32" priority="4" stopIfTrue="1">
      <formula>C9=KeySick</formula>
    </cfRule>
    <cfRule type="expression" dxfId="31" priority="5" stopIfTrue="1">
      <formula>C9=KeyPersonal</formula>
    </cfRule>
    <cfRule type="expression" dxfId="3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count="15">
    <dataValidation allowBlank="1" showInputMessage="1" showErrorMessage="1" prompt="Los días laborables en esta fila se actualizan automáticamente durante el mes según el año en AH4. Cada día del mes es una columna para indicar la ausencia del empleado y el tipo de ausencia" sqref="C7" xr:uid="{85B1AA25-701F-5E4F-A537-8492818323AC}"/>
    <dataValidation allowBlank="1" showInputMessage="1" showErrorMessage="1" prompt="Año actualizado automáticamente en función del año introducido en la hoja de cálculo de enero" sqref="AH6" xr:uid="{84DE34BD-C74C-E949-BDDC-390099447919}"/>
    <dataValidation allowBlank="1" showInputMessage="1" showErrorMessage="1" prompt="Cálculo automático del número total de días que un empleado ha estado ausente este mes en esta columna" sqref="AH8" xr:uid="{EFC3BF89-2526-1648-9032-54E38409D629}"/>
    <dataValidation allowBlank="1" showInputMessage="1" showErrorMessage="1" prompt="Realice un seguimiento de las ausencias de junio en esta hoja de cálculo." sqref="A1" xr:uid="{00000000-0002-0000-0500-000003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D4ADDEE7-3BB2-0A42-AA24-1DBB30531A38}"/>
    <dataValidation allowBlank="1" showInputMessage="1" showErrorMessage="1" prompt="El título se actualiza automáticamente en esta celda. Para modificarlo, actualice la celda B1 en la hoja de cálculo de enero" sqref="B2" xr:uid="{00000000-0002-0000-0500-000005000000}"/>
    <dataValidation allowBlank="1" showInputMessage="1" showErrorMessage="1" prompt="La letra “V” indica una ausencia por vacaciones" sqref="C4" xr:uid="{063A296C-F0C1-7D40-A420-7E4F7FE9CFFC}"/>
    <dataValidation allowBlank="1" showInputMessage="1" showErrorMessage="1" prompt="La letra “P” indica una ausencia por motivos personales" sqref="G4" xr:uid="{7B0AE11E-F6A2-AD47-8416-1B2675569D32}"/>
    <dataValidation allowBlank="1" showInputMessage="1" showErrorMessage="1" prompt="La letra “E” indica una ausencia por enfermedad" sqref="K4" xr:uid="{B7A7B06A-9278-F146-B6AA-7DC18A17F2CB}"/>
    <dataValidation allowBlank="1" showInputMessage="1" showErrorMessage="1" prompt="Escriba una letra y personalice la etiqueta de la derecha para agregar otro elemento clave." sqref="O4 T4" xr:uid="{BCCD7B63-1804-5040-82B0-DF0BF821857D}"/>
    <dataValidation allowBlank="1" showInputMessage="1" showErrorMessage="1" prompt="Escriba una etiqueta para describir la clave personalizada de la izquierda." sqref="U4 P4" xr:uid="{7C729E06-0D5C-3147-AB97-5D821DA85CA6}"/>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500-00000C000000}"/>
    <dataValidation allowBlank="1" showInputMessage="1" showErrorMessage="1" prompt="Los días del mes se generan automáticamente en esta fila. Especifique la ausencia del empleado y el tipo en cada columna para cada día del mes. En blanco significa que no hay ninguna ausencia" sqref="C8" xr:uid="{5F765F6B-473A-3349-9925-D065E8DF0F17}"/>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9A98F9D7-8874-4D13-82D2-1EEC27A6D951}"/>
    <dataValidation allowBlank="1" showInputMessage="1" showErrorMessage="1" prompt="Esta celda contiene el título de la hoja de cálculo. " sqref="B1" xr:uid="{D81EDF62-F132-4F32-A772-764FF14B69A5}"/>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'Nombres de los empleados'!$B$4:$B$8</xm:f>
          </x14:formula1>
          <xm:sqref>B9:B13</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34" t="s">
        <v>57</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TEXT(WEEKDAY(DATE(CalendarYear,7,1),1),"ddd")</f>
        <v>sá</v>
      </c>
      <c r="D7" s="23" t="str">
        <f>TEXT(WEEKDAY(DATE(CalendarYear,7,2),1),"ddd")</f>
        <v>do</v>
      </c>
      <c r="E7" s="23" t="str">
        <f>TEXT(WEEKDAY(DATE(CalendarYear,7,3),1),"ddd")</f>
        <v>lu</v>
      </c>
      <c r="F7" s="23" t="str">
        <f>TEXT(WEEKDAY(DATE(CalendarYear,7,4),1),"ddd")</f>
        <v>ma</v>
      </c>
      <c r="G7" s="23" t="str">
        <f>TEXT(WEEKDAY(DATE(CalendarYear,7,5),1),"ddd")</f>
        <v>mi</v>
      </c>
      <c r="H7" s="23" t="str">
        <f>TEXT(WEEKDAY(DATE(CalendarYear,7,6),1),"ddd")</f>
        <v>ju</v>
      </c>
      <c r="I7" s="23" t="str">
        <f>TEXT(WEEKDAY(DATE(CalendarYear,7,7),1),"ddd")</f>
        <v>vi</v>
      </c>
      <c r="J7" s="23" t="str">
        <f>TEXT(WEEKDAY(DATE(CalendarYear,7,8),1),"ddd")</f>
        <v>sá</v>
      </c>
      <c r="K7" s="23" t="str">
        <f>TEXT(WEEKDAY(DATE(CalendarYear,7,9),1),"ddd")</f>
        <v>do</v>
      </c>
      <c r="L7" s="23" t="str">
        <f>TEXT(WEEKDAY(DATE(CalendarYear,7,10),1),"ddd")</f>
        <v>lu</v>
      </c>
      <c r="M7" s="23" t="str">
        <f>TEXT(WEEKDAY(DATE(CalendarYear,7,11),1),"ddd")</f>
        <v>ma</v>
      </c>
      <c r="N7" s="23" t="str">
        <f>TEXT(WEEKDAY(DATE(CalendarYear,7,12),1),"ddd")</f>
        <v>mi</v>
      </c>
      <c r="O7" s="23" t="str">
        <f>TEXT(WEEKDAY(DATE(CalendarYear,7,13),1),"ddd")</f>
        <v>ju</v>
      </c>
      <c r="P7" s="23" t="str">
        <f>TEXT(WEEKDAY(DATE(CalendarYear,7,14),1),"ddd")</f>
        <v>vi</v>
      </c>
      <c r="Q7" s="23" t="str">
        <f>TEXT(WEEKDAY(DATE(CalendarYear,7,15),1),"ddd")</f>
        <v>sá</v>
      </c>
      <c r="R7" s="23" t="str">
        <f>TEXT(WEEKDAY(DATE(CalendarYear,7,16),1),"ddd")</f>
        <v>do</v>
      </c>
      <c r="S7" s="23" t="str">
        <f>TEXT(WEEKDAY(DATE(CalendarYear,7,17),1),"ddd")</f>
        <v>lu</v>
      </c>
      <c r="T7" s="23" t="str">
        <f>TEXT(WEEKDAY(DATE(CalendarYear,7,18),1),"ddd")</f>
        <v>ma</v>
      </c>
      <c r="U7" s="23" t="str">
        <f>TEXT(WEEKDAY(DATE(CalendarYear,7,19),1),"ddd")</f>
        <v>mi</v>
      </c>
      <c r="V7" s="23" t="str">
        <f>TEXT(WEEKDAY(DATE(CalendarYear,7,20),1),"ddd")</f>
        <v>ju</v>
      </c>
      <c r="W7" s="23" t="str">
        <f>TEXT(WEEKDAY(DATE(CalendarYear,7,21),1),"ddd")</f>
        <v>vi</v>
      </c>
      <c r="X7" s="23" t="str">
        <f>TEXT(WEEKDAY(DATE(CalendarYear,7,22),1),"ddd")</f>
        <v>sá</v>
      </c>
      <c r="Y7" s="23" t="str">
        <f>TEXT(WEEKDAY(DATE(CalendarYear,7,23),1),"ddd")</f>
        <v>do</v>
      </c>
      <c r="Z7" s="23" t="str">
        <f>TEXT(WEEKDAY(DATE(CalendarYear,7,24),1),"ddd")</f>
        <v>lu</v>
      </c>
      <c r="AA7" s="23" t="str">
        <f>TEXT(WEEKDAY(DATE(CalendarYear,7,25),1),"ddd")</f>
        <v>ma</v>
      </c>
      <c r="AB7" s="23" t="str">
        <f>TEXT(WEEKDAY(DATE(CalendarYear,7,26),1),"ddd")</f>
        <v>mi</v>
      </c>
      <c r="AC7" s="23" t="str">
        <f>TEXT(WEEKDAY(DATE(CalendarYear,7,27),1),"ddd")</f>
        <v>ju</v>
      </c>
      <c r="AD7" s="23" t="str">
        <f>TEXT(WEEKDAY(DATE(CalendarYear,7,28),1),"ddd")</f>
        <v>vi</v>
      </c>
      <c r="AE7" s="23" t="str">
        <f>TEXT(WEEKDAY(DATE(CalendarYear,7,29),1),"ddd")</f>
        <v>sá</v>
      </c>
      <c r="AF7" s="23" t="str">
        <f>TEXT(WEEKDAY(DATE(CalendarYear,7,30),1),"ddd")</f>
        <v>do</v>
      </c>
      <c r="AG7" s="23" t="str">
        <f>TEXT(WEEKDAY(DATE(CalendarYear,7,31),1),"ddd")</f>
        <v>lu</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COUNTA(Julio[[#This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COUNTA(Julio[[#This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COUNTA(Julio[[#This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COUNTA(Julio[[#This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COUNTA(Julio[[#This Row],[1]:[31]])</f>
        <v>0</v>
      </c>
    </row>
    <row r="14" spans="2:34" ht="30" customHeight="1">
      <c r="B14" s="5" t="str">
        <f>MonthName&amp;" Total"</f>
        <v>Julio Total</v>
      </c>
      <c r="C14" s="4">
        <f>SUBTOTAL(103,Julio[1])</f>
        <v>0</v>
      </c>
      <c r="D14" s="4">
        <f>SUBTOTAL(103,Julio[2])</f>
        <v>0</v>
      </c>
      <c r="E14" s="4">
        <f>SUBTOTAL(103,Julio[3])</f>
        <v>0</v>
      </c>
      <c r="F14" s="4">
        <f>SUBTOTAL(103,Julio[4])</f>
        <v>0</v>
      </c>
      <c r="G14" s="4">
        <f>SUBTOTAL(103,Julio[5])</f>
        <v>0</v>
      </c>
      <c r="H14" s="4">
        <f>SUBTOTAL(103,Julio[6])</f>
        <v>0</v>
      </c>
      <c r="I14" s="4">
        <f>SUBTOTAL(103,Julio[7])</f>
        <v>0</v>
      </c>
      <c r="J14" s="4">
        <f>SUBTOTAL(103,Julio[8])</f>
        <v>0</v>
      </c>
      <c r="K14" s="4">
        <f>SUBTOTAL(103,Julio[9])</f>
        <v>0</v>
      </c>
      <c r="L14" s="4">
        <f>SUBTOTAL(103,Julio[10])</f>
        <v>0</v>
      </c>
      <c r="M14" s="4">
        <f>SUBTOTAL(103,Julio[11])</f>
        <v>0</v>
      </c>
      <c r="N14" s="4">
        <f>SUBTOTAL(103,Julio[12])</f>
        <v>0</v>
      </c>
      <c r="O14" s="4">
        <f>SUBTOTAL(103,Julio[13])</f>
        <v>0</v>
      </c>
      <c r="P14" s="4">
        <f>SUBTOTAL(103,Julio[14])</f>
        <v>0</v>
      </c>
      <c r="Q14" s="4">
        <f>SUBTOTAL(103,Julio[15])</f>
        <v>0</v>
      </c>
      <c r="R14" s="4">
        <f>SUBTOTAL(103,Julio[16])</f>
        <v>0</v>
      </c>
      <c r="S14" s="4">
        <f>SUBTOTAL(103,Julio[17])</f>
        <v>0</v>
      </c>
      <c r="T14" s="4">
        <f>SUBTOTAL(103,Julio[18])</f>
        <v>0</v>
      </c>
      <c r="U14" s="4">
        <f>SUBTOTAL(103,Julio[19])</f>
        <v>0</v>
      </c>
      <c r="V14" s="4">
        <f>SUBTOTAL(103,Julio[20])</f>
        <v>0</v>
      </c>
      <c r="W14" s="4">
        <f>SUBTOTAL(103,Julio[21])</f>
        <v>0</v>
      </c>
      <c r="X14" s="4">
        <f>SUBTOTAL(103,Julio[22])</f>
        <v>0</v>
      </c>
      <c r="Y14" s="4">
        <f>SUBTOTAL(103,Julio[23])</f>
        <v>0</v>
      </c>
      <c r="Z14" s="4">
        <f>SUBTOTAL(103,Julio[24])</f>
        <v>0</v>
      </c>
      <c r="AA14" s="4">
        <f>SUBTOTAL(103,Julio[25])</f>
        <v>0</v>
      </c>
      <c r="AB14" s="4">
        <f>SUBTOTAL(103,Julio[26])</f>
        <v>0</v>
      </c>
      <c r="AC14" s="4">
        <f>SUBTOTAL(103,Julio[27])</f>
        <v>0</v>
      </c>
      <c r="AD14" s="4">
        <f>SUBTOTAL(103,Julio[28])</f>
        <v>0</v>
      </c>
      <c r="AE14" s="4">
        <f>SUBTOTAL(103,Julio[29])</f>
        <v>0</v>
      </c>
      <c r="AF14" s="4">
        <f>SUBTOTAL(109,Julio[30])</f>
        <v>0</v>
      </c>
      <c r="AG14" s="4">
        <f>SUBTOTAL(109,Julio[31])</f>
        <v>0</v>
      </c>
      <c r="AH14" s="4">
        <f>SUBTOTAL(109,Julio[Total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29" priority="2" stopIfTrue="1">
      <formula>C9=KeyCustom2</formula>
    </cfRule>
    <cfRule type="expression" dxfId="28" priority="3" stopIfTrue="1">
      <formula>C9=KeyCustom1</formula>
    </cfRule>
    <cfRule type="expression" dxfId="27" priority="4" stopIfTrue="1">
      <formula>C9=KeySick</formula>
    </cfRule>
    <cfRule type="expression" dxfId="26" priority="5" stopIfTrue="1">
      <formula>C9=KeyPersonal</formula>
    </cfRule>
    <cfRule type="expression" dxfId="2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5">
    <dataValidation allowBlank="1" showInputMessage="1" showErrorMessage="1" prompt="Los días del mes se generan automáticamente en esta fila. Especifique la ausencia del empleado y el tipo en cada columna para cada día del mes. En blanco significa que no hay ninguna ausencia" sqref="C8" xr:uid="{03C1A45F-45B9-C64C-AB94-81563D673730}"/>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600-000001000000}"/>
    <dataValidation allowBlank="1" showInputMessage="1" showErrorMessage="1" prompt="Escriba una etiqueta para describir la clave personalizada de la izquierda." sqref="U4 P4" xr:uid="{0D4DD0DA-09CF-9E44-99CA-A5867B7A5DE0}"/>
    <dataValidation allowBlank="1" showInputMessage="1" showErrorMessage="1" prompt="Escriba una letra y personalice la etiqueta de la derecha para agregar otro elemento clave." sqref="O4 T4" xr:uid="{7958A2AB-CEB1-064A-ADC4-DFE205FED828}"/>
    <dataValidation allowBlank="1" showInputMessage="1" showErrorMessage="1" prompt="La letra “E” indica una ausencia por enfermedad" sqref="K4" xr:uid="{58CC404D-17ED-6445-ACB8-A79585398428}"/>
    <dataValidation allowBlank="1" showInputMessage="1" showErrorMessage="1" prompt="La letra “P” indica una ausencia por motivos personales" sqref="G4" xr:uid="{BB2F932F-117E-4C44-89E0-7036B9C55FB7}"/>
    <dataValidation allowBlank="1" showInputMessage="1" showErrorMessage="1" prompt="La letra “V” indica una ausencia por vacaciones" sqref="C4" xr:uid="{02BD24EB-B095-F64C-94A8-7E7708BAF1AD}"/>
    <dataValidation allowBlank="1" showInputMessage="1" showErrorMessage="1" prompt="El título se actualiza automáticamente en esta celda. Para modificarlo, actualice la celda B1 en la hoja de cálculo de enero" sqref="B2" xr:uid="{00000000-0002-0000-0600-000008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56BA2E4C-7843-2040-9E97-682F447A602F}"/>
    <dataValidation allowBlank="1" showInputMessage="1" showErrorMessage="1" prompt="Realice un seguimiento de las ausencias de julio en esta hoja de cálculo." sqref="A1" xr:uid="{00000000-0002-0000-0600-00000A000000}"/>
    <dataValidation allowBlank="1" showInputMessage="1" showErrorMessage="1" prompt="Cálculo automático del número total de días que un empleado ha estado ausente este mes en esta columna" sqref="AH8" xr:uid="{7EEB97FE-C4E8-0B42-8F26-4ACE0C358EA5}"/>
    <dataValidation allowBlank="1" showInputMessage="1" showErrorMessage="1" prompt="Año actualizado automáticamente en función del año introducido en la hoja de cálculo de enero" sqref="AH6" xr:uid="{00000000-0002-0000-0600-00000C000000}"/>
    <dataValidation allowBlank="1" showInputMessage="1" showErrorMessage="1" prompt="Los días laborables en esta fila se actualizan automáticamente durante el mes según el año en AH4. Cada día del mes es una columna para indicar la ausencia del empleado y el tipo de ausencia" sqref="C7" xr:uid="{956AA00F-FA3E-EE4C-BC75-65E8AA2EA95F}"/>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49FE03CF-624B-4523-A1B1-B51C2CB6F6D6}"/>
    <dataValidation allowBlank="1" showInputMessage="1" showErrorMessage="1" prompt="Esta celda contiene el título de la hoja de cálculo. " sqref="B1" xr:uid="{0AC8E3EA-A233-463E-AEDF-A0DB4FC9697F}"/>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'Nombres de los empleados'!$B$4:$B$8</xm:f>
          </x14:formula1>
          <xm:sqref>B9:B13</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33" t="s">
        <v>58</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TEXT(WEEKDAY(DATE(CalendarYear,8,1),1),"ddd")</f>
        <v>ma</v>
      </c>
      <c r="D7" s="23" t="str">
        <f>TEXT(WEEKDAY(DATE(CalendarYear,8,2),1),"ddd")</f>
        <v>mi</v>
      </c>
      <c r="E7" s="23" t="str">
        <f>TEXT(WEEKDAY(DATE(CalendarYear,8,3),1),"ddd")</f>
        <v>ju</v>
      </c>
      <c r="F7" s="23" t="str">
        <f>TEXT(WEEKDAY(DATE(CalendarYear,8,4),1),"ddd")</f>
        <v>vi</v>
      </c>
      <c r="G7" s="23" t="str">
        <f>TEXT(WEEKDAY(DATE(CalendarYear,8,5),1),"ddd")</f>
        <v>sá</v>
      </c>
      <c r="H7" s="23" t="str">
        <f>TEXT(WEEKDAY(DATE(CalendarYear,8,6),1),"ddd")</f>
        <v>do</v>
      </c>
      <c r="I7" s="23" t="str">
        <f>TEXT(WEEKDAY(DATE(CalendarYear,8,7),1),"ddd")</f>
        <v>lu</v>
      </c>
      <c r="J7" s="23" t="str">
        <f>TEXT(WEEKDAY(DATE(CalendarYear,8,8),1),"ddd")</f>
        <v>ma</v>
      </c>
      <c r="K7" s="23" t="str">
        <f>TEXT(WEEKDAY(DATE(CalendarYear,8,9),1),"ddd")</f>
        <v>mi</v>
      </c>
      <c r="L7" s="23" t="str">
        <f>TEXT(WEEKDAY(DATE(CalendarYear,8,10),1),"ddd")</f>
        <v>ju</v>
      </c>
      <c r="M7" s="23" t="str">
        <f>TEXT(WEEKDAY(DATE(CalendarYear,8,11),1),"ddd")</f>
        <v>vi</v>
      </c>
      <c r="N7" s="23" t="str">
        <f>TEXT(WEEKDAY(DATE(CalendarYear,8,12),1),"ddd")</f>
        <v>sá</v>
      </c>
      <c r="O7" s="23" t="str">
        <f>TEXT(WEEKDAY(DATE(CalendarYear,8,13),1),"ddd")</f>
        <v>do</v>
      </c>
      <c r="P7" s="23" t="str">
        <f>TEXT(WEEKDAY(DATE(CalendarYear,8,14),1),"ddd")</f>
        <v>lu</v>
      </c>
      <c r="Q7" s="23" t="str">
        <f>TEXT(WEEKDAY(DATE(CalendarYear,8,15),1),"ddd")</f>
        <v>ma</v>
      </c>
      <c r="R7" s="23" t="str">
        <f>TEXT(WEEKDAY(DATE(CalendarYear,8,16),1),"ddd")</f>
        <v>mi</v>
      </c>
      <c r="S7" s="23" t="str">
        <f>TEXT(WEEKDAY(DATE(CalendarYear,8,17),1),"ddd")</f>
        <v>ju</v>
      </c>
      <c r="T7" s="23" t="str">
        <f>TEXT(WEEKDAY(DATE(CalendarYear,8,18),1),"ddd")</f>
        <v>vi</v>
      </c>
      <c r="U7" s="23" t="str">
        <f>TEXT(WEEKDAY(DATE(CalendarYear,8,19),1),"ddd")</f>
        <v>sá</v>
      </c>
      <c r="V7" s="23" t="str">
        <f>TEXT(WEEKDAY(DATE(CalendarYear,8,20),1),"ddd")</f>
        <v>do</v>
      </c>
      <c r="W7" s="23" t="str">
        <f>TEXT(WEEKDAY(DATE(CalendarYear,8,21),1),"ddd")</f>
        <v>lu</v>
      </c>
      <c r="X7" s="23" t="str">
        <f>TEXT(WEEKDAY(DATE(CalendarYear,8,22),1),"ddd")</f>
        <v>ma</v>
      </c>
      <c r="Y7" s="23" t="str">
        <f>TEXT(WEEKDAY(DATE(CalendarYear,8,23),1),"ddd")</f>
        <v>mi</v>
      </c>
      <c r="Z7" s="23" t="str">
        <f>TEXT(WEEKDAY(DATE(CalendarYear,8,24),1),"ddd")</f>
        <v>ju</v>
      </c>
      <c r="AA7" s="23" t="str">
        <f>TEXT(WEEKDAY(DATE(CalendarYear,8,25),1),"ddd")</f>
        <v>vi</v>
      </c>
      <c r="AB7" s="23" t="str">
        <f>TEXT(WEEKDAY(DATE(CalendarYear,8,26),1),"ddd")</f>
        <v>sá</v>
      </c>
      <c r="AC7" s="23" t="str">
        <f>TEXT(WEEKDAY(DATE(CalendarYear,8,27),1),"ddd")</f>
        <v>do</v>
      </c>
      <c r="AD7" s="23" t="str">
        <f>TEXT(WEEKDAY(DATE(CalendarYear,8,28),1),"ddd")</f>
        <v>lu</v>
      </c>
      <c r="AE7" s="23" t="str">
        <f>TEXT(WEEKDAY(DATE(CalendarYear,8,29),1),"ddd")</f>
        <v>ma</v>
      </c>
      <c r="AF7" s="23" t="str">
        <f>TEXT(WEEKDAY(DATE(CalendarYear,8,30),1),"ddd")</f>
        <v>mi</v>
      </c>
      <c r="AG7" s="23" t="str">
        <f>TEXT(WEEKDAY(DATE(CalendarYear,8,31),1),"ddd")</f>
        <v>ju</v>
      </c>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48</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COUNTA(Agosto[[#This Row],[1]:[31]])</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COUNTA(Agosto[[#This Row],[1]:[31]])</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COUNTA(Agosto[[#This Row],[1]:[31]])</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COUNTA(Agosto[[#This Row],[1]:[31]])</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COUNTA(Agosto[[#This Row],[1]:[31]])</f>
        <v>0</v>
      </c>
    </row>
    <row r="14" spans="2:34" ht="30" customHeight="1">
      <c r="B14" s="5" t="str">
        <f>MonthName&amp;" Total"</f>
        <v>Agosto Total</v>
      </c>
      <c r="C14" s="4">
        <f>SUBTOTAL(103,Agosto[1])</f>
        <v>0</v>
      </c>
      <c r="D14" s="4">
        <f>SUBTOTAL(103,Agosto[2])</f>
        <v>0</v>
      </c>
      <c r="E14" s="4">
        <f>SUBTOTAL(103,Agosto[3])</f>
        <v>0</v>
      </c>
      <c r="F14" s="4">
        <f>SUBTOTAL(103,Agosto[4])</f>
        <v>0</v>
      </c>
      <c r="G14" s="4">
        <f>SUBTOTAL(103,Agosto[5])</f>
        <v>0</v>
      </c>
      <c r="H14" s="4">
        <f>SUBTOTAL(103,Agosto[6])</f>
        <v>0</v>
      </c>
      <c r="I14" s="4">
        <f>SUBTOTAL(103,Agosto[7])</f>
        <v>0</v>
      </c>
      <c r="J14" s="4">
        <f>SUBTOTAL(103,Agosto[8])</f>
        <v>0</v>
      </c>
      <c r="K14" s="4">
        <f>SUBTOTAL(103,Agosto[9])</f>
        <v>0</v>
      </c>
      <c r="L14" s="4">
        <f>SUBTOTAL(103,Agosto[10])</f>
        <v>0</v>
      </c>
      <c r="M14" s="4">
        <f>SUBTOTAL(103,Agosto[11])</f>
        <v>0</v>
      </c>
      <c r="N14" s="4">
        <f>SUBTOTAL(103,Agosto[12])</f>
        <v>0</v>
      </c>
      <c r="O14" s="4">
        <f>SUBTOTAL(103,Agosto[13])</f>
        <v>0</v>
      </c>
      <c r="P14" s="4">
        <f>SUBTOTAL(103,Agosto[14])</f>
        <v>0</v>
      </c>
      <c r="Q14" s="4">
        <f>SUBTOTAL(103,Agosto[15])</f>
        <v>0</v>
      </c>
      <c r="R14" s="4">
        <f>SUBTOTAL(103,Agosto[16])</f>
        <v>0</v>
      </c>
      <c r="S14" s="4">
        <f>SUBTOTAL(103,Agosto[17])</f>
        <v>0</v>
      </c>
      <c r="T14" s="4">
        <f>SUBTOTAL(103,Agosto[18])</f>
        <v>0</v>
      </c>
      <c r="U14" s="4">
        <f>SUBTOTAL(103,Agosto[19])</f>
        <v>0</v>
      </c>
      <c r="V14" s="4">
        <f>SUBTOTAL(103,Agosto[20])</f>
        <v>0</v>
      </c>
      <c r="W14" s="4">
        <f>SUBTOTAL(103,Agosto[21])</f>
        <v>0</v>
      </c>
      <c r="X14" s="4">
        <f>SUBTOTAL(103,Agosto[22])</f>
        <v>0</v>
      </c>
      <c r="Y14" s="4">
        <f>SUBTOTAL(103,Agosto[23])</f>
        <v>0</v>
      </c>
      <c r="Z14" s="4">
        <f>SUBTOTAL(103,Agosto[24])</f>
        <v>0</v>
      </c>
      <c r="AA14" s="4">
        <f>SUBTOTAL(103,Agosto[25])</f>
        <v>0</v>
      </c>
      <c r="AB14" s="4">
        <f>SUBTOTAL(103,Agosto[26])</f>
        <v>0</v>
      </c>
      <c r="AC14" s="4">
        <f>SUBTOTAL(103,Agosto[27])</f>
        <v>0</v>
      </c>
      <c r="AD14" s="4">
        <f>SUBTOTAL(103,Agosto[28])</f>
        <v>0</v>
      </c>
      <c r="AE14" s="4">
        <f>SUBTOTAL(103,Agosto[29])</f>
        <v>0</v>
      </c>
      <c r="AF14" s="4">
        <f>SUBTOTAL(109,Agosto[30])</f>
        <v>0</v>
      </c>
      <c r="AG14" s="4">
        <f>SUBTOTAL(109,Agosto[31])</f>
        <v>0</v>
      </c>
      <c r="AH14" s="4">
        <f>SUBTOTAL(109,Agosto[Total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24" priority="2" stopIfTrue="1">
      <formula>C9=KeyCustom2</formula>
    </cfRule>
    <cfRule type="expression" dxfId="23" priority="3" stopIfTrue="1">
      <formula>C9=KeyCustom1</formula>
    </cfRule>
    <cfRule type="expression" dxfId="22" priority="4" stopIfTrue="1">
      <formula>C9=KeySick</formula>
    </cfRule>
    <cfRule type="expression" dxfId="21" priority="5" stopIfTrue="1">
      <formula>C9=KeyPersonal</formula>
    </cfRule>
    <cfRule type="expression" dxfId="20"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5">
    <dataValidation allowBlank="1" showInputMessage="1" showErrorMessage="1" prompt="Los días laborables en esta fila se actualizan automáticamente durante el mes según el año en AH4. Cada día del mes es una columna para indicar la ausencia del empleado y el tipo de ausencia" sqref="C7" xr:uid="{C31066D8-39EA-EB48-A883-D56040D3EA81}"/>
    <dataValidation allowBlank="1" showInputMessage="1" showErrorMessage="1" prompt="Año actualizado automáticamente en función del año introducido en la hoja de cálculo de enero" sqref="AH6" xr:uid="{4F3A1A67-5AD0-224A-B9EB-2AA94773859B}"/>
    <dataValidation allowBlank="1" showInputMessage="1" showErrorMessage="1" prompt="Cálculo automático del número total de días que un empleado ha estado ausente este mes en esta columna" sqref="AH8" xr:uid="{AC80500B-13F9-964F-8855-BCABB1C8AF13}"/>
    <dataValidation allowBlank="1" showInputMessage="1" showErrorMessage="1" prompt="Realice un seguimiento de las ausencias de agosto en esta hoja de cálculo." sqref="A1" xr:uid="{00000000-0002-0000-0700-000003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3B37E336-5BFF-874C-B045-F359DA78F99B}"/>
    <dataValidation allowBlank="1" showInputMessage="1" showErrorMessage="1" prompt="El título se actualiza automáticamente en esta celda. Para modificarlo, actualice la celda B1 en la hoja de cálculo de enero" sqref="B2" xr:uid="{00000000-0002-0000-0700-000005000000}"/>
    <dataValidation allowBlank="1" showInputMessage="1" showErrorMessage="1" prompt="La letra “V” indica una ausencia por vacaciones" sqref="C4" xr:uid="{F48C7677-CB94-014F-B8C8-88FB8A294CFF}"/>
    <dataValidation allowBlank="1" showInputMessage="1" showErrorMessage="1" prompt="La letra “P” indica una ausencia por motivos personales" sqref="G4" xr:uid="{63B459E7-42D5-4B48-B692-D0F49341AB9B}"/>
    <dataValidation allowBlank="1" showInputMessage="1" showErrorMessage="1" prompt="La letra “E” indica una ausencia por enfermedad" sqref="K4" xr:uid="{037577DF-4C4B-BA4C-A23D-EB4A1705B78B}"/>
    <dataValidation allowBlank="1" showInputMessage="1" showErrorMessage="1" prompt="Escriba una letra y personalice la etiqueta de la derecha para agregar otro elemento clave." sqref="O4 T4" xr:uid="{ADD73E45-E7E5-5E43-8099-AF7C06C25726}"/>
    <dataValidation allowBlank="1" showInputMessage="1" showErrorMessage="1" prompt="Escriba una etiqueta para describir la clave personalizada de la izquierda." sqref="U4 P4" xr:uid="{FB014BD1-5D10-9342-967F-5A90B982AACD}"/>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700-00000C000000}"/>
    <dataValidation allowBlank="1" showInputMessage="1" showErrorMessage="1" prompt="Los días del mes se generan automáticamente en esta fila. Especifique la ausencia del empleado y el tipo en cada columna para cada día del mes. En blanco significa que no hay ninguna ausencia" sqref="C8" xr:uid="{ACF8EA0E-6010-5D46-9524-6055BFC9D4A3}"/>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2AD8EE52-D84F-4685-9E2E-4F8D1A731125}"/>
    <dataValidation allowBlank="1" showInputMessage="1" showErrorMessage="1" prompt="Esta celda contiene el título de la hoja de cálculo. " sqref="B1" xr:uid="{3F261A71-5753-4B06-A7AE-03F6BBA4818C}"/>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'Nombres de los empleados'!$B$4:$B$8</xm:f>
          </x14:formula1>
          <xm:sqref>B9:B13</xm:sqref>
        </x14:dataValidation>
      </x14:dataValidations>
    </ext>
  </extLst>
</worksheet>
</file>

<file path=xl/worksheets/sheet9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pageSetUpPr fitToPage="1"/>
  </sheetPr>
  <dimension ref="B1:AH14"/>
  <sheetViews>
    <sheetView showGridLines="0" zoomScaleNormal="100" workbookViewId="0"/>
  </sheetViews>
  <sheetFormatPr baseColWidth="10" defaultColWidth="8.7109375" defaultRowHeight="30" customHeight="1"/>
  <cols>
    <col min="1" max="1" width="2.7109375" customWidth="1"/>
    <col min="2" max="2" width="36" customWidth="1"/>
    <col min="3" max="33" width="4.7109375" customWidth="1"/>
    <col min="34" max="34" width="15.42578125" customWidth="1"/>
    <col min="35" max="35" width="2.7109375" customWidth="1"/>
  </cols>
  <sheetData>
    <row r="1" spans="2:34" ht="49.9" customHeight="1">
      <c r="B1" s="26" t="s">
        <v>0</v>
      </c>
    </row>
    <row r="2" spans="2:34" ht="100.15" customHeight="1">
      <c r="B2" s="32" t="s">
        <v>59</v>
      </c>
    </row>
    <row r="3" spans="2:34" ht="15" customHeight="1">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2:34" ht="30" customHeight="1">
      <c r="B4" s="8" t="s">
        <v>2</v>
      </c>
      <c r="C4" s="31" t="s">
        <v>9</v>
      </c>
      <c r="D4" s="36" t="s">
        <v>12</v>
      </c>
      <c r="E4" s="36"/>
      <c r="F4" s="36"/>
      <c r="G4" s="29" t="s">
        <v>15</v>
      </c>
      <c r="H4" s="36" t="s">
        <v>19</v>
      </c>
      <c r="I4" s="36"/>
      <c r="J4" s="36"/>
      <c r="K4" s="30" t="s">
        <v>17</v>
      </c>
      <c r="L4" s="36" t="s">
        <v>24</v>
      </c>
      <c r="M4" s="36"/>
      <c r="N4" s="36"/>
      <c r="O4" s="19"/>
      <c r="P4" s="36" t="s">
        <v>28</v>
      </c>
      <c r="Q4" s="36"/>
      <c r="R4" s="36"/>
      <c r="S4" s="36"/>
      <c r="T4" s="20"/>
      <c r="U4" s="36" t="s">
        <v>33</v>
      </c>
      <c r="V4" s="36"/>
      <c r="W4" s="36"/>
      <c r="X4" s="36"/>
    </row>
    <row r="5" spans="2:34" ht="15"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2:34" ht="49.9" customHeight="1">
      <c r="B6" s="7"/>
      <c r="C6" s="35" t="s">
        <v>10</v>
      </c>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7">
        <f>CalendarYear</f>
        <v>2023</v>
      </c>
    </row>
    <row r="7" spans="2:34" ht="30" customHeight="1">
      <c r="B7" s="7"/>
      <c r="C7" s="23" t="str">
        <f>TEXT(WEEKDAY(DATE(CalendarYear,9,1),1),"ddd")</f>
        <v>vi</v>
      </c>
      <c r="D7" s="23" t="str">
        <f>TEXT(WEEKDAY(DATE(CalendarYear,9,2),1),"ddd")</f>
        <v>sá</v>
      </c>
      <c r="E7" s="23" t="str">
        <f>TEXT(WEEKDAY(DATE(CalendarYear,9,3),1),"ddd")</f>
        <v>do</v>
      </c>
      <c r="F7" s="23" t="str">
        <f>TEXT(WEEKDAY(DATE(CalendarYear,9,4),1),"ddd")</f>
        <v>lu</v>
      </c>
      <c r="G7" s="23" t="str">
        <f>TEXT(WEEKDAY(DATE(CalendarYear,9,5),1),"ddd")</f>
        <v>ma</v>
      </c>
      <c r="H7" s="23" t="str">
        <f>TEXT(WEEKDAY(DATE(CalendarYear,9,6),1),"ddd")</f>
        <v>mi</v>
      </c>
      <c r="I7" s="23" t="str">
        <f>TEXT(WEEKDAY(DATE(CalendarYear,9,7),1),"ddd")</f>
        <v>ju</v>
      </c>
      <c r="J7" s="23" t="str">
        <f>TEXT(WEEKDAY(DATE(CalendarYear,9,8),1),"ddd")</f>
        <v>vi</v>
      </c>
      <c r="K7" s="23" t="str">
        <f>TEXT(WEEKDAY(DATE(CalendarYear,9,9),1),"ddd")</f>
        <v>sá</v>
      </c>
      <c r="L7" s="23" t="str">
        <f>TEXT(WEEKDAY(DATE(CalendarYear,9,10),1),"ddd")</f>
        <v>do</v>
      </c>
      <c r="M7" s="23" t="str">
        <f>TEXT(WEEKDAY(DATE(CalendarYear,9,11),1),"ddd")</f>
        <v>lu</v>
      </c>
      <c r="N7" s="23" t="str">
        <f>TEXT(WEEKDAY(DATE(CalendarYear,9,12),1),"ddd")</f>
        <v>ma</v>
      </c>
      <c r="O7" s="23" t="str">
        <f>TEXT(WEEKDAY(DATE(CalendarYear,9,13),1),"ddd")</f>
        <v>mi</v>
      </c>
      <c r="P7" s="23" t="str">
        <f>TEXT(WEEKDAY(DATE(CalendarYear,9,14),1),"ddd")</f>
        <v>ju</v>
      </c>
      <c r="Q7" s="23" t="str">
        <f>TEXT(WEEKDAY(DATE(CalendarYear,9,15),1),"ddd")</f>
        <v>vi</v>
      </c>
      <c r="R7" s="23" t="str">
        <f>TEXT(WEEKDAY(DATE(CalendarYear,9,16),1),"ddd")</f>
        <v>sá</v>
      </c>
      <c r="S7" s="23" t="str">
        <f>TEXT(WEEKDAY(DATE(CalendarYear,9,17),1),"ddd")</f>
        <v>do</v>
      </c>
      <c r="T7" s="23" t="str">
        <f>TEXT(WEEKDAY(DATE(CalendarYear,9,18),1),"ddd")</f>
        <v>lu</v>
      </c>
      <c r="U7" s="23" t="str">
        <f>TEXT(WEEKDAY(DATE(CalendarYear,9,19),1),"ddd")</f>
        <v>ma</v>
      </c>
      <c r="V7" s="23" t="str">
        <f>TEXT(WEEKDAY(DATE(CalendarYear,9,20),1),"ddd")</f>
        <v>mi</v>
      </c>
      <c r="W7" s="23" t="str">
        <f>TEXT(WEEKDAY(DATE(CalendarYear,9,21),1),"ddd")</f>
        <v>ju</v>
      </c>
      <c r="X7" s="23" t="str">
        <f>TEXT(WEEKDAY(DATE(CalendarYear,9,22),1),"ddd")</f>
        <v>vi</v>
      </c>
      <c r="Y7" s="23" t="str">
        <f>TEXT(WEEKDAY(DATE(CalendarYear,9,23),1),"ddd")</f>
        <v>sá</v>
      </c>
      <c r="Z7" s="23" t="str">
        <f>TEXT(WEEKDAY(DATE(CalendarYear,9,24),1),"ddd")</f>
        <v>do</v>
      </c>
      <c r="AA7" s="23" t="str">
        <f>TEXT(WEEKDAY(DATE(CalendarYear,9,25),1),"ddd")</f>
        <v>lu</v>
      </c>
      <c r="AB7" s="23" t="str">
        <f>TEXT(WEEKDAY(DATE(CalendarYear,9,26),1),"ddd")</f>
        <v>ma</v>
      </c>
      <c r="AC7" s="23" t="str">
        <f>TEXT(WEEKDAY(DATE(CalendarYear,9,27),1),"ddd")</f>
        <v>mi</v>
      </c>
      <c r="AD7" s="23" t="str">
        <f>TEXT(WEEKDAY(DATE(CalendarYear,9,28),1),"ddd")</f>
        <v>ju</v>
      </c>
      <c r="AE7" s="23" t="str">
        <f>TEXT(WEEKDAY(DATE(CalendarYear,9,29),1),"ddd")</f>
        <v>vi</v>
      </c>
      <c r="AF7" s="23" t="str">
        <f>TEXT(WEEKDAY(DATE(CalendarYear,9,30),1),"ddd")</f>
        <v>sá</v>
      </c>
      <c r="AG7" s="23"/>
      <c r="AH7" s="7"/>
    </row>
    <row r="8" spans="2:34" ht="30" customHeight="1">
      <c r="B8" s="22" t="s">
        <v>3</v>
      </c>
      <c r="C8" s="1" t="s">
        <v>11</v>
      </c>
      <c r="D8" s="1" t="s">
        <v>13</v>
      </c>
      <c r="E8" s="1" t="s">
        <v>14</v>
      </c>
      <c r="F8" s="1" t="s">
        <v>16</v>
      </c>
      <c r="G8" s="1" t="s">
        <v>18</v>
      </c>
      <c r="H8" s="1" t="s">
        <v>20</v>
      </c>
      <c r="I8" s="1" t="s">
        <v>21</v>
      </c>
      <c r="J8" s="1" t="s">
        <v>22</v>
      </c>
      <c r="K8" s="1" t="s">
        <v>23</v>
      </c>
      <c r="L8" s="1" t="s">
        <v>25</v>
      </c>
      <c r="M8" s="1" t="s">
        <v>26</v>
      </c>
      <c r="N8" s="1" t="s">
        <v>27</v>
      </c>
      <c r="O8" s="1" t="s">
        <v>29</v>
      </c>
      <c r="P8" s="1" t="s">
        <v>30</v>
      </c>
      <c r="Q8" s="1" t="s">
        <v>31</v>
      </c>
      <c r="R8" s="1" t="s">
        <v>32</v>
      </c>
      <c r="S8" s="1" t="s">
        <v>34</v>
      </c>
      <c r="T8" s="1" t="s">
        <v>35</v>
      </c>
      <c r="U8" s="1" t="s">
        <v>36</v>
      </c>
      <c r="V8" s="1" t="s">
        <v>37</v>
      </c>
      <c r="W8" s="1" t="s">
        <v>38</v>
      </c>
      <c r="X8" s="1" t="s">
        <v>39</v>
      </c>
      <c r="Y8" s="1" t="s">
        <v>40</v>
      </c>
      <c r="Z8" s="1" t="s">
        <v>41</v>
      </c>
      <c r="AA8" s="1" t="s">
        <v>42</v>
      </c>
      <c r="AB8" s="1" t="s">
        <v>43</v>
      </c>
      <c r="AC8" s="1" t="s">
        <v>44</v>
      </c>
      <c r="AD8" s="1" t="s">
        <v>45</v>
      </c>
      <c r="AE8" s="1" t="s">
        <v>46</v>
      </c>
      <c r="AF8" s="1" t="s">
        <v>47</v>
      </c>
      <c r="AG8" s="1" t="s">
        <v>51</v>
      </c>
      <c r="AH8" s="24" t="s">
        <v>49</v>
      </c>
    </row>
    <row r="9" spans="2:34" ht="30" customHeight="1">
      <c r="B9" s="2" t="s">
        <v>4</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3">
        <f>COUNTA(Septiembre[[#This Row],[1]:[ ]])</f>
        <v>0</v>
      </c>
    </row>
    <row r="10" spans="2:34" ht="30" customHeight="1">
      <c r="B10" s="2" t="s">
        <v>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3">
        <f>COUNTA(Septiembre[[#This Row],[1]:[ ]])</f>
        <v>0</v>
      </c>
    </row>
    <row r="11" spans="2:34" ht="30" customHeight="1">
      <c r="B11" s="2" t="s">
        <v>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3">
        <f>COUNTA(Septiembre[[#This Row],[1]:[ ]])</f>
        <v>0</v>
      </c>
    </row>
    <row r="12" spans="2:34" ht="30" customHeight="1">
      <c r="B12" s="2" t="s">
        <v>7</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3">
        <f>COUNTA(Septiembre[[#This Row],[1]:[ ]])</f>
        <v>0</v>
      </c>
    </row>
    <row r="13" spans="2:34" ht="30" customHeight="1">
      <c r="B13" s="2" t="s">
        <v>8</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3">
        <f>COUNTA(Septiembre[[#This Row],[1]:[ ]])</f>
        <v>0</v>
      </c>
    </row>
    <row r="14" spans="2:34" ht="30" customHeight="1">
      <c r="B14" s="5" t="str">
        <f>MonthName&amp;" Total"</f>
        <v>Septiembre Total</v>
      </c>
      <c r="C14" s="4">
        <f>SUBTOTAL(103,Septiembre[1])</f>
        <v>0</v>
      </c>
      <c r="D14" s="4">
        <f>SUBTOTAL(103,Septiembre[2])</f>
        <v>0</v>
      </c>
      <c r="E14" s="4">
        <f>SUBTOTAL(103,Septiembre[3])</f>
        <v>0</v>
      </c>
      <c r="F14" s="4">
        <f>SUBTOTAL(103,Septiembre[4])</f>
        <v>0</v>
      </c>
      <c r="G14" s="4">
        <f>SUBTOTAL(103,Septiembre[5])</f>
        <v>0</v>
      </c>
      <c r="H14" s="4">
        <f>SUBTOTAL(103,Septiembre[6])</f>
        <v>0</v>
      </c>
      <c r="I14" s="4">
        <f>SUBTOTAL(103,Septiembre[7])</f>
        <v>0</v>
      </c>
      <c r="J14" s="4">
        <f>SUBTOTAL(103,Septiembre[8])</f>
        <v>0</v>
      </c>
      <c r="K14" s="4">
        <f>SUBTOTAL(103,Septiembre[9])</f>
        <v>0</v>
      </c>
      <c r="L14" s="4">
        <f>SUBTOTAL(103,Septiembre[10])</f>
        <v>0</v>
      </c>
      <c r="M14" s="4">
        <f>SUBTOTAL(103,Septiembre[11])</f>
        <v>0</v>
      </c>
      <c r="N14" s="4">
        <f>SUBTOTAL(103,Septiembre[12])</f>
        <v>0</v>
      </c>
      <c r="O14" s="4">
        <f>SUBTOTAL(103,Septiembre[13])</f>
        <v>0</v>
      </c>
      <c r="P14" s="4">
        <f>SUBTOTAL(103,Septiembre[14])</f>
        <v>0</v>
      </c>
      <c r="Q14" s="4">
        <f>SUBTOTAL(103,Septiembre[15])</f>
        <v>0</v>
      </c>
      <c r="R14" s="4">
        <f>SUBTOTAL(103,Septiembre[16])</f>
        <v>0</v>
      </c>
      <c r="S14" s="4">
        <f>SUBTOTAL(103,Septiembre[17])</f>
        <v>0</v>
      </c>
      <c r="T14" s="4">
        <f>SUBTOTAL(103,Septiembre[18])</f>
        <v>0</v>
      </c>
      <c r="U14" s="4">
        <f>SUBTOTAL(103,Septiembre[19])</f>
        <v>0</v>
      </c>
      <c r="V14" s="4">
        <f>SUBTOTAL(103,Septiembre[20])</f>
        <v>0</v>
      </c>
      <c r="W14" s="4">
        <f>SUBTOTAL(103,Septiembre[21])</f>
        <v>0</v>
      </c>
      <c r="X14" s="4">
        <f>SUBTOTAL(103,Septiembre[22])</f>
        <v>0</v>
      </c>
      <c r="Y14" s="4">
        <f>SUBTOTAL(103,Septiembre[23])</f>
        <v>0</v>
      </c>
      <c r="Z14" s="4">
        <f>SUBTOTAL(103,Septiembre[24])</f>
        <v>0</v>
      </c>
      <c r="AA14" s="4">
        <f>SUBTOTAL(103,Septiembre[25])</f>
        <v>0</v>
      </c>
      <c r="AB14" s="4">
        <f>SUBTOTAL(103,Septiembre[26])</f>
        <v>0</v>
      </c>
      <c r="AC14" s="4">
        <f>SUBTOTAL(103,Septiembre[27])</f>
        <v>0</v>
      </c>
      <c r="AD14" s="4">
        <f>SUBTOTAL(103,Septiembre[28])</f>
        <v>0</v>
      </c>
      <c r="AE14" s="4">
        <f>SUBTOTAL(103,Septiembre[29])</f>
        <v>0</v>
      </c>
      <c r="AF14" s="4">
        <f>SUBTOTAL(109,Septiembre[30])</f>
        <v>0</v>
      </c>
      <c r="AG14" s="4">
        <f>SUBTOTAL(109,Septiembre[[ ]])</f>
        <v>0</v>
      </c>
      <c r="AH14" s="4">
        <f>SUBTOTAL(109,Septiembre[Total de días])</f>
        <v>0</v>
      </c>
    </row>
  </sheetData>
  <mergeCells count="6">
    <mergeCell ref="C6:AG6"/>
    <mergeCell ref="D4:F4"/>
    <mergeCell ref="H4:J4"/>
    <mergeCell ref="L4:N4"/>
    <mergeCell ref="P4:S4"/>
    <mergeCell ref="U4:X4"/>
  </mergeCells>
  <phoneticPr fontId="32" type="noConversion"/>
  <conditionalFormatting sqref="C9:AG13">
    <cfRule type="expression" priority="1" stopIfTrue="1">
      <formula>C9=""</formula>
    </cfRule>
    <cfRule type="expression" dxfId="19" priority="2" stopIfTrue="1">
      <formula>C9=KeyCustom2</formula>
    </cfRule>
    <cfRule type="expression" dxfId="18" priority="3" stopIfTrue="1">
      <formula>C9=KeyCustom1</formula>
    </cfRule>
    <cfRule type="expression" dxfId="17" priority="4" stopIfTrue="1">
      <formula>C9=KeySick</formula>
    </cfRule>
    <cfRule type="expression" dxfId="16" priority="5" stopIfTrue="1">
      <formula>C9=KeyPersonal</formula>
    </cfRule>
    <cfRule type="expression" dxfId="15" priority="6" stopIfTrue="1">
      <formula>C9=KeyVacation</formula>
    </cfRule>
  </conditionalFormatting>
  <conditionalFormatting sqref="AH9:AH13">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5">
    <dataValidation allowBlank="1" showInputMessage="1" showErrorMessage="1" prompt="Los días del mes se generan automáticamente en esta fila. Especifique la ausencia del empleado y el tipo en cada columna para cada día del mes. En blanco significa que no hay ninguna ausencia" sqref="C8" xr:uid="{9DDE2A21-51EA-3649-A2EE-B04BD18F4ABA}"/>
    <dataValidation allowBlank="1" showInputMessage="1" showErrorMessage="1" prompt="El nombre del mes de este plan de ausencias está en esta celda. Los totales de las ausencias para este mes aparecen en la última celda de la tabla. Seleccione los nombres de los empleados en la columna B de la tabla" sqref="B2" xr:uid="{00000000-0002-0000-0800-000001000000}"/>
    <dataValidation allowBlank="1" showInputMessage="1" showErrorMessage="1" prompt="Escriba una etiqueta para describir la clave personalizada de la izquierda." sqref="U4 P4" xr:uid="{5116644F-0501-8B49-8158-4564676A664E}"/>
    <dataValidation allowBlank="1" showInputMessage="1" showErrorMessage="1" prompt="Escriba una letra y personalice la etiqueta de la derecha para agregar otro elemento clave." sqref="O4 T4" xr:uid="{58CFE273-C075-BB40-8F28-5FCC44B7E3A3}"/>
    <dataValidation allowBlank="1" showInputMessage="1" showErrorMessage="1" prompt="La letra “E” indica una ausencia por enfermedad" sqref="K4" xr:uid="{EEC4FBAF-1EBD-4C4D-9809-847842EA837E}"/>
    <dataValidation allowBlank="1" showInputMessage="1" showErrorMessage="1" prompt="La letra “P” indica una ausencia por motivos personales" sqref="G4" xr:uid="{846A0B75-93D1-0640-8A7F-0B42F6009C81}"/>
    <dataValidation allowBlank="1" showInputMessage="1" showErrorMessage="1" prompt="La letra “V” indica una ausencia por vacaciones" sqref="C4" xr:uid="{286BFB05-7A4F-C140-BF05-59F3E17D85F5}"/>
    <dataValidation allowBlank="1" showInputMessage="1" showErrorMessage="1" prompt="El título se actualiza automáticamente en esta celda. Para modificarlo, actualice la celda B1 en la hoja de cálculo de enero" sqref="B2" xr:uid="{00000000-0002-0000-0800-000008000000}"/>
    <dataValidation errorStyle="warning" allowBlank="1" showInputMessage="1" showErrorMessage="1" error="Seleccione un nombre de la lista. Seleccione CANCELAR y, después, ALT+FLECHA ABAJO y ENTRAR para seleccionar un nombre" prompt="Escriba los nombres de los empleados en la hoja de cálculo Nombres de empleados y, después, seleccione uno de los nombres de la lista de esta columna. Presione ALT+FLECHA ABAJO y ENTRAR para seleccionar un nombre" sqref="B8" xr:uid="{C813148F-9330-314A-8F3F-150F6150691C}"/>
    <dataValidation allowBlank="1" showInputMessage="1" showErrorMessage="1" prompt="Realice un seguimiento de las ausencias de septiembre en esta hoja de cálculo." sqref="A1" xr:uid="{00000000-0002-0000-0800-00000A000000}"/>
    <dataValidation allowBlank="1" showInputMessage="1" showErrorMessage="1" prompt="Cálculo automático del número total de días que un empleado ha estado ausente este mes en esta columna" sqref="AH8" xr:uid="{5C77DC9E-A1AE-7C41-B518-6426DAF8D1EE}"/>
    <dataValidation allowBlank="1" showInputMessage="1" showErrorMessage="1" prompt="Año actualizado automáticamente en función del año introducido en la hoja de cálculo de enero" sqref="AH6" xr:uid="{075296AD-6F4A-1446-94E5-CA2E94C7BFCE}"/>
    <dataValidation allowBlank="1" showInputMessage="1" showErrorMessage="1" prompt="Los días laborables en esta fila se actualizan automáticamente durante el mes según el año en AH4. Cada día del mes es una columna para indicar la ausencia del empleado y el tipo de ausencia" sqref="C7" xr:uid="{D85777C8-14EB-B748-8BBD-8B9BF124E384}"/>
    <dataValidation allowBlank="1" showInputMessage="1" showErrorMessage="1" prompt="Esta fila define las claves que se usan en la tabla: la celda C4 es para vacaciones, la celda G4 es para asuntos personales y la celda K4 es baja por enfermedad. Las celdas N4 y R4 se pueden personalizar" sqref="B4" xr:uid="{258809B3-02AD-47F3-A0C7-61BAF9DAB51A}"/>
    <dataValidation allowBlank="1" showInputMessage="1" showErrorMessage="1" prompt="Esta celda contiene el título de la hoja de cálculo. " sqref="B1" xr:uid="{EDB7A32F-2F43-4B5F-BF9B-69D720D668DD}"/>
  </dataValidations>
  <printOptions horizontalCentered="1"/>
  <pageMargins left="0.25" right="0.25" top="0.75" bottom="0.75" header="0.3" footer="0.3"/>
  <pageSetup paperSize="9" scale="75"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AH9:AH13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'Nombres de los empleados'!$B$4:$B$8</xm:f>
          </x14:formula1>
          <xm:sqref>B9:B13</xm:sqref>
        </x14:dataValidation>
      </x14:dataValidations>
    </ext>
  </extLst>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2.xml><?xml version="1.0" encoding="utf-8"?>
<?mso-contentType ?>
<FormTemplates xmlns="http://schemas.microsoft.com/sharepoint/v3/contenttype/forms">
  <Display>DocumentLibraryForm</Display>
  <Edit>DocumentLibraryForm</Edit>
  <New>DocumentLibraryForm</New>
</FormTemplates>
</file>

<file path=customXml/itemProps11.xml><?xml version="1.0" encoding="utf-8"?>
<ds:datastoreItem xmlns:ds="http://schemas.openxmlformats.org/officeDocument/2006/customXml" ds:itemID="{957AB40D-2CA3-4584-B4A5-128B4062B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3.xml><?xml version="1.0" encoding="utf-8"?>
<ds:datastoreItem xmlns:ds="http://schemas.openxmlformats.org/officeDocument/2006/customXml" ds:itemID="{A7C9C07F-CF0F-4409-BAA3-C354F11EB2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2.xml><?xml version="1.0" encoding="utf-8"?>
<ds:datastoreItem xmlns:ds="http://schemas.openxmlformats.org/officeDocument/2006/customXml" ds:itemID="{51F058CA-AF0F-4794-AA37-06C85ADD9B08}">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TM03987167</ap:Template>
  <ap:DocSecurity>0</ap:DocSecurity>
  <ap:ScaleCrop>false</ap:ScaleCrop>
  <ap:HeadingPairs>
    <vt:vector baseType="variant" size="4">
      <vt:variant>
        <vt:lpstr>Hojas de cálculo</vt:lpstr>
      </vt:variant>
      <vt:variant>
        <vt:i4>13</vt:i4>
      </vt:variant>
      <vt:variant>
        <vt:lpstr>Rangos con nombre</vt:lpstr>
      </vt:variant>
      <vt:variant>
        <vt:i4>50</vt:i4>
      </vt:variant>
    </vt:vector>
  </ap:HeadingPairs>
  <ap:TitlesOfParts>
    <vt:vector baseType="lpstr" size="63">
      <vt:lpstr>Enero</vt:lpstr>
      <vt:lpstr>Febrero</vt:lpstr>
      <vt:lpstr>Marzo</vt:lpstr>
      <vt:lpstr>Abril</vt:lpstr>
      <vt:lpstr>Mayo</vt:lpstr>
      <vt:lpstr>Junio</vt:lpstr>
      <vt:lpstr>Julio</vt:lpstr>
      <vt:lpstr>Agosto</vt:lpstr>
      <vt:lpstr>Septiembre</vt:lpstr>
      <vt:lpstr>Octubre</vt:lpstr>
      <vt:lpstr>Noviembre</vt:lpstr>
      <vt:lpstr>Diciembre</vt:lpstr>
      <vt:lpstr>Nombres de los empleados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Abril!MonthName</vt:lpstr>
      <vt:lpstr>Agosto!MonthName</vt:lpstr>
      <vt:lpstr>Diciembre!MonthName</vt:lpstr>
      <vt:lpstr>Enero!MonthName</vt:lpstr>
      <vt:lpstr>'Febrero'!MonthName</vt:lpstr>
      <vt:lpstr>Julio!MonthName</vt:lpstr>
      <vt:lpstr>Junio!MonthName</vt:lpstr>
      <vt:lpstr>Marzo!MonthName</vt:lpstr>
      <vt:lpstr>Mayo!MonthName</vt:lpstr>
      <vt:lpstr>Noviembre!MonthName</vt:lpstr>
      <vt:lpstr>Octubre!MonthName</vt:lpstr>
      <vt:lpstr>Septiembre!MonthName</vt:lpstr>
      <vt:lpstr>Title1</vt:lpstr>
      <vt:lpstr>Title10</vt:lpstr>
      <vt:lpstr>Title11</vt:lpstr>
      <vt:lpstr>Title12</vt:lpstr>
      <vt:lpstr>Title2</vt:lpstr>
      <vt:lpstr>Title3</vt:lpstr>
      <vt:lpstr>Title4</vt:lpstr>
      <vt:lpstr>Title5</vt:lpstr>
      <vt:lpstr>Title6</vt:lpstr>
      <vt:lpstr>Title7</vt:lpstr>
      <vt:lpstr>Title8</vt:lpstr>
      <vt:lpstr>Title9</vt:lpstr>
      <vt:lpstr>Abril!Títulos_a_imprimir</vt:lpstr>
      <vt:lpstr>Agosto!Títulos_a_imprimir</vt:lpstr>
      <vt:lpstr>Diciembre!Títulos_a_imprimir</vt:lpstr>
      <vt:lpstr>Enero!Títulos_a_imprimir</vt:lpstr>
      <vt:lpstr>'Febrero'!Títulos_a_imprimir</vt:lpstr>
      <vt:lpstr>Julio!Títulos_a_imprimir</vt:lpstr>
      <vt:lpstr>Junio!Títulos_a_imprimir</vt:lpstr>
      <vt:lpstr>Marzo!Títulos_a_imprimir</vt:lpstr>
      <vt:lpstr>Mayo!Títulos_a_imprimir</vt:lpstr>
      <vt:lpstr>Noviembre!Títulos_a_imprimir</vt:lpstr>
      <vt:lpstr>Octubre!Títulos_a_imprimir</vt:lpstr>
      <vt:lpstr>Septiembre!Títulos_a_imprimir</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2023-01-31T06:59:27Z</dcterms:created>
  <dcterms:modified xsi:type="dcterms:W3CDTF">2023-04-06T06:21:41Z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