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showInkAnnotation="0" codeName="ThisWorkbook" autoCompressPictures="0"/>
  <mc:AlternateContent xmlns:mc="http://schemas.openxmlformats.org/markup-compatibility/2006">
    <mc:Choice Requires="x15">
      <x15ac:absPath xmlns:x15ac="http://schemas.microsoft.com/office/spreadsheetml/2010/11/ac" url="/Users/emilianoquevedomeza/Documents/"/>
    </mc:Choice>
  </mc:AlternateContent>
  <xr:revisionPtr revIDLastSave="18" documentId="13_ncr:1_{0C260C76-91EA-2A44-9E74-3F52E03817C8}" xr6:coauthVersionLast="47" xr6:coauthVersionMax="47" xr10:uidLastSave="{CF5D77C1-836D-4F0E-A61E-E07F4231D57E}"/>
  <bookViews>
    <workbookView xWindow="0" yWindow="660" windowWidth="29400" windowHeight="18460" xr2:uid="{00000000-000D-0000-FFFF-FFFF00000000}"/>
  </bookViews>
  <sheets>
    <sheet name="Cotizacion" sheetId="1" r:id="rId1"/>
    <sheet name="Mobiliti" sheetId="23" r:id="rId2"/>
    <sheet name="Control Administrativo" sheetId="37" r:id="rId3"/>
    <sheet name="Estrategia Comercial " sheetId="2" r:id="rId4"/>
    <sheet name="Fletes" sheetId="36" state="hidden"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Cotizacion!$A$1:$J$93</definedName>
    <definedName name="_xlnm.Print_Area" localSheetId="3">'Estrategia Comercial '!$A$1:$F$120</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Proveedores!$A$2:$D$39</definedName>
    <definedName name="ProveedoreS_TC">Proveedores!$A$2:$E$39</definedName>
    <definedName name="Taba_Region">Fletes!$G$5:$G$18</definedName>
    <definedName name="Tabla_Costos">Fletes!$D$5:$F$18</definedName>
    <definedName name="Tabla_Factor">Fletes!$Q$6:$R$18</definedName>
    <definedName name="Tabla_Fletes">Fletes!$I$6:$K$19</definedName>
    <definedName name="Tabla_Instalacion">Fletes!$M$6:$N$19</definedName>
    <definedName name="Tabla_Proveedores">Proveedores!$A$2:$B$39</definedName>
    <definedName name="Tabla_Proveedores_1">Proveedores!$A$2:$B$37</definedName>
    <definedName name="Tabla_Regiones">Fletes!$A$45:$B$56</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72" i="23" l="1"/>
  <c r="AC571" i="23"/>
  <c r="AC570" i="23"/>
  <c r="AC569" i="23"/>
  <c r="AC568" i="23"/>
  <c r="AC567" i="23"/>
  <c r="AC566" i="23"/>
  <c r="AC565" i="23"/>
  <c r="AC564" i="23"/>
  <c r="AC563" i="23"/>
  <c r="AC562" i="23"/>
  <c r="AC561" i="23"/>
  <c r="AC560" i="23"/>
  <c r="AC559" i="23"/>
  <c r="AC558" i="23"/>
  <c r="AC557" i="23"/>
  <c r="AC556" i="23"/>
  <c r="AC555" i="23"/>
  <c r="AC554" i="23"/>
  <c r="AC553" i="23"/>
  <c r="AC552" i="23"/>
  <c r="AC551" i="23"/>
  <c r="AC550" i="23"/>
  <c r="AC549" i="23"/>
  <c r="AC548" i="23"/>
  <c r="AC547" i="23"/>
  <c r="AC546" i="23"/>
  <c r="AC545" i="23"/>
  <c r="AC544" i="23"/>
  <c r="AC543" i="23"/>
  <c r="AC542" i="23"/>
  <c r="AC541" i="23"/>
  <c r="AC540" i="23"/>
  <c r="AC537" i="23"/>
  <c r="AC536" i="23"/>
  <c r="AC535" i="23"/>
  <c r="AC534" i="23"/>
  <c r="AC533" i="23"/>
  <c r="AC532" i="23"/>
  <c r="AC531" i="23"/>
  <c r="AC530" i="23"/>
  <c r="AC529" i="23"/>
  <c r="AC528" i="23"/>
  <c r="AC527" i="23"/>
  <c r="AC526" i="23"/>
  <c r="AC525" i="23"/>
  <c r="AC524" i="23"/>
  <c r="AC523" i="23"/>
  <c r="AC522" i="23"/>
  <c r="AC521" i="23"/>
  <c r="AC520" i="23"/>
  <c r="AC519" i="23"/>
  <c r="AC518" i="23"/>
  <c r="AC517" i="23"/>
  <c r="AC516" i="23"/>
  <c r="AC515" i="23"/>
  <c r="AC514" i="23"/>
  <c r="AC513" i="23"/>
  <c r="AC512" i="23"/>
  <c r="AC511" i="23"/>
  <c r="AC510" i="23"/>
  <c r="AC509" i="23"/>
  <c r="AC508" i="23"/>
  <c r="AC507" i="23"/>
  <c r="AC506" i="23"/>
  <c r="AC505" i="23"/>
  <c r="AC502" i="23"/>
  <c r="AC501" i="23"/>
  <c r="AC500" i="23"/>
  <c r="AC499" i="23"/>
  <c r="AC498" i="23"/>
  <c r="AC497" i="23"/>
  <c r="AC496" i="23"/>
  <c r="AC495" i="23"/>
  <c r="AC494" i="23"/>
  <c r="AC493" i="23"/>
  <c r="AC492" i="23"/>
  <c r="AC491" i="23"/>
  <c r="AC490" i="23"/>
  <c r="AC489" i="23"/>
  <c r="AC488" i="23"/>
  <c r="AC487" i="23"/>
  <c r="AC486" i="23"/>
  <c r="AC485" i="23"/>
  <c r="AC484" i="23"/>
  <c r="AC483" i="23"/>
  <c r="AC482" i="23"/>
  <c r="AC481" i="23"/>
  <c r="AC480" i="23"/>
  <c r="AC479" i="23"/>
  <c r="AC478" i="23"/>
  <c r="AC477" i="23"/>
  <c r="AC476" i="23"/>
  <c r="AC475" i="23"/>
  <c r="AC474" i="23"/>
  <c r="AC473" i="23"/>
  <c r="AC472" i="23"/>
  <c r="AC471" i="23"/>
  <c r="AC470" i="23"/>
  <c r="AC467" i="23"/>
  <c r="AC466" i="23"/>
  <c r="AC465" i="23"/>
  <c r="AC464" i="23"/>
  <c r="AC463" i="23"/>
  <c r="AC462" i="23"/>
  <c r="AC461" i="23"/>
  <c r="AC460" i="23"/>
  <c r="AC459" i="23"/>
  <c r="AC458" i="23"/>
  <c r="AC457" i="23"/>
  <c r="AC456" i="23"/>
  <c r="AC455" i="23"/>
  <c r="AC454" i="23"/>
  <c r="AC453" i="23"/>
  <c r="AC452" i="23"/>
  <c r="AC451" i="23"/>
  <c r="AC450" i="23"/>
  <c r="AC449" i="23"/>
  <c r="AC448" i="23"/>
  <c r="AC447" i="23"/>
  <c r="AC446" i="23"/>
  <c r="AC445" i="23"/>
  <c r="AC444" i="23"/>
  <c r="AC443" i="23"/>
  <c r="AC442" i="23"/>
  <c r="AC441" i="23"/>
  <c r="AC440" i="23"/>
  <c r="AC439" i="23"/>
  <c r="AC438" i="23"/>
  <c r="AC437" i="23"/>
  <c r="AC436" i="23"/>
  <c r="AC435" i="23"/>
  <c r="AC432" i="23"/>
  <c r="AC431" i="23"/>
  <c r="AC430" i="23"/>
  <c r="AC429" i="23"/>
  <c r="AC428" i="23"/>
  <c r="AC427" i="23"/>
  <c r="AC426" i="23"/>
  <c r="AC425" i="23"/>
  <c r="AC424" i="23"/>
  <c r="AC423" i="23"/>
  <c r="AC422" i="23"/>
  <c r="AC421" i="23"/>
  <c r="AC420" i="23"/>
  <c r="AC419" i="23"/>
  <c r="AC418" i="23"/>
  <c r="AC417" i="23"/>
  <c r="AC416" i="23"/>
  <c r="AC415" i="23"/>
  <c r="AC414" i="23"/>
  <c r="AC413" i="23"/>
  <c r="AC412" i="23"/>
  <c r="AC411" i="23"/>
  <c r="AC410" i="23"/>
  <c r="AC409" i="23"/>
  <c r="AC408" i="23"/>
  <c r="AC407" i="23"/>
  <c r="AC406" i="23"/>
  <c r="AC405" i="23"/>
  <c r="AC404" i="23"/>
  <c r="AC403" i="23"/>
  <c r="AC402" i="23"/>
  <c r="AC401" i="23"/>
  <c r="AC400" i="23"/>
  <c r="AC397" i="23"/>
  <c r="AC396" i="23"/>
  <c r="AC395" i="23"/>
  <c r="AC394" i="23"/>
  <c r="AC393" i="23"/>
  <c r="AC392" i="23"/>
  <c r="AC391" i="23"/>
  <c r="AC390" i="23"/>
  <c r="AC389" i="23"/>
  <c r="AC388" i="23"/>
  <c r="AC387" i="23"/>
  <c r="AC386" i="23"/>
  <c r="AC385" i="23"/>
  <c r="AC384" i="23"/>
  <c r="AC383" i="23"/>
  <c r="AC382" i="23"/>
  <c r="AC381" i="23"/>
  <c r="AC380" i="23"/>
  <c r="AC379" i="23"/>
  <c r="AC378" i="23"/>
  <c r="AC377" i="23"/>
  <c r="AC376" i="23"/>
  <c r="AC375" i="23"/>
  <c r="AC374" i="23"/>
  <c r="AC373" i="23"/>
  <c r="AC372" i="23"/>
  <c r="AC371" i="23"/>
  <c r="AC370" i="23"/>
  <c r="AC369" i="23"/>
  <c r="AC368" i="23"/>
  <c r="AC367" i="23"/>
  <c r="AC366" i="23"/>
  <c r="AC365" i="23"/>
  <c r="AC362" i="23"/>
  <c r="AC361" i="23"/>
  <c r="AC360" i="23"/>
  <c r="AC359" i="23"/>
  <c r="AC358" i="23"/>
  <c r="AC357" i="23"/>
  <c r="AC356" i="23"/>
  <c r="AC355" i="23"/>
  <c r="AC354" i="23"/>
  <c r="AC353" i="23"/>
  <c r="AC352" i="23"/>
  <c r="AC351" i="23"/>
  <c r="AC350" i="23"/>
  <c r="AC349" i="23"/>
  <c r="AC348" i="23"/>
  <c r="AC347" i="23"/>
  <c r="AC346" i="23"/>
  <c r="AC345" i="23"/>
  <c r="AC344" i="23"/>
  <c r="AC343" i="23"/>
  <c r="AC342" i="23"/>
  <c r="AC341" i="23"/>
  <c r="AC340" i="23"/>
  <c r="AC339" i="23"/>
  <c r="AC338" i="23"/>
  <c r="AC337" i="23"/>
  <c r="AC336" i="23"/>
  <c r="AC335" i="23"/>
  <c r="AC334" i="23"/>
  <c r="AC333" i="23"/>
  <c r="AC332" i="23"/>
  <c r="AC331" i="23"/>
  <c r="AC330" i="23"/>
  <c r="AC327" i="23"/>
  <c r="AC326" i="23"/>
  <c r="AC325" i="23"/>
  <c r="AC324" i="23"/>
  <c r="AC323" i="23"/>
  <c r="AC322" i="23"/>
  <c r="AC321" i="23"/>
  <c r="AC320" i="23"/>
  <c r="AC319" i="23"/>
  <c r="AC318" i="23"/>
  <c r="AC317" i="23"/>
  <c r="AC316" i="23"/>
  <c r="AC315" i="23"/>
  <c r="AC314" i="23"/>
  <c r="AC313" i="23"/>
  <c r="AC312" i="23"/>
  <c r="AC311" i="23"/>
  <c r="AC310" i="23"/>
  <c r="AC309" i="23"/>
  <c r="AC308" i="23"/>
  <c r="AC307" i="23"/>
  <c r="AC306" i="23"/>
  <c r="AC305" i="23"/>
  <c r="AC304" i="23"/>
  <c r="AC303" i="23"/>
  <c r="AC302" i="23"/>
  <c r="AC301" i="23"/>
  <c r="AC300" i="23"/>
  <c r="AC299" i="23"/>
  <c r="AC298" i="23"/>
  <c r="AC297" i="23"/>
  <c r="AC296" i="23"/>
  <c r="AC295" i="23"/>
  <c r="AC292" i="23"/>
  <c r="AC291" i="23"/>
  <c r="AC290" i="23"/>
  <c r="AC289" i="23"/>
  <c r="AC288" i="23"/>
  <c r="AC287" i="23"/>
  <c r="AC286" i="23"/>
  <c r="AC285" i="23"/>
  <c r="AC284" i="23"/>
  <c r="AC283" i="23"/>
  <c r="AC282" i="23"/>
  <c r="AC281" i="23"/>
  <c r="AC280" i="23"/>
  <c r="AC279" i="23"/>
  <c r="AC278" i="23"/>
  <c r="AC277" i="23"/>
  <c r="AC276" i="23"/>
  <c r="AC275" i="23"/>
  <c r="AC274" i="23"/>
  <c r="AC273" i="23"/>
  <c r="AC272" i="23"/>
  <c r="AC271" i="23"/>
  <c r="AC270" i="23"/>
  <c r="AC269" i="23"/>
  <c r="AC268" i="23"/>
  <c r="AC267" i="23"/>
  <c r="AC266" i="23"/>
  <c r="AC265" i="23"/>
  <c r="AC264" i="23"/>
  <c r="AC263" i="23"/>
  <c r="AC262" i="23"/>
  <c r="AC261" i="23"/>
  <c r="AC260" i="23"/>
  <c r="AC257" i="23"/>
  <c r="AC256" i="23"/>
  <c r="AC255" i="23"/>
  <c r="AC254" i="23"/>
  <c r="AC253" i="23"/>
  <c r="AC252" i="23"/>
  <c r="AC251" i="23"/>
  <c r="AC250" i="23"/>
  <c r="AC249" i="23"/>
  <c r="AC248" i="23"/>
  <c r="AC247" i="23"/>
  <c r="AC246" i="23"/>
  <c r="AC245" i="23"/>
  <c r="AC244" i="23"/>
  <c r="AC243" i="23"/>
  <c r="AC242" i="23"/>
  <c r="AC241" i="23"/>
  <c r="AC240" i="23"/>
  <c r="AC239" i="23"/>
  <c r="AC238" i="23"/>
  <c r="AC237" i="23"/>
  <c r="AC236" i="23"/>
  <c r="AC235" i="23"/>
  <c r="AC234" i="23"/>
  <c r="AC233" i="23"/>
  <c r="AC232" i="23"/>
  <c r="AC231" i="23"/>
  <c r="AC230" i="23"/>
  <c r="AC229" i="23"/>
  <c r="AC228" i="23"/>
  <c r="AC227" i="23"/>
  <c r="AC226" i="23"/>
  <c r="AC225" i="23"/>
  <c r="AC222" i="23"/>
  <c r="AC221" i="23"/>
  <c r="AC220" i="23"/>
  <c r="AC219" i="23"/>
  <c r="AC218" i="23"/>
  <c r="AC217" i="23"/>
  <c r="AC216" i="23"/>
  <c r="AC215" i="23"/>
  <c r="AC214" i="23"/>
  <c r="AC213" i="23"/>
  <c r="AC212" i="23"/>
  <c r="AC211" i="23"/>
  <c r="AC210" i="23"/>
  <c r="AC209" i="23"/>
  <c r="AC208" i="23"/>
  <c r="AC207" i="23"/>
  <c r="AC206" i="23"/>
  <c r="AC205" i="23"/>
  <c r="AC204" i="23"/>
  <c r="AC203" i="23"/>
  <c r="AC202" i="23"/>
  <c r="AC201" i="23"/>
  <c r="AC200" i="23"/>
  <c r="AC199" i="23"/>
  <c r="AC198" i="23"/>
  <c r="AC197" i="23"/>
  <c r="AC196" i="23"/>
  <c r="AC195" i="23"/>
  <c r="AC194" i="23"/>
  <c r="AC193" i="23"/>
  <c r="AC192" i="23"/>
  <c r="AC191" i="23"/>
  <c r="AC190" i="23"/>
  <c r="AC187" i="23"/>
  <c r="AC186" i="23"/>
  <c r="AC185" i="23"/>
  <c r="AC184" i="23"/>
  <c r="AC183" i="23"/>
  <c r="AC182" i="23"/>
  <c r="AC181" i="23"/>
  <c r="AC180" i="23"/>
  <c r="AC179" i="23"/>
  <c r="AC178" i="23"/>
  <c r="AC177" i="23"/>
  <c r="AC176" i="23"/>
  <c r="AC175" i="23"/>
  <c r="AC174" i="23"/>
  <c r="AC173" i="23"/>
  <c r="AC172" i="23"/>
  <c r="AC171" i="23"/>
  <c r="AC170" i="23"/>
  <c r="AC169" i="23"/>
  <c r="AC168" i="23"/>
  <c r="AC167" i="23"/>
  <c r="AC166" i="23"/>
  <c r="AC165" i="23"/>
  <c r="AC164" i="23"/>
  <c r="AC163" i="23"/>
  <c r="AC162" i="23"/>
  <c r="AC161" i="23"/>
  <c r="AC160" i="23"/>
  <c r="AC159" i="23"/>
  <c r="AC158" i="23"/>
  <c r="AC157" i="23"/>
  <c r="AC156" i="23"/>
  <c r="AC155" i="23"/>
  <c r="AC152" i="23"/>
  <c r="AC151" i="23"/>
  <c r="AC150" i="23"/>
  <c r="AC149" i="23"/>
  <c r="AC148" i="23"/>
  <c r="AC147" i="23"/>
  <c r="AC146" i="23"/>
  <c r="AC145" i="23"/>
  <c r="AC144" i="23"/>
  <c r="AC143" i="23"/>
  <c r="AC142" i="23"/>
  <c r="AC141" i="23"/>
  <c r="AC140" i="23"/>
  <c r="AC139" i="23"/>
  <c r="AC138" i="23"/>
  <c r="AC137" i="23"/>
  <c r="AC136" i="23"/>
  <c r="AC135" i="23"/>
  <c r="AC134" i="23"/>
  <c r="AC133" i="23"/>
  <c r="AC132" i="23"/>
  <c r="AC131" i="23"/>
  <c r="AC130" i="23"/>
  <c r="AC129" i="23"/>
  <c r="AC128" i="23"/>
  <c r="AC127" i="23"/>
  <c r="AC126" i="23"/>
  <c r="AC125" i="23"/>
  <c r="AC124" i="23"/>
  <c r="AC123" i="23"/>
  <c r="AC122" i="23"/>
  <c r="AC121" i="23"/>
  <c r="AC120" i="23"/>
  <c r="AC117" i="23"/>
  <c r="AC116" i="23"/>
  <c r="AC115" i="23"/>
  <c r="AC114" i="23"/>
  <c r="AC113" i="23"/>
  <c r="AC112" i="23"/>
  <c r="AC111" i="23"/>
  <c r="AC110" i="23"/>
  <c r="AC109" i="23"/>
  <c r="AC108" i="23"/>
  <c r="AC107" i="23"/>
  <c r="AC106" i="23"/>
  <c r="AC105" i="23"/>
  <c r="AC104" i="23"/>
  <c r="AC103" i="23"/>
  <c r="AC102" i="23"/>
  <c r="AC101" i="23"/>
  <c r="AC100" i="23"/>
  <c r="AC99" i="23"/>
  <c r="AC98" i="23"/>
  <c r="AC97" i="23"/>
  <c r="AC96" i="23"/>
  <c r="AC95" i="23"/>
  <c r="AC94" i="23"/>
  <c r="AC93" i="23"/>
  <c r="AC92" i="23"/>
  <c r="AC91" i="23"/>
  <c r="AC90" i="23"/>
  <c r="AC89" i="23"/>
  <c r="AC88" i="23"/>
  <c r="AC87" i="23"/>
  <c r="AC86" i="23"/>
  <c r="AC85" i="23"/>
  <c r="AC82" i="23"/>
  <c r="AC81" i="23"/>
  <c r="AC80" i="23"/>
  <c r="AC79" i="23"/>
  <c r="AC78" i="23"/>
  <c r="AC77" i="23"/>
  <c r="AC76" i="23"/>
  <c r="AC75" i="23"/>
  <c r="AC74" i="23"/>
  <c r="AC73" i="23"/>
  <c r="AC72" i="23"/>
  <c r="AC71" i="23"/>
  <c r="AC70" i="23"/>
  <c r="AC69" i="23"/>
  <c r="AC68" i="23"/>
  <c r="AC67" i="23"/>
  <c r="AC66" i="23"/>
  <c r="AC65" i="23"/>
  <c r="AC64" i="23"/>
  <c r="AC63" i="23"/>
  <c r="AC62" i="23"/>
  <c r="AC61" i="23"/>
  <c r="AC60" i="23"/>
  <c r="AC59" i="23"/>
  <c r="AC58" i="23"/>
  <c r="AC57" i="23"/>
  <c r="AC56" i="23"/>
  <c r="AC55" i="23"/>
  <c r="AC54" i="23"/>
  <c r="AC53" i="23"/>
  <c r="AC52" i="23"/>
  <c r="AC51" i="23"/>
  <c r="AC50" i="23"/>
  <c r="AC16" i="23"/>
  <c r="AC17" i="23"/>
  <c r="AC18" i="23"/>
  <c r="AC19" i="23"/>
  <c r="AC20" i="23"/>
  <c r="AC21" i="23"/>
  <c r="AC22" i="23"/>
  <c r="AC23" i="23"/>
  <c r="AC24" i="23"/>
  <c r="AC25" i="23"/>
  <c r="AC26" i="23"/>
  <c r="AC27" i="23"/>
  <c r="AC28" i="23"/>
  <c r="AC29" i="23"/>
  <c r="AC30" i="23"/>
  <c r="AC31" i="23"/>
  <c r="AC32" i="23"/>
  <c r="AC33" i="23"/>
  <c r="AC34" i="23"/>
  <c r="AC35" i="23"/>
  <c r="AC36" i="23"/>
  <c r="AC37" i="23"/>
  <c r="AC38" i="23"/>
  <c r="AC39" i="23"/>
  <c r="AC40" i="23"/>
  <c r="AC41" i="23"/>
  <c r="AC42" i="23"/>
  <c r="AC43" i="23"/>
  <c r="AC44" i="23"/>
  <c r="AC45" i="23"/>
  <c r="AC46" i="23"/>
  <c r="AC47" i="23"/>
  <c r="AC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15" i="23"/>
  <c r="AM572" i="23"/>
  <c r="AM571" i="23"/>
  <c r="AM570" i="23"/>
  <c r="AM569" i="23"/>
  <c r="AM568" i="23"/>
  <c r="AM567" i="23"/>
  <c r="AM566" i="23"/>
  <c r="AM565" i="23"/>
  <c r="AM564" i="23"/>
  <c r="AM563" i="23"/>
  <c r="AM562" i="23"/>
  <c r="AM561" i="23"/>
  <c r="AM560" i="23"/>
  <c r="AM559" i="23"/>
  <c r="AM558" i="23"/>
  <c r="AM557" i="23"/>
  <c r="AM556" i="23"/>
  <c r="AM555" i="23"/>
  <c r="AM554" i="23"/>
  <c r="AM553" i="23"/>
  <c r="AM552" i="23"/>
  <c r="AM551" i="23"/>
  <c r="AM550" i="23"/>
  <c r="AM549" i="23"/>
  <c r="AM548" i="23"/>
  <c r="AM547" i="23"/>
  <c r="AM546" i="23"/>
  <c r="AM545" i="23"/>
  <c r="AM544" i="23"/>
  <c r="AM543" i="23"/>
  <c r="AM542" i="23"/>
  <c r="AM541" i="23"/>
  <c r="AM540" i="23"/>
  <c r="AM537" i="23"/>
  <c r="AM536" i="23"/>
  <c r="AM535" i="23"/>
  <c r="AM534" i="23"/>
  <c r="AM533" i="23"/>
  <c r="AM532" i="23"/>
  <c r="AM531" i="23"/>
  <c r="AM530" i="23"/>
  <c r="AM529" i="23"/>
  <c r="AM528" i="23"/>
  <c r="AM527" i="23"/>
  <c r="AM526" i="23"/>
  <c r="AM525" i="23"/>
  <c r="AM524" i="23"/>
  <c r="AM523" i="23"/>
  <c r="AM522" i="23"/>
  <c r="AM521" i="23"/>
  <c r="AM520" i="23"/>
  <c r="AM519" i="23"/>
  <c r="AM518" i="23"/>
  <c r="AM517" i="23"/>
  <c r="AM516" i="23"/>
  <c r="AM515" i="23"/>
  <c r="AM514" i="23"/>
  <c r="AM513" i="23"/>
  <c r="AM512" i="23"/>
  <c r="AM511" i="23"/>
  <c r="AM510" i="23"/>
  <c r="AM509" i="23"/>
  <c r="AM508" i="23"/>
  <c r="AM507" i="23"/>
  <c r="AM506" i="23"/>
  <c r="AM505" i="23"/>
  <c r="AM502" i="23"/>
  <c r="AM501" i="23"/>
  <c r="AM500" i="23"/>
  <c r="AM499" i="23"/>
  <c r="AM498" i="23"/>
  <c r="AM497" i="23"/>
  <c r="AM496" i="23"/>
  <c r="AM495" i="23"/>
  <c r="AM494" i="23"/>
  <c r="AM493" i="23"/>
  <c r="AM492" i="23"/>
  <c r="AM491" i="23"/>
  <c r="AM490" i="23"/>
  <c r="AM489" i="23"/>
  <c r="AM488" i="23"/>
  <c r="AM487" i="23"/>
  <c r="AM486" i="23"/>
  <c r="AM485" i="23"/>
  <c r="AM484" i="23"/>
  <c r="AM483" i="23"/>
  <c r="AM482" i="23"/>
  <c r="AM481" i="23"/>
  <c r="AM480" i="23"/>
  <c r="AM479" i="23"/>
  <c r="AM478" i="23"/>
  <c r="AM477" i="23"/>
  <c r="AM476" i="23"/>
  <c r="AM475" i="23"/>
  <c r="AM474" i="23"/>
  <c r="AM473" i="23"/>
  <c r="AM472" i="23"/>
  <c r="AM471" i="23"/>
  <c r="AM470" i="23"/>
  <c r="AM467" i="23"/>
  <c r="AM466" i="23"/>
  <c r="AM465" i="23"/>
  <c r="AM464" i="23"/>
  <c r="AM463" i="23"/>
  <c r="AM462" i="23"/>
  <c r="AM461" i="23"/>
  <c r="AM460" i="23"/>
  <c r="AM459" i="23"/>
  <c r="AM458" i="23"/>
  <c r="AM457" i="23"/>
  <c r="AM456" i="23"/>
  <c r="AM455" i="23"/>
  <c r="AM454" i="23"/>
  <c r="AM453" i="23"/>
  <c r="AM452" i="23"/>
  <c r="AM451" i="23"/>
  <c r="AM450" i="23"/>
  <c r="AM449" i="23"/>
  <c r="AM448" i="23"/>
  <c r="AM447" i="23"/>
  <c r="AM446" i="23"/>
  <c r="AM445" i="23"/>
  <c r="AM444" i="23"/>
  <c r="AM443" i="23"/>
  <c r="AM442" i="23"/>
  <c r="AM441" i="23"/>
  <c r="AM440" i="23"/>
  <c r="AM439" i="23"/>
  <c r="AM438" i="23"/>
  <c r="AM437" i="23"/>
  <c r="AM436" i="23"/>
  <c r="AM435" i="23"/>
  <c r="AM432" i="23"/>
  <c r="AM431" i="23"/>
  <c r="AM430" i="23"/>
  <c r="AM429" i="23"/>
  <c r="AM428" i="23"/>
  <c r="AM427" i="23"/>
  <c r="AM426" i="23"/>
  <c r="AM425" i="23"/>
  <c r="AM424" i="23"/>
  <c r="AM423" i="23"/>
  <c r="AM422" i="23"/>
  <c r="AM421" i="23"/>
  <c r="AM420" i="23"/>
  <c r="AM419" i="23"/>
  <c r="AM418" i="23"/>
  <c r="AM417" i="23"/>
  <c r="AM416" i="23"/>
  <c r="AM415" i="23"/>
  <c r="AM414" i="23"/>
  <c r="AM413" i="23"/>
  <c r="AM412" i="23"/>
  <c r="AM411" i="23"/>
  <c r="AM410" i="23"/>
  <c r="AM409" i="23"/>
  <c r="AM408" i="23"/>
  <c r="AM407" i="23"/>
  <c r="AM406" i="23"/>
  <c r="AM405" i="23"/>
  <c r="AM404" i="23"/>
  <c r="AM403" i="23"/>
  <c r="AM402" i="23"/>
  <c r="AM401" i="23"/>
  <c r="AM400" i="23"/>
  <c r="AM397" i="23"/>
  <c r="AM396" i="23"/>
  <c r="AM395" i="23"/>
  <c r="AM394" i="23"/>
  <c r="AM393" i="23"/>
  <c r="AM392" i="23"/>
  <c r="AM391" i="23"/>
  <c r="AM390" i="23"/>
  <c r="AM389" i="23"/>
  <c r="AM388" i="23"/>
  <c r="AM387" i="23"/>
  <c r="AM386" i="23"/>
  <c r="AM385" i="23"/>
  <c r="AM384" i="23"/>
  <c r="AM383" i="23"/>
  <c r="AM382" i="23"/>
  <c r="AM381" i="23"/>
  <c r="AM380" i="23"/>
  <c r="AM379" i="23"/>
  <c r="AM378" i="23"/>
  <c r="AM377" i="23"/>
  <c r="AM376" i="23"/>
  <c r="AM375" i="23"/>
  <c r="AM374" i="23"/>
  <c r="AM373" i="23"/>
  <c r="AM372" i="23"/>
  <c r="AM371" i="23"/>
  <c r="AM370" i="23"/>
  <c r="AM369" i="23"/>
  <c r="AM368" i="23"/>
  <c r="AM367" i="23"/>
  <c r="AM366" i="23"/>
  <c r="AM365" i="23"/>
  <c r="AM362" i="23"/>
  <c r="AM361" i="23"/>
  <c r="AM360" i="23"/>
  <c r="AM359" i="23"/>
  <c r="AM358" i="23"/>
  <c r="AM357" i="23"/>
  <c r="AM356" i="23"/>
  <c r="AM355" i="23"/>
  <c r="AM354" i="23"/>
  <c r="AM353" i="23"/>
  <c r="AM352" i="23"/>
  <c r="AM351" i="23"/>
  <c r="AM350" i="23"/>
  <c r="AM349" i="23"/>
  <c r="AM348" i="23"/>
  <c r="AM347" i="23"/>
  <c r="AM346" i="23"/>
  <c r="AM345" i="23"/>
  <c r="AM344" i="23"/>
  <c r="AM343" i="23"/>
  <c r="AM342" i="23"/>
  <c r="AM341" i="23"/>
  <c r="AM340" i="23"/>
  <c r="AM339" i="23"/>
  <c r="AM338" i="23"/>
  <c r="AM337" i="23"/>
  <c r="AM336" i="23"/>
  <c r="AM335" i="23"/>
  <c r="AM334" i="23"/>
  <c r="AM333" i="23"/>
  <c r="AM332" i="23"/>
  <c r="AM331" i="23"/>
  <c r="AM330" i="23"/>
  <c r="AM327" i="23"/>
  <c r="AM326" i="23"/>
  <c r="AM325" i="23"/>
  <c r="AM324" i="23"/>
  <c r="AM323" i="23"/>
  <c r="AM322" i="23"/>
  <c r="AM321" i="23"/>
  <c r="AM320" i="23"/>
  <c r="AM319" i="23"/>
  <c r="AM318" i="23"/>
  <c r="AM317" i="23"/>
  <c r="AM316" i="23"/>
  <c r="AM315" i="23"/>
  <c r="AM314" i="23"/>
  <c r="AM313" i="23"/>
  <c r="AM312" i="23"/>
  <c r="AM311" i="23"/>
  <c r="AM310" i="23"/>
  <c r="AM309" i="23"/>
  <c r="AM308" i="23"/>
  <c r="AM307" i="23"/>
  <c r="AM306" i="23"/>
  <c r="AM305" i="23"/>
  <c r="AM304" i="23"/>
  <c r="AM303" i="23"/>
  <c r="AM302" i="23"/>
  <c r="AM301" i="23"/>
  <c r="AM300" i="23"/>
  <c r="AM299" i="23"/>
  <c r="AM298" i="23"/>
  <c r="AM297" i="23"/>
  <c r="AM296" i="23"/>
  <c r="AM295" i="23"/>
  <c r="AM292" i="23"/>
  <c r="AM291" i="23"/>
  <c r="AM290" i="23"/>
  <c r="AM289" i="23"/>
  <c r="AM288" i="23"/>
  <c r="AM287" i="23"/>
  <c r="AM286" i="23"/>
  <c r="AM285" i="23"/>
  <c r="AM284" i="23"/>
  <c r="AM283" i="23"/>
  <c r="AM282" i="23"/>
  <c r="AM281" i="23"/>
  <c r="AM280" i="23"/>
  <c r="AM279" i="23"/>
  <c r="AM278" i="23"/>
  <c r="AM277" i="23"/>
  <c r="AM276" i="23"/>
  <c r="AM275" i="23"/>
  <c r="AM274" i="23"/>
  <c r="AM273" i="23"/>
  <c r="AM272" i="23"/>
  <c r="AM271" i="23"/>
  <c r="AM270" i="23"/>
  <c r="AM269" i="23"/>
  <c r="AM268" i="23"/>
  <c r="AM267" i="23"/>
  <c r="AM266" i="23"/>
  <c r="AM265" i="23"/>
  <c r="AM264" i="23"/>
  <c r="AM263" i="23"/>
  <c r="AM262" i="23"/>
  <c r="AM261" i="23"/>
  <c r="AM260" i="23"/>
  <c r="AM257" i="23"/>
  <c r="AM256" i="23"/>
  <c r="AM255" i="23"/>
  <c r="AM254" i="23"/>
  <c r="AM253" i="23"/>
  <c r="AM252" i="23"/>
  <c r="AM251" i="23"/>
  <c r="AM250" i="23"/>
  <c r="AM249" i="23"/>
  <c r="AM248" i="23"/>
  <c r="AM247" i="23"/>
  <c r="AM246" i="23"/>
  <c r="AM245" i="23"/>
  <c r="AM244" i="23"/>
  <c r="AM243" i="23"/>
  <c r="AM242" i="23"/>
  <c r="AM241" i="23"/>
  <c r="AM240" i="23"/>
  <c r="AM239" i="23"/>
  <c r="AM238" i="23"/>
  <c r="AM237" i="23"/>
  <c r="AM236" i="23"/>
  <c r="AM235" i="23"/>
  <c r="AM234" i="23"/>
  <c r="AM233" i="23"/>
  <c r="AM232" i="23"/>
  <c r="AM231" i="23"/>
  <c r="AM230" i="23"/>
  <c r="AM229" i="23"/>
  <c r="AM228" i="23"/>
  <c r="AM227" i="23"/>
  <c r="AM226" i="23"/>
  <c r="AM225" i="23"/>
  <c r="AM222" i="23"/>
  <c r="AM221" i="23"/>
  <c r="AM220" i="23"/>
  <c r="AM219" i="23"/>
  <c r="AM218" i="23"/>
  <c r="AM217" i="23"/>
  <c r="AM216" i="23"/>
  <c r="AM215" i="23"/>
  <c r="AM214" i="23"/>
  <c r="AM213" i="23"/>
  <c r="AM212" i="23"/>
  <c r="AM211" i="23"/>
  <c r="AM210" i="23"/>
  <c r="AM209" i="23"/>
  <c r="AM208" i="23"/>
  <c r="AM207" i="23"/>
  <c r="AM206" i="23"/>
  <c r="AM205" i="23"/>
  <c r="AM204" i="23"/>
  <c r="AM203" i="23"/>
  <c r="AM202" i="23"/>
  <c r="AM201" i="23"/>
  <c r="AM200" i="23"/>
  <c r="AM199" i="23"/>
  <c r="AM198" i="23"/>
  <c r="AM197" i="23"/>
  <c r="AM196" i="23"/>
  <c r="AM195" i="23"/>
  <c r="AM194" i="23"/>
  <c r="AM193" i="23"/>
  <c r="AM192" i="23"/>
  <c r="AM191" i="23"/>
  <c r="AM190" i="23"/>
  <c r="AM187" i="23"/>
  <c r="AM186" i="23"/>
  <c r="AM185" i="23"/>
  <c r="AM184" i="23"/>
  <c r="AM183" i="23"/>
  <c r="AM182" i="23"/>
  <c r="AM181" i="23"/>
  <c r="AM180" i="23"/>
  <c r="AM179" i="23"/>
  <c r="AM178" i="23"/>
  <c r="AM177" i="23"/>
  <c r="AM176" i="23"/>
  <c r="AM175" i="23"/>
  <c r="AM174" i="23"/>
  <c r="AM173" i="23"/>
  <c r="AM172" i="23"/>
  <c r="AM171" i="23"/>
  <c r="AM170" i="23"/>
  <c r="AM169" i="23"/>
  <c r="AM168" i="23"/>
  <c r="AM167" i="23"/>
  <c r="AM166" i="23"/>
  <c r="AM165" i="23"/>
  <c r="AM164" i="23"/>
  <c r="AM163" i="23"/>
  <c r="AM162" i="23"/>
  <c r="AM161" i="23"/>
  <c r="AM160" i="23"/>
  <c r="AM159" i="23"/>
  <c r="AM158" i="23"/>
  <c r="AM157" i="23"/>
  <c r="AM156" i="23"/>
  <c r="AM155" i="23"/>
  <c r="AM152" i="23"/>
  <c r="AM151" i="23"/>
  <c r="AM150" i="23"/>
  <c r="AM149" i="23"/>
  <c r="AM148" i="23"/>
  <c r="AM147" i="23"/>
  <c r="AM146" i="23"/>
  <c r="AM145" i="23"/>
  <c r="AM144" i="23"/>
  <c r="AM143" i="23"/>
  <c r="AM142" i="23"/>
  <c r="AM141" i="23"/>
  <c r="AM140" i="23"/>
  <c r="AM139" i="23"/>
  <c r="AM138" i="23"/>
  <c r="AM137" i="23"/>
  <c r="AM136" i="23"/>
  <c r="AM135" i="23"/>
  <c r="AM134" i="23"/>
  <c r="AM133" i="23"/>
  <c r="AM132" i="23"/>
  <c r="AM131" i="23"/>
  <c r="AM130" i="23"/>
  <c r="AM129" i="23"/>
  <c r="AM128" i="23"/>
  <c r="AM127" i="23"/>
  <c r="AM126" i="23"/>
  <c r="AM125" i="23"/>
  <c r="AM124" i="23"/>
  <c r="AM123" i="23"/>
  <c r="AM122" i="23"/>
  <c r="AM121" i="23"/>
  <c r="AM120" i="23"/>
  <c r="AM117" i="23"/>
  <c r="AM116" i="23"/>
  <c r="AM115" i="23"/>
  <c r="AM114" i="23"/>
  <c r="AM113" i="23"/>
  <c r="AM112" i="23"/>
  <c r="AM111" i="23"/>
  <c r="AM110" i="23"/>
  <c r="AM109" i="23"/>
  <c r="AM108" i="23"/>
  <c r="AM107" i="23"/>
  <c r="AM106" i="23"/>
  <c r="AM105" i="23"/>
  <c r="AM104" i="23"/>
  <c r="AM103" i="23"/>
  <c r="AM102" i="23"/>
  <c r="AM101" i="23"/>
  <c r="AM100" i="23"/>
  <c r="AM99" i="23"/>
  <c r="AM98" i="23"/>
  <c r="AM97" i="23"/>
  <c r="AM96" i="23"/>
  <c r="AM95" i="23"/>
  <c r="AM94" i="23"/>
  <c r="AM93" i="23"/>
  <c r="AM92" i="23"/>
  <c r="AM91" i="23"/>
  <c r="AM90" i="23"/>
  <c r="AM89" i="23"/>
  <c r="AM88" i="23"/>
  <c r="AM87" i="23"/>
  <c r="AM86" i="23"/>
  <c r="AM85" i="23"/>
  <c r="AM82" i="23"/>
  <c r="AM81" i="23"/>
  <c r="AM80" i="23"/>
  <c r="AM79" i="23"/>
  <c r="AM78" i="23"/>
  <c r="AM77" i="23"/>
  <c r="AM76" i="23"/>
  <c r="AM75" i="23"/>
  <c r="AM74" i="23"/>
  <c r="AM73" i="23"/>
  <c r="AM72" i="23"/>
  <c r="AM71" i="23"/>
  <c r="AM70" i="23"/>
  <c r="AM69" i="23"/>
  <c r="AM68" i="23"/>
  <c r="AM67" i="23"/>
  <c r="AM66" i="23"/>
  <c r="AM65" i="23"/>
  <c r="AM64" i="23"/>
  <c r="AM63" i="23"/>
  <c r="AM62" i="23"/>
  <c r="AM61" i="23"/>
  <c r="AM60" i="23"/>
  <c r="AM59" i="23"/>
  <c r="AM58" i="23"/>
  <c r="AM57" i="23"/>
  <c r="AM56" i="23"/>
  <c r="AM55" i="23"/>
  <c r="AM54" i="23"/>
  <c r="AM53" i="23"/>
  <c r="AM52" i="23"/>
  <c r="AM51" i="23"/>
  <c r="AM50" i="23"/>
  <c r="AM16" i="23"/>
  <c r="AM17" i="23"/>
  <c r="AM18" i="23"/>
  <c r="AM19" i="23"/>
  <c r="AM20" i="23"/>
  <c r="AM21" i="23"/>
  <c r="AM22" i="23"/>
  <c r="AM23" i="23"/>
  <c r="AM24" i="23"/>
  <c r="AM25" i="23"/>
  <c r="AM26" i="23"/>
  <c r="AM27" i="23"/>
  <c r="AM28" i="23"/>
  <c r="AM29" i="23"/>
  <c r="AM30" i="23"/>
  <c r="AM31" i="23"/>
  <c r="AM32" i="23"/>
  <c r="AM33" i="23"/>
  <c r="AM34" i="23"/>
  <c r="AM35" i="23"/>
  <c r="AM36" i="23"/>
  <c r="AM37" i="23"/>
  <c r="AM38" i="23"/>
  <c r="AM39" i="23"/>
  <c r="AM40" i="23"/>
  <c r="AM41" i="23"/>
  <c r="AM42" i="23"/>
  <c r="AM43" i="23"/>
  <c r="AM44" i="23"/>
  <c r="AM45" i="23"/>
  <c r="AM46" i="23"/>
  <c r="AM47" i="23"/>
  <c r="AM15" i="23"/>
  <c r="P6" i="23" a="1"/>
  <c r="P6" i="23" s="1"/>
  <c r="N16" i="36" s="1"/>
  <c r="F26" i="37"/>
  <c r="F25" i="37"/>
  <c r="F24" i="37"/>
  <c r="F23" i="37"/>
  <c r="F22" i="37"/>
  <c r="F21" i="37"/>
  <c r="F20" i="37"/>
  <c r="F19" i="37"/>
  <c r="C76" i="2"/>
  <c r="E28" i="1"/>
  <c r="E29" i="1"/>
  <c r="E30" i="1"/>
  <c r="E31" i="1"/>
  <c r="E32" i="1"/>
  <c r="E33" i="1"/>
  <c r="E34" i="1"/>
  <c r="E35" i="1"/>
  <c r="E36" i="1"/>
  <c r="B3" i="37"/>
  <c r="C96" i="2"/>
  <c r="C97" i="2" s="1"/>
  <c r="B8" i="2"/>
  <c r="B9" i="2"/>
  <c r="B10" i="2"/>
  <c r="B12" i="2"/>
  <c r="B13" i="2"/>
  <c r="B14" i="2"/>
  <c r="B15" i="2"/>
  <c r="B18" i="2"/>
  <c r="B19" i="2"/>
  <c r="B21" i="2"/>
  <c r="B26" i="2"/>
  <c r="B27" i="2"/>
  <c r="B28" i="2"/>
  <c r="B29" i="2"/>
  <c r="B30" i="2"/>
  <c r="B31" i="2"/>
  <c r="B32" i="2"/>
  <c r="B33" i="2"/>
  <c r="B34" i="2"/>
  <c r="B35" i="2"/>
  <c r="B36" i="2"/>
  <c r="B37" i="2"/>
  <c r="B38" i="2"/>
  <c r="B39" i="2"/>
  <c r="AD572" i="23"/>
  <c r="AD571" i="23"/>
  <c r="AD570" i="23"/>
  <c r="AD569" i="23"/>
  <c r="AD568" i="23"/>
  <c r="AD567" i="23"/>
  <c r="AD566" i="23"/>
  <c r="AD565" i="23"/>
  <c r="AD564" i="23"/>
  <c r="AD563" i="23"/>
  <c r="AD562" i="23"/>
  <c r="AD561" i="23"/>
  <c r="AD560" i="23"/>
  <c r="AD559" i="23"/>
  <c r="AD558" i="23"/>
  <c r="AD557" i="23"/>
  <c r="AD556" i="23"/>
  <c r="AD555" i="23"/>
  <c r="AD554" i="23"/>
  <c r="AD553" i="23"/>
  <c r="AD552" i="23"/>
  <c r="AD551" i="23"/>
  <c r="AD550" i="23"/>
  <c r="AD549" i="23"/>
  <c r="AD548" i="23"/>
  <c r="AD547" i="23"/>
  <c r="AD546" i="23"/>
  <c r="AD545" i="23"/>
  <c r="AD544" i="23"/>
  <c r="AD543" i="23"/>
  <c r="AD542" i="23"/>
  <c r="AD541" i="23"/>
  <c r="AD540" i="23"/>
  <c r="AD537" i="23"/>
  <c r="AD536" i="23"/>
  <c r="AD535" i="23"/>
  <c r="AD534" i="23"/>
  <c r="AD533" i="23"/>
  <c r="AD532" i="23"/>
  <c r="AD531" i="23"/>
  <c r="AD530" i="23"/>
  <c r="AD529" i="23"/>
  <c r="AD528" i="23"/>
  <c r="AD527" i="23"/>
  <c r="AD526" i="23"/>
  <c r="AD525" i="23"/>
  <c r="AD524" i="23"/>
  <c r="AD523" i="23"/>
  <c r="AD522" i="23"/>
  <c r="AD521" i="23"/>
  <c r="AD520" i="23"/>
  <c r="AD519" i="23"/>
  <c r="AD518" i="23"/>
  <c r="AD517" i="23"/>
  <c r="AD516" i="23"/>
  <c r="AD515" i="23"/>
  <c r="AD514" i="23"/>
  <c r="AD513" i="23"/>
  <c r="AD512" i="23"/>
  <c r="AD511" i="23"/>
  <c r="AD510" i="23"/>
  <c r="AD509" i="23"/>
  <c r="AD508" i="23"/>
  <c r="AD507" i="23"/>
  <c r="AD506" i="23"/>
  <c r="AD505" i="23"/>
  <c r="AD502" i="23"/>
  <c r="AD501" i="23"/>
  <c r="AD500" i="23"/>
  <c r="AD499" i="23"/>
  <c r="AD498" i="23"/>
  <c r="AD497" i="23"/>
  <c r="AD496" i="23"/>
  <c r="AD495" i="23"/>
  <c r="AD494" i="23"/>
  <c r="AD493" i="23"/>
  <c r="AD492" i="23"/>
  <c r="AD491" i="23"/>
  <c r="AD490" i="23"/>
  <c r="AD489" i="23"/>
  <c r="AD488" i="23"/>
  <c r="AD487" i="23"/>
  <c r="AD486" i="23"/>
  <c r="AD485" i="23"/>
  <c r="AD484" i="23"/>
  <c r="AD483" i="23"/>
  <c r="AD482" i="23"/>
  <c r="AD481" i="23"/>
  <c r="AD480" i="23"/>
  <c r="AD479" i="23"/>
  <c r="AD478" i="23"/>
  <c r="AD477" i="23"/>
  <c r="AD476" i="23"/>
  <c r="AD475" i="23"/>
  <c r="AD474" i="23"/>
  <c r="AD473" i="23"/>
  <c r="AD472" i="23"/>
  <c r="AD471" i="23"/>
  <c r="AD470" i="23"/>
  <c r="AD467" i="23"/>
  <c r="AD466" i="23"/>
  <c r="AD465" i="23"/>
  <c r="AD464" i="23"/>
  <c r="AD463" i="23"/>
  <c r="AD462" i="23"/>
  <c r="AD461" i="23"/>
  <c r="AD460" i="23"/>
  <c r="AD459" i="23"/>
  <c r="AD458" i="23"/>
  <c r="AD457" i="23"/>
  <c r="AD456" i="23"/>
  <c r="AD455" i="23"/>
  <c r="AD454" i="23"/>
  <c r="AD453" i="23"/>
  <c r="AD452" i="23"/>
  <c r="AD451" i="23"/>
  <c r="AD450" i="23"/>
  <c r="AD449" i="23"/>
  <c r="AD448" i="23"/>
  <c r="AD447" i="23"/>
  <c r="AD446" i="23"/>
  <c r="AD445" i="23"/>
  <c r="AD444" i="23"/>
  <c r="AD443" i="23"/>
  <c r="AD442" i="23"/>
  <c r="AD441" i="23"/>
  <c r="AD440" i="23"/>
  <c r="AD439" i="23"/>
  <c r="AD438" i="23"/>
  <c r="AD437" i="23"/>
  <c r="AD436" i="23"/>
  <c r="AD435" i="23"/>
  <c r="AD432" i="23"/>
  <c r="AD431" i="23"/>
  <c r="AD430" i="23"/>
  <c r="AD429" i="23"/>
  <c r="AD428" i="23"/>
  <c r="AD427" i="23"/>
  <c r="AD426" i="23"/>
  <c r="AD425" i="23"/>
  <c r="AD424" i="23"/>
  <c r="AD423" i="23"/>
  <c r="AD422" i="23"/>
  <c r="AD421" i="23"/>
  <c r="AD420" i="23"/>
  <c r="AD419" i="23"/>
  <c r="AD418" i="23"/>
  <c r="AD417" i="23"/>
  <c r="AD416" i="23"/>
  <c r="AD415" i="23"/>
  <c r="AD414" i="23"/>
  <c r="AD413" i="23"/>
  <c r="AD412" i="23"/>
  <c r="AD411" i="23"/>
  <c r="AD410" i="23"/>
  <c r="AD409" i="23"/>
  <c r="AD408" i="23"/>
  <c r="AD407" i="23"/>
  <c r="AD406" i="23"/>
  <c r="AD405" i="23"/>
  <c r="AD404" i="23"/>
  <c r="AD403" i="23"/>
  <c r="AD402" i="23"/>
  <c r="AD401" i="23"/>
  <c r="AD400" i="23"/>
  <c r="AD397" i="23"/>
  <c r="AD396" i="23"/>
  <c r="AD395" i="23"/>
  <c r="AD394" i="23"/>
  <c r="AD393" i="23"/>
  <c r="AD392" i="23"/>
  <c r="AD391" i="23"/>
  <c r="AD390" i="23"/>
  <c r="AD389" i="23"/>
  <c r="AD388" i="23"/>
  <c r="AD387" i="23"/>
  <c r="AD386" i="23"/>
  <c r="AD385" i="23"/>
  <c r="AD384" i="23"/>
  <c r="AD383" i="23"/>
  <c r="AD382" i="23"/>
  <c r="AD381" i="23"/>
  <c r="AD380" i="23"/>
  <c r="AD379" i="23"/>
  <c r="AD378" i="23"/>
  <c r="AD377" i="23"/>
  <c r="AD376" i="23"/>
  <c r="AD375" i="23"/>
  <c r="AD374" i="23"/>
  <c r="AD373" i="23"/>
  <c r="AD372" i="23"/>
  <c r="AD371" i="23"/>
  <c r="AD370" i="23"/>
  <c r="AD369" i="23"/>
  <c r="AD368" i="23"/>
  <c r="AD367" i="23"/>
  <c r="AD366" i="23"/>
  <c r="AD365" i="23"/>
  <c r="AD362" i="23"/>
  <c r="AD361" i="23"/>
  <c r="AD360" i="23"/>
  <c r="AD359" i="23"/>
  <c r="AD358" i="23"/>
  <c r="AD357" i="23"/>
  <c r="AD356" i="23"/>
  <c r="AD355" i="23"/>
  <c r="AD354" i="23"/>
  <c r="AD353" i="23"/>
  <c r="AD352" i="23"/>
  <c r="AD351" i="23"/>
  <c r="AD350" i="23"/>
  <c r="AD349" i="23"/>
  <c r="AD348" i="23"/>
  <c r="AD347" i="23"/>
  <c r="AD346" i="23"/>
  <c r="AD345" i="23"/>
  <c r="AD344" i="23"/>
  <c r="AD343" i="23"/>
  <c r="AD342" i="23"/>
  <c r="AD341" i="23"/>
  <c r="AD340" i="23"/>
  <c r="AD339" i="23"/>
  <c r="AD338" i="23"/>
  <c r="AD337" i="23"/>
  <c r="AD336" i="23"/>
  <c r="AD335" i="23"/>
  <c r="AD334" i="23"/>
  <c r="AD333" i="23"/>
  <c r="AD332" i="23"/>
  <c r="AD331" i="23"/>
  <c r="AD330" i="23"/>
  <c r="AD327" i="23"/>
  <c r="AD326" i="23"/>
  <c r="AD325" i="23"/>
  <c r="AD324" i="23"/>
  <c r="AD323" i="23"/>
  <c r="AD322" i="23"/>
  <c r="AD321" i="23"/>
  <c r="AD320" i="23"/>
  <c r="AD319" i="23"/>
  <c r="AD318" i="23"/>
  <c r="AD317" i="23"/>
  <c r="AD316" i="23"/>
  <c r="AD315" i="23"/>
  <c r="AD314" i="23"/>
  <c r="AD313" i="23"/>
  <c r="AD312" i="23"/>
  <c r="AD311" i="23"/>
  <c r="AD310" i="23"/>
  <c r="AD309" i="23"/>
  <c r="AD308" i="23"/>
  <c r="AD307" i="23"/>
  <c r="AD306" i="23"/>
  <c r="AD305" i="23"/>
  <c r="AD304" i="23"/>
  <c r="AD303" i="23"/>
  <c r="AD302" i="23"/>
  <c r="AD301" i="23"/>
  <c r="AD300" i="23"/>
  <c r="AD299" i="23"/>
  <c r="AD298" i="23"/>
  <c r="AD297" i="23"/>
  <c r="AD296" i="23"/>
  <c r="AD295" i="23"/>
  <c r="AD292" i="23"/>
  <c r="AD291" i="23"/>
  <c r="AD290" i="23"/>
  <c r="AD289" i="23"/>
  <c r="AD288" i="23"/>
  <c r="AD287" i="23"/>
  <c r="AD286" i="23"/>
  <c r="AD285" i="23"/>
  <c r="AD284" i="23"/>
  <c r="AD283" i="23"/>
  <c r="AD282" i="23"/>
  <c r="AD281" i="23"/>
  <c r="AD280" i="23"/>
  <c r="AD279" i="23"/>
  <c r="AD278" i="23"/>
  <c r="AD277" i="23"/>
  <c r="AD276" i="23"/>
  <c r="AD275" i="23"/>
  <c r="AD274" i="23"/>
  <c r="AD273" i="23"/>
  <c r="AD272" i="23"/>
  <c r="AD271" i="23"/>
  <c r="AD270" i="23"/>
  <c r="AD269" i="23"/>
  <c r="AD268" i="23"/>
  <c r="AD267" i="23"/>
  <c r="AD266" i="23"/>
  <c r="AD265" i="23"/>
  <c r="AD264" i="23"/>
  <c r="AD263" i="23"/>
  <c r="AD262" i="23"/>
  <c r="AD261" i="23"/>
  <c r="AD260" i="23"/>
  <c r="AD257" i="23"/>
  <c r="AD256" i="23"/>
  <c r="AD255" i="23"/>
  <c r="AD254" i="23"/>
  <c r="AD253" i="23"/>
  <c r="AD252" i="23"/>
  <c r="AD251" i="23"/>
  <c r="AD250" i="23"/>
  <c r="AD249" i="23"/>
  <c r="AD248" i="23"/>
  <c r="AD247" i="23"/>
  <c r="AD246" i="23"/>
  <c r="AD245" i="23"/>
  <c r="AD244" i="23"/>
  <c r="AD243" i="23"/>
  <c r="AD242" i="23"/>
  <c r="AD241" i="23"/>
  <c r="AD240" i="23"/>
  <c r="AD239" i="23"/>
  <c r="AD238" i="23"/>
  <c r="AD237" i="23"/>
  <c r="AD236" i="23"/>
  <c r="AD235" i="23"/>
  <c r="AD234" i="23"/>
  <c r="AD233" i="23"/>
  <c r="AD232" i="23"/>
  <c r="AD231" i="23"/>
  <c r="AD230" i="23"/>
  <c r="AD229" i="23"/>
  <c r="AD228" i="23"/>
  <c r="AD227" i="23"/>
  <c r="AD226" i="23"/>
  <c r="AD225" i="23"/>
  <c r="AD222" i="23"/>
  <c r="AD221" i="23"/>
  <c r="AD220" i="23"/>
  <c r="AD219" i="23"/>
  <c r="AD218" i="23"/>
  <c r="AD217" i="23"/>
  <c r="AD216" i="23"/>
  <c r="AD215" i="23"/>
  <c r="AD214" i="23"/>
  <c r="AD213" i="23"/>
  <c r="AD212" i="23"/>
  <c r="AD211" i="23"/>
  <c r="AD210" i="23"/>
  <c r="AD209" i="23"/>
  <c r="AD208" i="23"/>
  <c r="AD207" i="23"/>
  <c r="AD206" i="23"/>
  <c r="AD205" i="23"/>
  <c r="AD204" i="23"/>
  <c r="AD203" i="23"/>
  <c r="AD202" i="23"/>
  <c r="AD201" i="23"/>
  <c r="AD200" i="23"/>
  <c r="AD199" i="23"/>
  <c r="AD198" i="23"/>
  <c r="AD197" i="23"/>
  <c r="AD196" i="23"/>
  <c r="AD195" i="23"/>
  <c r="AD194" i="23"/>
  <c r="AD193" i="23"/>
  <c r="AD192" i="23"/>
  <c r="AD191" i="23"/>
  <c r="AD190" i="23"/>
  <c r="AD187" i="23"/>
  <c r="AD186" i="23"/>
  <c r="AD185" i="23"/>
  <c r="AD184" i="23"/>
  <c r="AD183" i="23"/>
  <c r="AD182" i="23"/>
  <c r="AD181" i="23"/>
  <c r="AD180" i="23"/>
  <c r="AD179" i="23"/>
  <c r="AD178" i="23"/>
  <c r="AD177" i="23"/>
  <c r="AD176" i="23"/>
  <c r="AD175" i="23"/>
  <c r="AD174" i="23"/>
  <c r="AD173" i="23"/>
  <c r="AD172" i="23"/>
  <c r="AD171" i="23"/>
  <c r="AD170" i="23"/>
  <c r="AD169" i="23"/>
  <c r="AD168" i="23"/>
  <c r="AD167" i="23"/>
  <c r="AD166" i="23"/>
  <c r="AD165" i="23"/>
  <c r="AD164" i="23"/>
  <c r="AD163" i="23"/>
  <c r="AD162" i="23"/>
  <c r="AD161" i="23"/>
  <c r="AD160" i="23"/>
  <c r="AD159" i="23"/>
  <c r="AD158" i="23"/>
  <c r="AD157" i="23"/>
  <c r="AD156" i="23"/>
  <c r="AD155" i="23"/>
  <c r="AD152" i="23"/>
  <c r="AD151" i="23"/>
  <c r="AD150" i="23"/>
  <c r="AD149" i="23"/>
  <c r="AD148" i="23"/>
  <c r="AD147" i="23"/>
  <c r="AD146" i="23"/>
  <c r="AD145" i="23"/>
  <c r="AD144" i="23"/>
  <c r="AD143" i="23"/>
  <c r="AD142" i="23"/>
  <c r="AD141" i="23"/>
  <c r="AD140" i="23"/>
  <c r="AD139" i="23"/>
  <c r="AD138" i="23"/>
  <c r="AD137" i="23"/>
  <c r="AD136" i="23"/>
  <c r="AD135" i="23"/>
  <c r="AD134" i="23"/>
  <c r="AD133" i="23"/>
  <c r="AD132" i="23"/>
  <c r="AD131" i="23"/>
  <c r="AD130" i="23"/>
  <c r="AD129" i="23"/>
  <c r="AD128" i="23"/>
  <c r="AD127" i="23"/>
  <c r="AD126" i="23"/>
  <c r="AD125" i="23"/>
  <c r="AD124" i="23"/>
  <c r="AD123" i="23"/>
  <c r="AD122" i="23"/>
  <c r="AD121" i="23"/>
  <c r="AD120" i="23"/>
  <c r="AD117" i="23"/>
  <c r="AD116" i="23"/>
  <c r="AD115" i="23"/>
  <c r="AD114" i="23"/>
  <c r="AD113" i="23"/>
  <c r="AD112" i="23"/>
  <c r="AD111" i="23"/>
  <c r="AD110" i="23"/>
  <c r="AD109" i="23"/>
  <c r="AD108" i="23"/>
  <c r="AD107" i="23"/>
  <c r="AD106" i="23"/>
  <c r="AD105" i="23"/>
  <c r="AD104" i="23"/>
  <c r="AD103" i="23"/>
  <c r="AD102" i="23"/>
  <c r="AD101" i="23"/>
  <c r="AD100" i="23"/>
  <c r="AD99" i="23"/>
  <c r="AD98" i="23"/>
  <c r="AD97" i="23"/>
  <c r="AD96" i="23"/>
  <c r="AD95" i="23"/>
  <c r="AD94" i="23"/>
  <c r="AD93" i="23"/>
  <c r="AD92" i="23"/>
  <c r="AD91" i="23"/>
  <c r="AD90" i="23"/>
  <c r="AD89" i="23"/>
  <c r="AD88" i="23"/>
  <c r="AD87" i="23"/>
  <c r="AD86" i="23"/>
  <c r="AD85" i="23"/>
  <c r="AD82" i="23"/>
  <c r="AD81" i="23"/>
  <c r="AD80" i="23"/>
  <c r="AD79" i="23"/>
  <c r="AD78" i="23"/>
  <c r="AD77" i="23"/>
  <c r="AD76" i="23"/>
  <c r="AD75" i="23"/>
  <c r="AD74" i="23"/>
  <c r="AD73" i="23"/>
  <c r="AD72" i="23"/>
  <c r="AD71" i="23"/>
  <c r="AD70" i="23"/>
  <c r="AD69" i="23"/>
  <c r="AD68" i="23"/>
  <c r="AD67" i="23"/>
  <c r="AD66" i="23"/>
  <c r="AD65" i="23"/>
  <c r="AD64" i="23"/>
  <c r="AD63" i="23"/>
  <c r="AD62" i="23"/>
  <c r="AD61" i="23"/>
  <c r="AD60" i="23"/>
  <c r="AD59" i="23"/>
  <c r="AD58" i="23"/>
  <c r="AD57" i="23"/>
  <c r="AD56" i="23"/>
  <c r="AD55" i="23"/>
  <c r="AD54" i="23"/>
  <c r="AD53" i="23"/>
  <c r="AD52" i="23"/>
  <c r="AD51" i="23"/>
  <c r="AD50" i="23"/>
  <c r="B65" i="36"/>
  <c r="M72" i="36"/>
  <c r="N72" i="36" s="1"/>
  <c r="M73" i="36"/>
  <c r="N73" i="36" s="1"/>
  <c r="M74" i="36"/>
  <c r="N74" i="36" s="1"/>
  <c r="M75" i="36"/>
  <c r="N75" i="36" s="1"/>
  <c r="M76" i="36"/>
  <c r="N76" i="36" s="1"/>
  <c r="M77" i="36"/>
  <c r="N77" i="36" s="1"/>
  <c r="M78" i="36"/>
  <c r="N78" i="36" s="1"/>
  <c r="M79" i="36"/>
  <c r="N79" i="36" s="1"/>
  <c r="M80" i="36"/>
  <c r="N80" i="36" s="1"/>
  <c r="M81" i="36"/>
  <c r="N81" i="36" s="1"/>
  <c r="M82" i="36"/>
  <c r="N82" i="36" s="1"/>
  <c r="M83" i="36"/>
  <c r="N83" i="36" s="1"/>
  <c r="M84" i="36"/>
  <c r="N84" i="36" s="1"/>
  <c r="M85" i="36"/>
  <c r="N85" i="36" s="1"/>
  <c r="M86" i="36"/>
  <c r="N86" i="36" s="1"/>
  <c r="M87" i="36"/>
  <c r="N87" i="36" s="1"/>
  <c r="M88" i="36"/>
  <c r="N88" i="36" s="1"/>
  <c r="M89" i="36"/>
  <c r="N89" i="36" s="1"/>
  <c r="M90" i="36"/>
  <c r="N90" i="36" s="1"/>
  <c r="M91" i="36"/>
  <c r="N91" i="36" s="1"/>
  <c r="M71" i="36"/>
  <c r="N71" i="36" s="1"/>
  <c r="N17" i="36" l="1"/>
  <c r="B30" i="37"/>
  <c r="A90" i="1" s="1"/>
  <c r="T572"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7"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2"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7"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2"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7"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2"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7"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2"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7"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2"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7"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2"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7"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2"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X572" i="23"/>
  <c r="V572" i="23"/>
  <c r="X571" i="23"/>
  <c r="V571" i="23"/>
  <c r="X570" i="23"/>
  <c r="V570" i="23"/>
  <c r="X569" i="23"/>
  <c r="V569" i="23"/>
  <c r="X568" i="23"/>
  <c r="V568" i="23"/>
  <c r="X567" i="23"/>
  <c r="V567" i="23"/>
  <c r="X566" i="23"/>
  <c r="V566" i="23"/>
  <c r="X565" i="23"/>
  <c r="V565" i="23"/>
  <c r="X564" i="23"/>
  <c r="V564" i="23"/>
  <c r="X563" i="23"/>
  <c r="V563" i="23"/>
  <c r="X562" i="23"/>
  <c r="V562" i="23"/>
  <c r="X561" i="23"/>
  <c r="V561" i="23"/>
  <c r="X560" i="23"/>
  <c r="V560" i="23"/>
  <c r="X559" i="23"/>
  <c r="V559" i="23"/>
  <c r="X558" i="23"/>
  <c r="V558" i="23"/>
  <c r="X557" i="23"/>
  <c r="V557" i="23"/>
  <c r="X556" i="23"/>
  <c r="V556" i="23"/>
  <c r="X555" i="23"/>
  <c r="V555" i="23"/>
  <c r="X554" i="23"/>
  <c r="V554" i="23"/>
  <c r="X553" i="23"/>
  <c r="V553" i="23"/>
  <c r="X552" i="23"/>
  <c r="V552" i="23"/>
  <c r="X551" i="23"/>
  <c r="V551" i="23"/>
  <c r="X550" i="23"/>
  <c r="V550" i="23"/>
  <c r="X549" i="23"/>
  <c r="V549" i="23"/>
  <c r="X548" i="23"/>
  <c r="V548" i="23"/>
  <c r="X547" i="23"/>
  <c r="V547" i="23"/>
  <c r="X546" i="23"/>
  <c r="V546" i="23"/>
  <c r="X545" i="23"/>
  <c r="V545" i="23"/>
  <c r="X544" i="23"/>
  <c r="V544" i="23"/>
  <c r="X543" i="23"/>
  <c r="V543" i="23"/>
  <c r="X542" i="23"/>
  <c r="V542" i="23"/>
  <c r="X541" i="23"/>
  <c r="V541" i="23"/>
  <c r="X540" i="23"/>
  <c r="V540" i="23"/>
  <c r="X537" i="23"/>
  <c r="V537" i="23"/>
  <c r="X536" i="23"/>
  <c r="V536" i="23"/>
  <c r="X535" i="23"/>
  <c r="V535" i="23"/>
  <c r="X534" i="23"/>
  <c r="V534" i="23"/>
  <c r="X533" i="23"/>
  <c r="V533" i="23"/>
  <c r="X532" i="23"/>
  <c r="V532" i="23"/>
  <c r="X531" i="23"/>
  <c r="V531" i="23"/>
  <c r="X530" i="23"/>
  <c r="V530" i="23"/>
  <c r="X529" i="23"/>
  <c r="V529" i="23"/>
  <c r="X528" i="23"/>
  <c r="V528" i="23"/>
  <c r="X527" i="23"/>
  <c r="V527" i="23"/>
  <c r="X526" i="23"/>
  <c r="V526" i="23"/>
  <c r="X525" i="23"/>
  <c r="V525" i="23"/>
  <c r="X524" i="23"/>
  <c r="V524" i="23"/>
  <c r="X523" i="23"/>
  <c r="V523" i="23"/>
  <c r="X522" i="23"/>
  <c r="V522" i="23"/>
  <c r="X521" i="23"/>
  <c r="V521" i="23"/>
  <c r="X520" i="23"/>
  <c r="V520" i="23"/>
  <c r="X519" i="23"/>
  <c r="V519" i="23"/>
  <c r="X518" i="23"/>
  <c r="V518" i="23"/>
  <c r="X517" i="23"/>
  <c r="V517" i="23"/>
  <c r="X516" i="23"/>
  <c r="V516" i="23"/>
  <c r="X515" i="23"/>
  <c r="V515" i="23"/>
  <c r="X514" i="23"/>
  <c r="V514" i="23"/>
  <c r="X513" i="23"/>
  <c r="V513" i="23"/>
  <c r="X512" i="23"/>
  <c r="V512" i="23"/>
  <c r="X511" i="23"/>
  <c r="V511" i="23"/>
  <c r="X510" i="23"/>
  <c r="V510" i="23"/>
  <c r="X509" i="23"/>
  <c r="V509" i="23"/>
  <c r="X508" i="23"/>
  <c r="V508" i="23"/>
  <c r="X507" i="23"/>
  <c r="V507" i="23"/>
  <c r="X506" i="23"/>
  <c r="V506" i="23"/>
  <c r="X505" i="23"/>
  <c r="V505" i="23"/>
  <c r="X502" i="23"/>
  <c r="V502" i="23"/>
  <c r="X501" i="23"/>
  <c r="V501" i="23"/>
  <c r="X500" i="23"/>
  <c r="V500" i="23"/>
  <c r="X499" i="23"/>
  <c r="V499" i="23"/>
  <c r="X498" i="23"/>
  <c r="V498" i="23"/>
  <c r="X497" i="23"/>
  <c r="V497" i="23"/>
  <c r="X496" i="23"/>
  <c r="V496" i="23"/>
  <c r="X495" i="23"/>
  <c r="V495" i="23"/>
  <c r="X494" i="23"/>
  <c r="V494" i="23"/>
  <c r="X493" i="23"/>
  <c r="V493" i="23"/>
  <c r="X492" i="23"/>
  <c r="V492" i="23"/>
  <c r="X491" i="23"/>
  <c r="V491" i="23"/>
  <c r="X490" i="23"/>
  <c r="V490" i="23"/>
  <c r="X489" i="23"/>
  <c r="V489" i="23"/>
  <c r="X488" i="23"/>
  <c r="V488" i="23"/>
  <c r="X487" i="23"/>
  <c r="V487" i="23"/>
  <c r="X486" i="23"/>
  <c r="V486" i="23"/>
  <c r="X485" i="23"/>
  <c r="V485" i="23"/>
  <c r="X484" i="23"/>
  <c r="V484" i="23"/>
  <c r="X483" i="23"/>
  <c r="V483" i="23"/>
  <c r="X482" i="23"/>
  <c r="V482" i="23"/>
  <c r="X481" i="23"/>
  <c r="V481" i="23"/>
  <c r="X480" i="23"/>
  <c r="V480" i="23"/>
  <c r="X479" i="23"/>
  <c r="V479" i="23"/>
  <c r="X478" i="23"/>
  <c r="V478" i="23"/>
  <c r="X477" i="23"/>
  <c r="V477" i="23"/>
  <c r="X476" i="23"/>
  <c r="V476" i="23"/>
  <c r="X475" i="23"/>
  <c r="V475" i="23"/>
  <c r="X474" i="23"/>
  <c r="V474" i="23"/>
  <c r="X473" i="23"/>
  <c r="V473" i="23"/>
  <c r="X472" i="23"/>
  <c r="V472" i="23"/>
  <c r="X471" i="23"/>
  <c r="V471" i="23"/>
  <c r="X470" i="23"/>
  <c r="V470" i="23"/>
  <c r="X467" i="23"/>
  <c r="V467" i="23"/>
  <c r="X466" i="23"/>
  <c r="V466" i="23"/>
  <c r="X465" i="23"/>
  <c r="V465" i="23"/>
  <c r="X464" i="23"/>
  <c r="V464" i="23"/>
  <c r="X463" i="23"/>
  <c r="V463" i="23"/>
  <c r="X462" i="23"/>
  <c r="V462" i="23"/>
  <c r="X461" i="23"/>
  <c r="V461" i="23"/>
  <c r="X460" i="23"/>
  <c r="V460" i="23"/>
  <c r="X459" i="23"/>
  <c r="V459" i="23"/>
  <c r="X458" i="23"/>
  <c r="V458" i="23"/>
  <c r="X457" i="23"/>
  <c r="V457" i="23"/>
  <c r="X456" i="23"/>
  <c r="V456" i="23"/>
  <c r="X455" i="23"/>
  <c r="V455" i="23"/>
  <c r="X454" i="23"/>
  <c r="V454" i="23"/>
  <c r="X453" i="23"/>
  <c r="V453" i="23"/>
  <c r="X452" i="23"/>
  <c r="V452" i="23"/>
  <c r="X451" i="23"/>
  <c r="V451" i="23"/>
  <c r="X450" i="23"/>
  <c r="V450" i="23"/>
  <c r="X449" i="23"/>
  <c r="V449" i="23"/>
  <c r="X448" i="23"/>
  <c r="V448" i="23"/>
  <c r="X447" i="23"/>
  <c r="V447" i="23"/>
  <c r="X446" i="23"/>
  <c r="V446" i="23"/>
  <c r="X445" i="23"/>
  <c r="V445" i="23"/>
  <c r="X444" i="23"/>
  <c r="V444" i="23"/>
  <c r="X443" i="23"/>
  <c r="V443" i="23"/>
  <c r="X442" i="23"/>
  <c r="V442" i="23"/>
  <c r="X441" i="23"/>
  <c r="V441" i="23"/>
  <c r="X440" i="23"/>
  <c r="V440" i="23"/>
  <c r="X439" i="23"/>
  <c r="V439" i="23"/>
  <c r="X438" i="23"/>
  <c r="V438" i="23"/>
  <c r="X437" i="23"/>
  <c r="V437" i="23"/>
  <c r="X436" i="23"/>
  <c r="V436" i="23"/>
  <c r="X435" i="23"/>
  <c r="V435" i="23"/>
  <c r="X432" i="23"/>
  <c r="V432" i="23"/>
  <c r="X431" i="23"/>
  <c r="V431" i="23"/>
  <c r="X430" i="23"/>
  <c r="V430" i="23"/>
  <c r="X429" i="23"/>
  <c r="V429" i="23"/>
  <c r="X428" i="23"/>
  <c r="V428" i="23"/>
  <c r="X427" i="23"/>
  <c r="V427" i="23"/>
  <c r="X426" i="23"/>
  <c r="V426" i="23"/>
  <c r="X425" i="23"/>
  <c r="V425" i="23"/>
  <c r="X424" i="23"/>
  <c r="V424" i="23"/>
  <c r="X423" i="23"/>
  <c r="V423" i="23"/>
  <c r="X422" i="23"/>
  <c r="V422" i="23"/>
  <c r="X421" i="23"/>
  <c r="V421" i="23"/>
  <c r="X420" i="23"/>
  <c r="V420" i="23"/>
  <c r="X419" i="23"/>
  <c r="V419" i="23"/>
  <c r="X418" i="23"/>
  <c r="V418" i="23"/>
  <c r="X417" i="23"/>
  <c r="V417" i="23"/>
  <c r="X416" i="23"/>
  <c r="V416" i="23"/>
  <c r="X415" i="23"/>
  <c r="V415" i="23"/>
  <c r="X414" i="23"/>
  <c r="V414" i="23"/>
  <c r="X413" i="23"/>
  <c r="V413" i="23"/>
  <c r="X412" i="23"/>
  <c r="V412" i="23"/>
  <c r="X411" i="23"/>
  <c r="V411" i="23"/>
  <c r="X410" i="23"/>
  <c r="V410" i="23"/>
  <c r="X409" i="23"/>
  <c r="V409" i="23"/>
  <c r="X408" i="23"/>
  <c r="V408" i="23"/>
  <c r="X407" i="23"/>
  <c r="V407" i="23"/>
  <c r="X406" i="23"/>
  <c r="V406" i="23"/>
  <c r="X405" i="23"/>
  <c r="V405" i="23"/>
  <c r="X404" i="23"/>
  <c r="V404" i="23"/>
  <c r="X403" i="23"/>
  <c r="V403" i="23"/>
  <c r="X402" i="23"/>
  <c r="V402" i="23"/>
  <c r="X401" i="23"/>
  <c r="V401" i="23"/>
  <c r="X400" i="23"/>
  <c r="V400" i="23"/>
  <c r="X397" i="23"/>
  <c r="V397" i="23"/>
  <c r="X396" i="23"/>
  <c r="V396" i="23"/>
  <c r="X395" i="23"/>
  <c r="V395" i="23"/>
  <c r="X394" i="23"/>
  <c r="V394" i="23"/>
  <c r="X393" i="23"/>
  <c r="V393" i="23"/>
  <c r="X392" i="23"/>
  <c r="V392" i="23"/>
  <c r="X391" i="23"/>
  <c r="V391" i="23"/>
  <c r="X390" i="23"/>
  <c r="V390" i="23"/>
  <c r="X389" i="23"/>
  <c r="V389" i="23"/>
  <c r="X388" i="23"/>
  <c r="V388" i="23"/>
  <c r="X387" i="23"/>
  <c r="V387" i="23"/>
  <c r="X386" i="23"/>
  <c r="V386" i="23"/>
  <c r="X385" i="23"/>
  <c r="V385" i="23"/>
  <c r="X384" i="23"/>
  <c r="V384" i="23"/>
  <c r="X383" i="23"/>
  <c r="V383" i="23"/>
  <c r="X382" i="23"/>
  <c r="V382" i="23"/>
  <c r="X381" i="23"/>
  <c r="V381" i="23"/>
  <c r="X380" i="23"/>
  <c r="V380" i="23"/>
  <c r="X379" i="23"/>
  <c r="V379" i="23"/>
  <c r="X378" i="23"/>
  <c r="V378" i="23"/>
  <c r="X377" i="23"/>
  <c r="V377" i="23"/>
  <c r="X376" i="23"/>
  <c r="V376" i="23"/>
  <c r="X375" i="23"/>
  <c r="V375" i="23"/>
  <c r="X374" i="23"/>
  <c r="V374" i="23"/>
  <c r="X373" i="23"/>
  <c r="V373" i="23"/>
  <c r="X372" i="23"/>
  <c r="V372" i="23"/>
  <c r="X371" i="23"/>
  <c r="V371" i="23"/>
  <c r="X370" i="23"/>
  <c r="V370" i="23"/>
  <c r="X369" i="23"/>
  <c r="V369" i="23"/>
  <c r="X368" i="23"/>
  <c r="V368" i="23"/>
  <c r="X367" i="23"/>
  <c r="V367" i="23"/>
  <c r="X366" i="23"/>
  <c r="V366" i="23"/>
  <c r="X365" i="23"/>
  <c r="V365" i="23"/>
  <c r="X362" i="23"/>
  <c r="V362" i="23"/>
  <c r="X361" i="23"/>
  <c r="V361" i="23"/>
  <c r="X360" i="23"/>
  <c r="V360" i="23"/>
  <c r="X359" i="23"/>
  <c r="V359" i="23"/>
  <c r="X358" i="23"/>
  <c r="V358" i="23"/>
  <c r="X357" i="23"/>
  <c r="V357" i="23"/>
  <c r="X356" i="23"/>
  <c r="V356" i="23"/>
  <c r="X355" i="23"/>
  <c r="V355" i="23"/>
  <c r="X354" i="23"/>
  <c r="V354" i="23"/>
  <c r="X353" i="23"/>
  <c r="V353" i="23"/>
  <c r="X352" i="23"/>
  <c r="V352" i="23"/>
  <c r="X351" i="23"/>
  <c r="V351" i="23"/>
  <c r="X350" i="23"/>
  <c r="V350" i="23"/>
  <c r="X349" i="23"/>
  <c r="V349" i="23"/>
  <c r="X348" i="23"/>
  <c r="V348" i="23"/>
  <c r="X347" i="23"/>
  <c r="V347" i="23"/>
  <c r="X346" i="23"/>
  <c r="V346" i="23"/>
  <c r="X345" i="23"/>
  <c r="V345" i="23"/>
  <c r="X344" i="23"/>
  <c r="V344" i="23"/>
  <c r="X343" i="23"/>
  <c r="V343" i="23"/>
  <c r="X342" i="23"/>
  <c r="V342" i="23"/>
  <c r="X341" i="23"/>
  <c r="V341" i="23"/>
  <c r="X340" i="23"/>
  <c r="V340" i="23"/>
  <c r="X339" i="23"/>
  <c r="V339" i="23"/>
  <c r="X338" i="23"/>
  <c r="V338" i="23"/>
  <c r="X337" i="23"/>
  <c r="V337" i="23"/>
  <c r="X336" i="23"/>
  <c r="V336" i="23"/>
  <c r="X335" i="23"/>
  <c r="V335" i="23"/>
  <c r="X334" i="23"/>
  <c r="V334" i="23"/>
  <c r="X333" i="23"/>
  <c r="V333" i="23"/>
  <c r="X332" i="23"/>
  <c r="V332" i="23"/>
  <c r="X331" i="23"/>
  <c r="V331" i="23"/>
  <c r="X330" i="23"/>
  <c r="V330" i="23"/>
  <c r="X327" i="23"/>
  <c r="V327" i="23"/>
  <c r="X326" i="23"/>
  <c r="V326" i="23"/>
  <c r="X325" i="23"/>
  <c r="V325" i="23"/>
  <c r="X324" i="23"/>
  <c r="V324" i="23"/>
  <c r="X323" i="23"/>
  <c r="V323" i="23"/>
  <c r="X322" i="23"/>
  <c r="V322" i="23"/>
  <c r="X321" i="23"/>
  <c r="V321" i="23"/>
  <c r="X320" i="23"/>
  <c r="V320" i="23"/>
  <c r="X319" i="23"/>
  <c r="V319" i="23"/>
  <c r="X318" i="23"/>
  <c r="V318" i="23"/>
  <c r="X317" i="23"/>
  <c r="V317" i="23"/>
  <c r="X316" i="23"/>
  <c r="V316" i="23"/>
  <c r="X315" i="23"/>
  <c r="V315" i="23"/>
  <c r="X314" i="23"/>
  <c r="V314" i="23"/>
  <c r="X313" i="23"/>
  <c r="V313" i="23"/>
  <c r="X312" i="23"/>
  <c r="V312" i="23"/>
  <c r="X311" i="23"/>
  <c r="V311" i="23"/>
  <c r="X310" i="23"/>
  <c r="V310" i="23"/>
  <c r="X309" i="23"/>
  <c r="V309" i="23"/>
  <c r="X308" i="23"/>
  <c r="V308" i="23"/>
  <c r="X307" i="23"/>
  <c r="V307" i="23"/>
  <c r="X306" i="23"/>
  <c r="V306" i="23"/>
  <c r="X305" i="23"/>
  <c r="V305" i="23"/>
  <c r="X304" i="23"/>
  <c r="V304" i="23"/>
  <c r="X303" i="23"/>
  <c r="V303" i="23"/>
  <c r="X302" i="23"/>
  <c r="V302" i="23"/>
  <c r="X301" i="23"/>
  <c r="V301" i="23"/>
  <c r="X300" i="23"/>
  <c r="V300" i="23"/>
  <c r="X299" i="23"/>
  <c r="V299" i="23"/>
  <c r="X298" i="23"/>
  <c r="V298" i="23"/>
  <c r="X297" i="23"/>
  <c r="V297" i="23"/>
  <c r="X296" i="23"/>
  <c r="V296" i="23"/>
  <c r="X295" i="23"/>
  <c r="V295" i="23"/>
  <c r="X292" i="23"/>
  <c r="V292" i="23"/>
  <c r="X291" i="23"/>
  <c r="V291" i="23"/>
  <c r="X290" i="23"/>
  <c r="V290" i="23"/>
  <c r="X289" i="23"/>
  <c r="V289" i="23"/>
  <c r="X288" i="23"/>
  <c r="V288" i="23"/>
  <c r="X287" i="23"/>
  <c r="V287" i="23"/>
  <c r="X286" i="23"/>
  <c r="V286" i="23"/>
  <c r="X285" i="23"/>
  <c r="V285" i="23"/>
  <c r="X284" i="23"/>
  <c r="V284" i="23"/>
  <c r="X283" i="23"/>
  <c r="V283" i="23"/>
  <c r="X282" i="23"/>
  <c r="V282" i="23"/>
  <c r="X281" i="23"/>
  <c r="V281" i="23"/>
  <c r="X280" i="23"/>
  <c r="V280" i="23"/>
  <c r="X279" i="23"/>
  <c r="V279" i="23"/>
  <c r="X278" i="23"/>
  <c r="V278" i="23"/>
  <c r="X277" i="23"/>
  <c r="V277" i="23"/>
  <c r="X276" i="23"/>
  <c r="V276" i="23"/>
  <c r="X275" i="23"/>
  <c r="V275" i="23"/>
  <c r="X274" i="23"/>
  <c r="V274" i="23"/>
  <c r="X273" i="23"/>
  <c r="V273" i="23"/>
  <c r="X272" i="23"/>
  <c r="V272" i="23"/>
  <c r="X271" i="23"/>
  <c r="V271" i="23"/>
  <c r="X270" i="23"/>
  <c r="V270" i="23"/>
  <c r="X269" i="23"/>
  <c r="V269" i="23"/>
  <c r="X268" i="23"/>
  <c r="V268" i="23"/>
  <c r="X267" i="23"/>
  <c r="V267" i="23"/>
  <c r="X266" i="23"/>
  <c r="V266" i="23"/>
  <c r="X265" i="23"/>
  <c r="V265" i="23"/>
  <c r="X264" i="23"/>
  <c r="V264" i="23"/>
  <c r="X263" i="23"/>
  <c r="V263" i="23"/>
  <c r="X262" i="23"/>
  <c r="V262" i="23"/>
  <c r="X261" i="23"/>
  <c r="V261" i="23"/>
  <c r="X260" i="23"/>
  <c r="V260" i="23"/>
  <c r="X257" i="23"/>
  <c r="V257" i="23"/>
  <c r="X256" i="23"/>
  <c r="V256" i="23"/>
  <c r="X255" i="23"/>
  <c r="V255" i="23"/>
  <c r="X254" i="23"/>
  <c r="V254" i="23"/>
  <c r="X253" i="23"/>
  <c r="V253" i="23"/>
  <c r="X252" i="23"/>
  <c r="V252" i="23"/>
  <c r="X251" i="23"/>
  <c r="V251" i="23"/>
  <c r="X250" i="23"/>
  <c r="V250" i="23"/>
  <c r="X249" i="23"/>
  <c r="V249" i="23"/>
  <c r="X248" i="23"/>
  <c r="V248" i="23"/>
  <c r="X247" i="23"/>
  <c r="V247" i="23"/>
  <c r="X246" i="23"/>
  <c r="V246" i="23"/>
  <c r="X245" i="23"/>
  <c r="V245" i="23"/>
  <c r="X244" i="23"/>
  <c r="V244" i="23"/>
  <c r="X243" i="23"/>
  <c r="V243" i="23"/>
  <c r="X242" i="23"/>
  <c r="V242" i="23"/>
  <c r="X241" i="23"/>
  <c r="V241" i="23"/>
  <c r="X240" i="23"/>
  <c r="V240" i="23"/>
  <c r="X239" i="23"/>
  <c r="V239" i="23"/>
  <c r="X238" i="23"/>
  <c r="V238" i="23"/>
  <c r="X237" i="23"/>
  <c r="V237" i="23"/>
  <c r="X236" i="23"/>
  <c r="V236" i="23"/>
  <c r="X235" i="23"/>
  <c r="V235" i="23"/>
  <c r="X234" i="23"/>
  <c r="V234" i="23"/>
  <c r="X233" i="23"/>
  <c r="V233" i="23"/>
  <c r="X232" i="23"/>
  <c r="V232" i="23"/>
  <c r="X231" i="23"/>
  <c r="V231" i="23"/>
  <c r="X230" i="23"/>
  <c r="V230" i="23"/>
  <c r="X229" i="23"/>
  <c r="V229" i="23"/>
  <c r="X228" i="23"/>
  <c r="V228" i="23"/>
  <c r="X227" i="23"/>
  <c r="V227" i="23"/>
  <c r="X226" i="23"/>
  <c r="V226" i="23"/>
  <c r="X225" i="23"/>
  <c r="V225" i="23"/>
  <c r="X222" i="23"/>
  <c r="V222" i="23"/>
  <c r="X221" i="23"/>
  <c r="V221" i="23"/>
  <c r="X220" i="23"/>
  <c r="V220" i="23"/>
  <c r="X219" i="23"/>
  <c r="V219" i="23"/>
  <c r="X218" i="23"/>
  <c r="V218" i="23"/>
  <c r="X217" i="23"/>
  <c r="V217" i="23"/>
  <c r="X216" i="23"/>
  <c r="V216" i="23"/>
  <c r="X215" i="23"/>
  <c r="V215" i="23"/>
  <c r="X214" i="23"/>
  <c r="V214" i="23"/>
  <c r="X213" i="23"/>
  <c r="V213" i="23"/>
  <c r="X212" i="23"/>
  <c r="V212" i="23"/>
  <c r="X211" i="23"/>
  <c r="V211" i="23"/>
  <c r="X210" i="23"/>
  <c r="V210" i="23"/>
  <c r="X209" i="23"/>
  <c r="V209" i="23"/>
  <c r="X208" i="23"/>
  <c r="V208" i="23"/>
  <c r="X207" i="23"/>
  <c r="V207" i="23"/>
  <c r="X206" i="23"/>
  <c r="V206" i="23"/>
  <c r="X205" i="23"/>
  <c r="V205" i="23"/>
  <c r="X204" i="23"/>
  <c r="V204" i="23"/>
  <c r="X203" i="23"/>
  <c r="V203" i="23"/>
  <c r="X202" i="23"/>
  <c r="V202" i="23"/>
  <c r="X201" i="23"/>
  <c r="V201" i="23"/>
  <c r="X200" i="23"/>
  <c r="V200" i="23"/>
  <c r="X199" i="23"/>
  <c r="V199" i="23"/>
  <c r="X198" i="23"/>
  <c r="V198" i="23"/>
  <c r="X197" i="23"/>
  <c r="V197" i="23"/>
  <c r="X196" i="23"/>
  <c r="V196" i="23"/>
  <c r="X195" i="23"/>
  <c r="V195" i="23"/>
  <c r="X194" i="23"/>
  <c r="V194" i="23"/>
  <c r="X193" i="23"/>
  <c r="V193" i="23"/>
  <c r="X192" i="23"/>
  <c r="V192" i="23"/>
  <c r="X191" i="23"/>
  <c r="V191" i="23"/>
  <c r="X190" i="23"/>
  <c r="V190" i="23"/>
  <c r="X187" i="23"/>
  <c r="V187" i="23"/>
  <c r="X186" i="23"/>
  <c r="V186" i="23"/>
  <c r="X185" i="23"/>
  <c r="V185" i="23"/>
  <c r="X184" i="23"/>
  <c r="V184" i="23"/>
  <c r="X183" i="23"/>
  <c r="V183" i="23"/>
  <c r="X182" i="23"/>
  <c r="V182" i="23"/>
  <c r="X181" i="23"/>
  <c r="V181" i="23"/>
  <c r="X180" i="23"/>
  <c r="V180" i="23"/>
  <c r="X179" i="23"/>
  <c r="V179" i="23"/>
  <c r="X178" i="23"/>
  <c r="V178" i="23"/>
  <c r="X177" i="23"/>
  <c r="V177" i="23"/>
  <c r="X176" i="23"/>
  <c r="V176" i="23"/>
  <c r="X175" i="23"/>
  <c r="V175" i="23"/>
  <c r="X174" i="23"/>
  <c r="V174" i="23"/>
  <c r="X173" i="23"/>
  <c r="V173" i="23"/>
  <c r="X172" i="23"/>
  <c r="V172" i="23"/>
  <c r="X171" i="23"/>
  <c r="V171" i="23"/>
  <c r="X170" i="23"/>
  <c r="V170" i="23"/>
  <c r="X169" i="23"/>
  <c r="V169" i="23"/>
  <c r="X168" i="23"/>
  <c r="V168" i="23"/>
  <c r="X167" i="23"/>
  <c r="V167" i="23"/>
  <c r="X166" i="23"/>
  <c r="V166" i="23"/>
  <c r="X165" i="23"/>
  <c r="V165" i="23"/>
  <c r="X164" i="23"/>
  <c r="V164" i="23"/>
  <c r="X163" i="23"/>
  <c r="V163" i="23"/>
  <c r="X162" i="23"/>
  <c r="V162" i="23"/>
  <c r="X161" i="23"/>
  <c r="V161" i="23"/>
  <c r="X160" i="23"/>
  <c r="V160" i="23"/>
  <c r="X159" i="23"/>
  <c r="V159" i="23"/>
  <c r="X158" i="23"/>
  <c r="V158" i="23"/>
  <c r="X157" i="23"/>
  <c r="V157" i="23"/>
  <c r="X156" i="23"/>
  <c r="V156" i="23"/>
  <c r="X155" i="23"/>
  <c r="V155" i="23"/>
  <c r="X152" i="23"/>
  <c r="V152" i="23"/>
  <c r="X151" i="23"/>
  <c r="V151" i="23"/>
  <c r="X150" i="23"/>
  <c r="V150" i="23"/>
  <c r="X149" i="23"/>
  <c r="V149" i="23"/>
  <c r="X148" i="23"/>
  <c r="V148" i="23"/>
  <c r="X147" i="23"/>
  <c r="V147" i="23"/>
  <c r="X146" i="23"/>
  <c r="V146" i="23"/>
  <c r="X145" i="23"/>
  <c r="V145" i="23"/>
  <c r="X144" i="23"/>
  <c r="V144" i="23"/>
  <c r="X143" i="23"/>
  <c r="V143" i="23"/>
  <c r="X142" i="23"/>
  <c r="V142" i="23"/>
  <c r="X141" i="23"/>
  <c r="V141" i="23"/>
  <c r="X140" i="23"/>
  <c r="V140" i="23"/>
  <c r="X139" i="23"/>
  <c r="V139" i="23"/>
  <c r="X138" i="23"/>
  <c r="V138" i="23"/>
  <c r="X137" i="23"/>
  <c r="V137" i="23"/>
  <c r="X136" i="23"/>
  <c r="V136" i="23"/>
  <c r="X135" i="23"/>
  <c r="V135" i="23"/>
  <c r="X134" i="23"/>
  <c r="V134" i="23"/>
  <c r="X133" i="23"/>
  <c r="V133" i="23"/>
  <c r="X132" i="23"/>
  <c r="V132" i="23"/>
  <c r="X131" i="23"/>
  <c r="V131" i="23"/>
  <c r="X130" i="23"/>
  <c r="V130" i="23"/>
  <c r="X129" i="23"/>
  <c r="V129" i="23"/>
  <c r="X128" i="23"/>
  <c r="V128" i="23"/>
  <c r="X127" i="23"/>
  <c r="V127" i="23"/>
  <c r="X126" i="23"/>
  <c r="V126" i="23"/>
  <c r="X125" i="23"/>
  <c r="V125" i="23"/>
  <c r="X124" i="23"/>
  <c r="V124" i="23"/>
  <c r="X123" i="23"/>
  <c r="V123" i="23"/>
  <c r="X122" i="23"/>
  <c r="V122" i="23"/>
  <c r="X121" i="23"/>
  <c r="V121" i="23"/>
  <c r="X120" i="23"/>
  <c r="V120" i="23"/>
  <c r="X117" i="23"/>
  <c r="V117" i="23"/>
  <c r="X116" i="23"/>
  <c r="V116" i="23"/>
  <c r="X115" i="23"/>
  <c r="V115" i="23"/>
  <c r="X114" i="23"/>
  <c r="V114" i="23"/>
  <c r="X113" i="23"/>
  <c r="V113" i="23"/>
  <c r="X112" i="23"/>
  <c r="V112" i="23"/>
  <c r="X111" i="23"/>
  <c r="V111" i="23"/>
  <c r="X110" i="23"/>
  <c r="V110" i="23"/>
  <c r="X109" i="23"/>
  <c r="V109" i="23"/>
  <c r="X108" i="23"/>
  <c r="V108" i="23"/>
  <c r="X107" i="23"/>
  <c r="V107" i="23"/>
  <c r="X106" i="23"/>
  <c r="V106" i="23"/>
  <c r="X105" i="23"/>
  <c r="V105" i="23"/>
  <c r="X104" i="23"/>
  <c r="V104" i="23"/>
  <c r="X103" i="23"/>
  <c r="V103" i="23"/>
  <c r="X102" i="23"/>
  <c r="V102" i="23"/>
  <c r="X101" i="23"/>
  <c r="V101" i="23"/>
  <c r="X100" i="23"/>
  <c r="V100" i="23"/>
  <c r="X99" i="23"/>
  <c r="V99" i="23"/>
  <c r="X98" i="23"/>
  <c r="V98" i="23"/>
  <c r="X97" i="23"/>
  <c r="V97" i="23"/>
  <c r="X96" i="23"/>
  <c r="V96" i="23"/>
  <c r="X95" i="23"/>
  <c r="V95" i="23"/>
  <c r="X94" i="23"/>
  <c r="V94" i="23"/>
  <c r="X93" i="23"/>
  <c r="V93" i="23"/>
  <c r="X92" i="23"/>
  <c r="V92" i="23"/>
  <c r="X91" i="23"/>
  <c r="V91" i="23"/>
  <c r="X90" i="23"/>
  <c r="V90" i="23"/>
  <c r="X89" i="23"/>
  <c r="V89" i="23"/>
  <c r="X88" i="23"/>
  <c r="V88" i="23"/>
  <c r="X87" i="23"/>
  <c r="V87" i="23"/>
  <c r="X86" i="23"/>
  <c r="V86" i="23"/>
  <c r="X85" i="23"/>
  <c r="V85" i="23"/>
  <c r="X82" i="23"/>
  <c r="V82" i="23"/>
  <c r="X81" i="23"/>
  <c r="V81" i="23"/>
  <c r="X80" i="23"/>
  <c r="V80" i="23"/>
  <c r="X79" i="23"/>
  <c r="V79" i="23"/>
  <c r="X78" i="23"/>
  <c r="V78" i="23"/>
  <c r="X77" i="23"/>
  <c r="V77" i="23"/>
  <c r="X76" i="23"/>
  <c r="V76" i="23"/>
  <c r="X75" i="23"/>
  <c r="V75" i="23"/>
  <c r="X74" i="23"/>
  <c r="V74" i="23"/>
  <c r="X73" i="23"/>
  <c r="V73" i="23"/>
  <c r="X72" i="23"/>
  <c r="V72" i="23"/>
  <c r="X71" i="23"/>
  <c r="V71" i="23"/>
  <c r="X70" i="23"/>
  <c r="V70" i="23"/>
  <c r="X69" i="23"/>
  <c r="V69" i="23"/>
  <c r="X68" i="23"/>
  <c r="V68" i="23"/>
  <c r="X67" i="23"/>
  <c r="V67" i="23"/>
  <c r="X66" i="23"/>
  <c r="V66" i="23"/>
  <c r="X65" i="23"/>
  <c r="V65" i="23"/>
  <c r="X64" i="23"/>
  <c r="V64" i="23"/>
  <c r="X63" i="23"/>
  <c r="V63" i="23"/>
  <c r="X62" i="23"/>
  <c r="V62" i="23"/>
  <c r="X61" i="23"/>
  <c r="V61" i="23"/>
  <c r="X60" i="23"/>
  <c r="V60" i="23"/>
  <c r="X59" i="23"/>
  <c r="V59" i="23"/>
  <c r="X58" i="23"/>
  <c r="V58" i="23"/>
  <c r="X57" i="23"/>
  <c r="V57" i="23"/>
  <c r="X56" i="23"/>
  <c r="V56" i="23"/>
  <c r="X55" i="23"/>
  <c r="V55" i="23"/>
  <c r="X54" i="23"/>
  <c r="V54" i="23"/>
  <c r="X53" i="23"/>
  <c r="V53" i="23"/>
  <c r="X52" i="23"/>
  <c r="V52" i="23"/>
  <c r="X51" i="23"/>
  <c r="V51" i="23"/>
  <c r="X50" i="23"/>
  <c r="V50" i="23"/>
  <c r="V16" i="23"/>
  <c r="V17" i="23"/>
  <c r="V18" i="23"/>
  <c r="V19" i="23"/>
  <c r="V20" i="23"/>
  <c r="V21" i="23"/>
  <c r="V22" i="23"/>
  <c r="V23" i="23"/>
  <c r="V24" i="23"/>
  <c r="V25" i="23"/>
  <c r="V26" i="23"/>
  <c r="V27" i="23"/>
  <c r="V28" i="23"/>
  <c r="V29" i="23"/>
  <c r="V30" i="23"/>
  <c r="V31" i="23"/>
  <c r="V32" i="23"/>
  <c r="V33" i="23"/>
  <c r="V34" i="23"/>
  <c r="V35" i="23"/>
  <c r="X35" i="23"/>
  <c r="V36" i="23"/>
  <c r="X36" i="23"/>
  <c r="V37" i="23"/>
  <c r="X37" i="23"/>
  <c r="V38" i="23"/>
  <c r="X38" i="23"/>
  <c r="V39" i="23"/>
  <c r="X39" i="23"/>
  <c r="V40" i="23"/>
  <c r="X40" i="23"/>
  <c r="V41" i="23"/>
  <c r="X41" i="23"/>
  <c r="V42" i="23"/>
  <c r="X42" i="23"/>
  <c r="V43" i="23"/>
  <c r="X43" i="23"/>
  <c r="V44" i="23"/>
  <c r="X44" i="23"/>
  <c r="V45" i="23"/>
  <c r="X45" i="23"/>
  <c r="V46" i="23"/>
  <c r="X46" i="23"/>
  <c r="V47" i="23"/>
  <c r="X47" i="23"/>
  <c r="K572" i="23"/>
  <c r="K571" i="23"/>
  <c r="K570" i="23"/>
  <c r="K569" i="23"/>
  <c r="K568" i="23"/>
  <c r="K567" i="23"/>
  <c r="K566" i="23"/>
  <c r="K565" i="23"/>
  <c r="K564" i="23"/>
  <c r="K563" i="23"/>
  <c r="K562" i="23"/>
  <c r="K561" i="23"/>
  <c r="K560" i="23"/>
  <c r="K559" i="23"/>
  <c r="K558" i="23"/>
  <c r="K557" i="23"/>
  <c r="K556" i="23"/>
  <c r="K555" i="23"/>
  <c r="K554" i="23"/>
  <c r="K553" i="23"/>
  <c r="K552" i="23"/>
  <c r="K551" i="23"/>
  <c r="K550" i="23"/>
  <c r="K549" i="23"/>
  <c r="K548" i="23"/>
  <c r="K547" i="23"/>
  <c r="K546" i="23"/>
  <c r="K545" i="23"/>
  <c r="K544" i="23"/>
  <c r="K543" i="23"/>
  <c r="K542" i="23"/>
  <c r="K541" i="23"/>
  <c r="K540" i="23"/>
  <c r="K537" i="23"/>
  <c r="K536" i="23"/>
  <c r="K535" i="23"/>
  <c r="K534" i="23"/>
  <c r="K533" i="23"/>
  <c r="K532" i="23"/>
  <c r="K531" i="23"/>
  <c r="K530" i="23"/>
  <c r="K529" i="23"/>
  <c r="K528" i="23"/>
  <c r="K527" i="23"/>
  <c r="K526" i="23"/>
  <c r="K525" i="23"/>
  <c r="K524" i="23"/>
  <c r="K523" i="23"/>
  <c r="K522" i="23"/>
  <c r="K521" i="23"/>
  <c r="K520" i="23"/>
  <c r="K519" i="23"/>
  <c r="K518" i="23"/>
  <c r="K517" i="23"/>
  <c r="K516" i="23"/>
  <c r="K515" i="23"/>
  <c r="K514" i="23"/>
  <c r="K513" i="23"/>
  <c r="K512" i="23"/>
  <c r="K511" i="23"/>
  <c r="K510" i="23"/>
  <c r="K509" i="23"/>
  <c r="K508" i="23"/>
  <c r="K507" i="23"/>
  <c r="K506" i="23"/>
  <c r="K505" i="23"/>
  <c r="K502" i="23"/>
  <c r="K501" i="23"/>
  <c r="K500" i="23"/>
  <c r="K499" i="23"/>
  <c r="K498" i="23"/>
  <c r="K497" i="23"/>
  <c r="K496" i="23"/>
  <c r="K495" i="23"/>
  <c r="K494" i="23"/>
  <c r="K493" i="23"/>
  <c r="K492" i="23"/>
  <c r="K491" i="23"/>
  <c r="K490" i="23"/>
  <c r="K489" i="23"/>
  <c r="K488" i="23"/>
  <c r="K487" i="23"/>
  <c r="K486" i="23"/>
  <c r="K485" i="23"/>
  <c r="K484" i="23"/>
  <c r="K483" i="23"/>
  <c r="K482" i="23"/>
  <c r="K481" i="23"/>
  <c r="K480" i="23"/>
  <c r="K479" i="23"/>
  <c r="K478" i="23"/>
  <c r="K477" i="23"/>
  <c r="K476" i="23"/>
  <c r="K475" i="23"/>
  <c r="K474" i="23"/>
  <c r="K473" i="23"/>
  <c r="K472" i="23"/>
  <c r="K471" i="23"/>
  <c r="K470" i="23"/>
  <c r="K467" i="23"/>
  <c r="K466" i="23"/>
  <c r="K465" i="23"/>
  <c r="K464" i="23"/>
  <c r="K463" i="23"/>
  <c r="K462" i="23"/>
  <c r="K461" i="23"/>
  <c r="K460" i="23"/>
  <c r="K459" i="23"/>
  <c r="K458" i="23"/>
  <c r="K457" i="23"/>
  <c r="K456" i="23"/>
  <c r="K455" i="23"/>
  <c r="K454" i="23"/>
  <c r="K453" i="23"/>
  <c r="K452" i="23"/>
  <c r="K451" i="23"/>
  <c r="K450" i="23"/>
  <c r="K449" i="23"/>
  <c r="K448" i="23"/>
  <c r="K447" i="23"/>
  <c r="K446" i="23"/>
  <c r="K445" i="23"/>
  <c r="K444" i="23"/>
  <c r="K443" i="23"/>
  <c r="K442" i="23"/>
  <c r="K441" i="23"/>
  <c r="K440" i="23"/>
  <c r="K439" i="23"/>
  <c r="K438" i="23"/>
  <c r="K437" i="23"/>
  <c r="K436" i="23"/>
  <c r="K435" i="23"/>
  <c r="K432" i="23"/>
  <c r="K431" i="23"/>
  <c r="K430" i="23"/>
  <c r="K429" i="23"/>
  <c r="K428" i="23"/>
  <c r="K427" i="23"/>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7"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2"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7"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2"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7"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2"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7"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2"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7"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2"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16" i="23"/>
  <c r="K17" i="23"/>
  <c r="Y17" i="23" s="1"/>
  <c r="Z17" i="23" s="1"/>
  <c r="K18" i="23"/>
  <c r="Y18" i="23" s="1"/>
  <c r="Z18" i="23" s="1"/>
  <c r="K19" i="23"/>
  <c r="K20" i="23"/>
  <c r="Y20" i="23" s="1"/>
  <c r="Z20" i="23" s="1"/>
  <c r="K21" i="23"/>
  <c r="Y21" i="23" s="1"/>
  <c r="Z21" i="23" s="1"/>
  <c r="K22" i="23"/>
  <c r="Y22" i="23" s="1"/>
  <c r="Z22" i="23" s="1"/>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15" i="23"/>
  <c r="Y15" i="23" s="1"/>
  <c r="Z15" i="23" s="1"/>
  <c r="G15" i="23"/>
  <c r="Y557" i="23" l="1"/>
  <c r="Z557" i="23" s="1"/>
  <c r="Y545" i="23"/>
  <c r="Z545" i="23" s="1"/>
  <c r="Y553" i="23"/>
  <c r="Z553" i="23" s="1"/>
  <c r="Y561" i="23"/>
  <c r="Z561" i="23" s="1"/>
  <c r="Y569" i="23"/>
  <c r="Z569" i="23" s="1"/>
  <c r="Y546" i="23"/>
  <c r="Z546" i="23" s="1"/>
  <c r="Y554" i="23"/>
  <c r="Z554" i="23" s="1"/>
  <c r="Y562" i="23"/>
  <c r="Z562" i="23" s="1"/>
  <c r="Y570" i="23"/>
  <c r="Z570" i="23" s="1"/>
  <c r="Y547" i="23"/>
  <c r="Z547" i="23" s="1"/>
  <c r="Y555" i="23"/>
  <c r="Z555" i="23" s="1"/>
  <c r="Y563" i="23"/>
  <c r="Z563" i="23" s="1"/>
  <c r="Y571" i="23"/>
  <c r="Z571" i="23" s="1"/>
  <c r="Y540" i="23"/>
  <c r="Z540" i="23" s="1"/>
  <c r="Y548" i="23"/>
  <c r="Z548" i="23" s="1"/>
  <c r="Y556" i="23"/>
  <c r="Z556" i="23" s="1"/>
  <c r="Y564" i="23"/>
  <c r="Z564" i="23" s="1"/>
  <c r="Y572" i="23"/>
  <c r="Z572" i="23" s="1"/>
  <c r="Y549" i="23"/>
  <c r="Z549" i="23" s="1"/>
  <c r="Y542" i="23"/>
  <c r="Z542" i="23" s="1"/>
  <c r="Y550" i="23"/>
  <c r="Z550" i="23" s="1"/>
  <c r="Y558" i="23"/>
  <c r="Z558" i="23" s="1"/>
  <c r="Y566" i="23"/>
  <c r="Z566" i="23" s="1"/>
  <c r="Y541" i="23"/>
  <c r="Z541" i="23" s="1"/>
  <c r="Y543" i="23"/>
  <c r="Z543" i="23" s="1"/>
  <c r="Y551" i="23"/>
  <c r="Z551" i="23" s="1"/>
  <c r="Y559" i="23"/>
  <c r="Z559" i="23" s="1"/>
  <c r="Y567" i="23"/>
  <c r="Z567" i="23" s="1"/>
  <c r="Y565" i="23"/>
  <c r="Z565" i="23" s="1"/>
  <c r="Y544" i="23"/>
  <c r="Z544" i="23" s="1"/>
  <c r="Y552" i="23"/>
  <c r="Z552" i="23" s="1"/>
  <c r="Y560" i="23"/>
  <c r="Z560" i="23" s="1"/>
  <c r="Y568" i="23"/>
  <c r="Z568" i="23" s="1"/>
  <c r="Y520" i="23"/>
  <c r="Z520" i="23" s="1"/>
  <c r="Y530" i="23"/>
  <c r="Z530" i="23" s="1"/>
  <c r="Y515" i="23"/>
  <c r="Z515" i="23" s="1"/>
  <c r="Y511" i="23"/>
  <c r="Z511" i="23" s="1"/>
  <c r="Y519" i="23"/>
  <c r="Z519" i="23" s="1"/>
  <c r="Y527" i="23"/>
  <c r="Z527" i="23" s="1"/>
  <c r="Y535" i="23"/>
  <c r="Z535" i="23" s="1"/>
  <c r="Y528" i="23"/>
  <c r="Z528" i="23" s="1"/>
  <c r="Y512" i="23"/>
  <c r="Z512" i="23" s="1"/>
  <c r="Y505" i="23"/>
  <c r="Z505" i="23" s="1"/>
  <c r="Y537" i="23"/>
  <c r="Z537" i="23" s="1"/>
  <c r="Y522" i="23"/>
  <c r="Z522" i="23" s="1"/>
  <c r="Y507" i="23"/>
  <c r="Z507" i="23" s="1"/>
  <c r="Y508" i="23"/>
  <c r="Z508" i="23" s="1"/>
  <c r="Y516" i="23"/>
  <c r="Z516" i="23" s="1"/>
  <c r="Y524" i="23"/>
  <c r="Z524" i="23" s="1"/>
  <c r="Y532" i="23"/>
  <c r="Z532" i="23" s="1"/>
  <c r="Y521" i="23"/>
  <c r="Z521" i="23" s="1"/>
  <c r="Y506" i="23"/>
  <c r="Z506" i="23" s="1"/>
  <c r="Y531" i="23"/>
  <c r="Z531" i="23" s="1"/>
  <c r="Y509" i="23"/>
  <c r="Z509" i="23" s="1"/>
  <c r="Y517" i="23"/>
  <c r="Z517" i="23" s="1"/>
  <c r="Y525" i="23"/>
  <c r="Z525" i="23" s="1"/>
  <c r="Y533" i="23"/>
  <c r="Z533" i="23" s="1"/>
  <c r="Y536" i="23"/>
  <c r="Z536" i="23" s="1"/>
  <c r="Y513" i="23"/>
  <c r="Z513" i="23" s="1"/>
  <c r="Y529" i="23"/>
  <c r="Z529" i="23" s="1"/>
  <c r="Y514" i="23"/>
  <c r="Z514" i="23" s="1"/>
  <c r="Y523" i="23"/>
  <c r="Z523" i="23" s="1"/>
  <c r="Y510" i="23"/>
  <c r="Z510" i="23" s="1"/>
  <c r="Y518" i="23"/>
  <c r="Z518" i="23" s="1"/>
  <c r="Y526" i="23"/>
  <c r="Z526" i="23" s="1"/>
  <c r="Y534" i="23"/>
  <c r="Z534" i="23" s="1"/>
  <c r="Y472" i="23"/>
  <c r="Z472" i="23" s="1"/>
  <c r="Y496" i="23"/>
  <c r="Z496" i="23" s="1"/>
  <c r="Y477" i="23"/>
  <c r="Z477" i="23" s="1"/>
  <c r="Y485" i="23"/>
  <c r="Z485" i="23" s="1"/>
  <c r="Y493" i="23"/>
  <c r="Z493" i="23" s="1"/>
  <c r="Y501" i="23"/>
  <c r="Z501" i="23" s="1"/>
  <c r="Y470" i="23"/>
  <c r="Z470" i="23" s="1"/>
  <c r="Y478" i="23"/>
  <c r="Z478" i="23" s="1"/>
  <c r="Y486" i="23"/>
  <c r="Z486" i="23" s="1"/>
  <c r="Y494" i="23"/>
  <c r="Z494" i="23" s="1"/>
  <c r="Y502" i="23"/>
  <c r="Z502" i="23" s="1"/>
  <c r="Y471" i="23"/>
  <c r="Z471" i="23" s="1"/>
  <c r="Y479" i="23"/>
  <c r="Z479" i="23" s="1"/>
  <c r="Y487" i="23"/>
  <c r="Z487" i="23" s="1"/>
  <c r="Y495" i="23"/>
  <c r="Z495" i="23" s="1"/>
  <c r="Y473" i="23"/>
  <c r="Z473" i="23" s="1"/>
  <c r="Y474" i="23"/>
  <c r="Z474" i="23" s="1"/>
  <c r="Y482" i="23"/>
  <c r="Z482" i="23" s="1"/>
  <c r="Y490" i="23"/>
  <c r="Z490" i="23" s="1"/>
  <c r="Y498" i="23"/>
  <c r="Z498" i="23" s="1"/>
  <c r="Y488" i="23"/>
  <c r="Z488" i="23" s="1"/>
  <c r="Y481" i="23"/>
  <c r="Z481" i="23" s="1"/>
  <c r="Y489" i="23"/>
  <c r="Z489" i="23" s="1"/>
  <c r="Y497" i="23"/>
  <c r="Z497" i="23" s="1"/>
  <c r="Y475" i="23"/>
  <c r="Z475" i="23" s="1"/>
  <c r="Y483" i="23"/>
  <c r="Z483" i="23" s="1"/>
  <c r="Y491" i="23"/>
  <c r="Z491" i="23" s="1"/>
  <c r="Y499" i="23"/>
  <c r="Z499" i="23" s="1"/>
  <c r="Y480" i="23"/>
  <c r="Z480" i="23" s="1"/>
  <c r="Y476" i="23"/>
  <c r="Z476" i="23" s="1"/>
  <c r="Y484" i="23"/>
  <c r="Z484" i="23" s="1"/>
  <c r="Y492" i="23"/>
  <c r="Z492" i="23" s="1"/>
  <c r="Y500" i="23"/>
  <c r="Z500" i="23" s="1"/>
  <c r="Y435" i="23"/>
  <c r="Z435" i="23" s="1"/>
  <c r="Y443" i="23"/>
  <c r="Z443" i="23" s="1"/>
  <c r="Y451" i="23"/>
  <c r="Z451" i="23" s="1"/>
  <c r="Y459" i="23"/>
  <c r="Z459" i="23" s="1"/>
  <c r="Y467" i="23"/>
  <c r="Z467" i="23" s="1"/>
  <c r="Y436" i="23"/>
  <c r="Z436" i="23" s="1"/>
  <c r="Y444" i="23"/>
  <c r="Z444" i="23" s="1"/>
  <c r="Y452" i="23"/>
  <c r="Z452" i="23" s="1"/>
  <c r="Y460" i="23"/>
  <c r="Z460" i="23" s="1"/>
  <c r="Y437" i="23"/>
  <c r="Z437" i="23" s="1"/>
  <c r="Y445" i="23"/>
  <c r="Z445" i="23" s="1"/>
  <c r="Y454" i="23"/>
  <c r="Z454" i="23" s="1"/>
  <c r="Y455" i="23"/>
  <c r="Z455" i="23" s="1"/>
  <c r="Y440" i="23"/>
  <c r="Z440" i="23" s="1"/>
  <c r="Y448" i="23"/>
  <c r="Z448" i="23" s="1"/>
  <c r="Y456" i="23"/>
  <c r="Z456" i="23" s="1"/>
  <c r="Y464" i="23"/>
  <c r="Z464" i="23" s="1"/>
  <c r="Y461" i="23"/>
  <c r="Z461" i="23" s="1"/>
  <c r="Y438" i="23"/>
  <c r="Z438" i="23" s="1"/>
  <c r="Y446" i="23"/>
  <c r="Z446" i="23" s="1"/>
  <c r="Y462" i="23"/>
  <c r="Z462" i="23" s="1"/>
  <c r="Y439" i="23"/>
  <c r="Z439" i="23" s="1"/>
  <c r="Y441" i="23"/>
  <c r="Z441" i="23" s="1"/>
  <c r="Y449" i="23"/>
  <c r="Z449" i="23" s="1"/>
  <c r="Y457" i="23"/>
  <c r="Z457" i="23" s="1"/>
  <c r="Y465" i="23"/>
  <c r="Z465" i="23" s="1"/>
  <c r="Y453" i="23"/>
  <c r="Z453" i="23" s="1"/>
  <c r="Y447" i="23"/>
  <c r="Z447" i="23" s="1"/>
  <c r="Y463" i="23"/>
  <c r="Z463" i="23" s="1"/>
  <c r="Y442" i="23"/>
  <c r="Z442" i="23" s="1"/>
  <c r="Y450" i="23"/>
  <c r="Z450" i="23" s="1"/>
  <c r="Y458" i="23"/>
  <c r="Z458" i="23" s="1"/>
  <c r="Y466" i="23"/>
  <c r="Z466" i="23" s="1"/>
  <c r="Y402" i="23"/>
  <c r="Z402" i="23" s="1"/>
  <c r="Y410" i="23"/>
  <c r="Z410" i="23" s="1"/>
  <c r="Y418" i="23"/>
  <c r="Z418" i="23" s="1"/>
  <c r="Y426" i="23"/>
  <c r="Z426" i="23" s="1"/>
  <c r="Y425" i="23"/>
  <c r="Z425" i="23" s="1"/>
  <c r="Y411" i="23"/>
  <c r="Z411" i="23" s="1"/>
  <c r="Y417" i="23"/>
  <c r="Z417" i="23" s="1"/>
  <c r="Y409" i="23"/>
  <c r="Z409" i="23" s="1"/>
  <c r="Y401" i="23"/>
  <c r="Z401" i="23" s="1"/>
  <c r="Y403" i="23"/>
  <c r="Z403" i="23" s="1"/>
  <c r="Y404" i="23"/>
  <c r="Z404" i="23" s="1"/>
  <c r="Y428" i="23"/>
  <c r="Z428" i="23" s="1"/>
  <c r="Y421" i="23"/>
  <c r="Z421" i="23" s="1"/>
  <c r="Y406" i="23"/>
  <c r="Z406" i="23" s="1"/>
  <c r="Y414" i="23"/>
  <c r="Z414" i="23" s="1"/>
  <c r="Y422" i="23"/>
  <c r="Z422" i="23" s="1"/>
  <c r="Y430" i="23"/>
  <c r="Z430" i="23" s="1"/>
  <c r="Y427" i="23"/>
  <c r="Z427" i="23" s="1"/>
  <c r="Y420" i="23"/>
  <c r="Z420" i="23" s="1"/>
  <c r="Y413" i="23"/>
  <c r="Z413" i="23" s="1"/>
  <c r="Y407" i="23"/>
  <c r="Z407" i="23" s="1"/>
  <c r="Y415" i="23"/>
  <c r="Z415" i="23" s="1"/>
  <c r="Y423" i="23"/>
  <c r="Z423" i="23" s="1"/>
  <c r="Y431" i="23"/>
  <c r="Z431" i="23" s="1"/>
  <c r="Y419" i="23"/>
  <c r="Z419" i="23" s="1"/>
  <c r="Y412" i="23"/>
  <c r="Z412" i="23" s="1"/>
  <c r="Y405" i="23"/>
  <c r="Z405" i="23" s="1"/>
  <c r="Y429" i="23"/>
  <c r="Z429" i="23" s="1"/>
  <c r="Y400" i="23"/>
  <c r="Z400" i="23" s="1"/>
  <c r="Y408" i="23"/>
  <c r="Z408" i="23" s="1"/>
  <c r="Y416" i="23"/>
  <c r="Z416" i="23" s="1"/>
  <c r="Y424" i="23"/>
  <c r="Z424" i="23" s="1"/>
  <c r="Y432" i="23"/>
  <c r="Z432" i="23" s="1"/>
  <c r="Y383" i="23"/>
  <c r="Z383" i="23" s="1"/>
  <c r="Y367" i="23"/>
  <c r="Z367" i="23" s="1"/>
  <c r="Y375" i="23"/>
  <c r="Z375" i="23" s="1"/>
  <c r="Y391" i="23"/>
  <c r="Z391" i="23" s="1"/>
  <c r="Y368" i="23"/>
  <c r="Z368" i="23" s="1"/>
  <c r="Y376" i="23"/>
  <c r="Z376" i="23" s="1"/>
  <c r="Y384" i="23"/>
  <c r="Z384" i="23" s="1"/>
  <c r="Y392" i="23"/>
  <c r="Z392" i="23" s="1"/>
  <c r="Y369" i="23"/>
  <c r="Z369" i="23" s="1"/>
  <c r="Y370" i="23"/>
  <c r="Z370" i="23" s="1"/>
  <c r="Y395" i="23"/>
  <c r="Z395" i="23" s="1"/>
  <c r="Y385" i="23"/>
  <c r="Z385" i="23" s="1"/>
  <c r="Y371" i="23"/>
  <c r="Z371" i="23" s="1"/>
  <c r="Y372" i="23"/>
  <c r="Z372" i="23" s="1"/>
  <c r="Y380" i="23"/>
  <c r="Z380" i="23" s="1"/>
  <c r="Y388" i="23"/>
  <c r="Z388" i="23" s="1"/>
  <c r="Y396" i="23"/>
  <c r="Z396" i="23" s="1"/>
  <c r="Y377" i="23"/>
  <c r="Z377" i="23" s="1"/>
  <c r="Y386" i="23"/>
  <c r="Z386" i="23" s="1"/>
  <c r="Y365" i="23"/>
  <c r="Z365" i="23" s="1"/>
  <c r="Y373" i="23"/>
  <c r="Z373" i="23" s="1"/>
  <c r="Y381" i="23"/>
  <c r="Z381" i="23" s="1"/>
  <c r="Y389" i="23"/>
  <c r="Z389" i="23" s="1"/>
  <c r="Y397" i="23"/>
  <c r="Z397" i="23" s="1"/>
  <c r="Y393" i="23"/>
  <c r="Z393" i="23" s="1"/>
  <c r="Y378" i="23"/>
  <c r="Z378" i="23" s="1"/>
  <c r="Y394" i="23"/>
  <c r="Z394" i="23" s="1"/>
  <c r="Y379" i="23"/>
  <c r="Z379" i="23" s="1"/>
  <c r="Y387" i="23"/>
  <c r="Z387" i="23" s="1"/>
  <c r="Y366" i="23"/>
  <c r="Z366" i="23" s="1"/>
  <c r="Y374" i="23"/>
  <c r="Z374" i="23" s="1"/>
  <c r="Y382" i="23"/>
  <c r="Z382" i="23" s="1"/>
  <c r="Y390" i="23"/>
  <c r="Z390" i="23" s="1"/>
  <c r="Y343" i="23"/>
  <c r="Z343" i="23" s="1"/>
  <c r="Y357" i="23"/>
  <c r="Z357" i="23" s="1"/>
  <c r="Y333" i="23"/>
  <c r="Z333" i="23" s="1"/>
  <c r="Y341" i="23"/>
  <c r="Z341" i="23" s="1"/>
  <c r="Y349" i="23"/>
  <c r="Z349" i="23" s="1"/>
  <c r="Y334" i="23"/>
  <c r="Z334" i="23" s="1"/>
  <c r="Y342" i="23"/>
  <c r="Z342" i="23" s="1"/>
  <c r="Y350" i="23"/>
  <c r="Z350" i="23" s="1"/>
  <c r="Y358" i="23"/>
  <c r="Z358" i="23" s="1"/>
  <c r="Y351" i="23"/>
  <c r="Z351" i="23" s="1"/>
  <c r="Y359" i="23"/>
  <c r="Z359" i="23" s="1"/>
  <c r="Y337" i="23"/>
  <c r="Z337" i="23" s="1"/>
  <c r="Y361" i="23"/>
  <c r="Z361" i="23" s="1"/>
  <c r="Y330" i="23"/>
  <c r="Z330" i="23" s="1"/>
  <c r="Y338" i="23"/>
  <c r="Z338" i="23" s="1"/>
  <c r="Y346" i="23"/>
  <c r="Z346" i="23" s="1"/>
  <c r="Y354" i="23"/>
  <c r="Z354" i="23" s="1"/>
  <c r="Y362" i="23"/>
  <c r="Z362" i="23" s="1"/>
  <c r="Y335" i="23"/>
  <c r="Z335" i="23" s="1"/>
  <c r="Y336" i="23"/>
  <c r="Z336" i="23" s="1"/>
  <c r="Y344" i="23"/>
  <c r="Z344" i="23" s="1"/>
  <c r="Y360" i="23"/>
  <c r="Z360" i="23" s="1"/>
  <c r="Y353" i="23"/>
  <c r="Z353" i="23" s="1"/>
  <c r="Y331" i="23"/>
  <c r="Z331" i="23" s="1"/>
  <c r="Y339" i="23"/>
  <c r="Z339" i="23" s="1"/>
  <c r="Y347" i="23"/>
  <c r="Z347" i="23" s="1"/>
  <c r="Y355" i="23"/>
  <c r="Z355" i="23" s="1"/>
  <c r="Y352" i="23"/>
  <c r="Z352" i="23" s="1"/>
  <c r="Y345" i="23"/>
  <c r="Z345" i="23" s="1"/>
  <c r="Y332" i="23"/>
  <c r="Z332" i="23" s="1"/>
  <c r="Y340" i="23"/>
  <c r="Z340" i="23" s="1"/>
  <c r="Y348" i="23"/>
  <c r="Z348" i="23" s="1"/>
  <c r="Y356" i="23"/>
  <c r="Z356" i="23" s="1"/>
  <c r="Y316" i="23"/>
  <c r="Z316" i="23" s="1"/>
  <c r="Y299" i="23"/>
  <c r="Z299" i="23" s="1"/>
  <c r="Y307" i="23"/>
  <c r="Z307" i="23" s="1"/>
  <c r="Y315" i="23"/>
  <c r="Z315" i="23" s="1"/>
  <c r="Y323" i="23"/>
  <c r="Z323" i="23" s="1"/>
  <c r="Y308" i="23"/>
  <c r="Z308" i="23" s="1"/>
  <c r="Y310" i="23"/>
  <c r="Z310" i="23" s="1"/>
  <c r="Y318" i="23"/>
  <c r="Z318" i="23" s="1"/>
  <c r="Y300" i="23"/>
  <c r="Z300" i="23" s="1"/>
  <c r="Y309" i="23"/>
  <c r="Z309" i="23" s="1"/>
  <c r="Y303" i="23"/>
  <c r="Z303" i="23" s="1"/>
  <c r="Y296" i="23"/>
  <c r="Z296" i="23" s="1"/>
  <c r="Y304" i="23"/>
  <c r="Z304" i="23" s="1"/>
  <c r="Y312" i="23"/>
  <c r="Z312" i="23" s="1"/>
  <c r="Y320" i="23"/>
  <c r="Z320" i="23" s="1"/>
  <c r="Y324" i="23"/>
  <c r="Z324" i="23" s="1"/>
  <c r="Y301" i="23"/>
  <c r="Z301" i="23" s="1"/>
  <c r="Y325" i="23"/>
  <c r="Z325" i="23" s="1"/>
  <c r="Y295" i="23"/>
  <c r="Z295" i="23" s="1"/>
  <c r="Y297" i="23"/>
  <c r="Z297" i="23" s="1"/>
  <c r="Y305" i="23"/>
  <c r="Z305" i="23" s="1"/>
  <c r="Y313" i="23"/>
  <c r="Z313" i="23" s="1"/>
  <c r="Y321" i="23"/>
  <c r="Z321" i="23" s="1"/>
  <c r="Y317" i="23"/>
  <c r="Z317" i="23" s="1"/>
  <c r="Y302" i="23"/>
  <c r="Z302" i="23" s="1"/>
  <c r="Y326" i="23"/>
  <c r="Z326" i="23" s="1"/>
  <c r="Y311" i="23"/>
  <c r="Z311" i="23" s="1"/>
  <c r="Y319" i="23"/>
  <c r="Z319" i="23" s="1"/>
  <c r="Y327" i="23"/>
  <c r="Z327" i="23" s="1"/>
  <c r="Y298" i="23"/>
  <c r="Z298" i="23" s="1"/>
  <c r="Y306" i="23"/>
  <c r="Z306" i="23" s="1"/>
  <c r="Y314" i="23"/>
  <c r="Z314" i="23" s="1"/>
  <c r="Y322" i="23"/>
  <c r="Z322" i="23" s="1"/>
  <c r="Y274" i="23"/>
  <c r="Z274" i="23" s="1"/>
  <c r="Y267" i="23"/>
  <c r="Z267" i="23" s="1"/>
  <c r="Y276" i="23"/>
  <c r="Z276" i="23" s="1"/>
  <c r="Y269" i="23"/>
  <c r="Z269" i="23" s="1"/>
  <c r="Y265" i="23"/>
  <c r="Z265" i="23" s="1"/>
  <c r="Y273" i="23"/>
  <c r="Z273" i="23" s="1"/>
  <c r="Y281" i="23"/>
  <c r="Z281" i="23" s="1"/>
  <c r="Y289" i="23"/>
  <c r="Z289" i="23" s="1"/>
  <c r="Y291" i="23"/>
  <c r="Z291" i="23" s="1"/>
  <c r="Y292" i="23"/>
  <c r="Z292" i="23" s="1"/>
  <c r="Y266" i="23"/>
  <c r="Z266" i="23" s="1"/>
  <c r="Y268" i="23"/>
  <c r="Z268" i="23" s="1"/>
  <c r="Y284" i="23"/>
  <c r="Z284" i="23" s="1"/>
  <c r="Y285" i="23"/>
  <c r="Z285" i="23" s="1"/>
  <c r="Y262" i="23"/>
  <c r="Z262" i="23" s="1"/>
  <c r="Y270" i="23"/>
  <c r="Z270" i="23" s="1"/>
  <c r="Y278" i="23"/>
  <c r="Z278" i="23" s="1"/>
  <c r="Y286" i="23"/>
  <c r="Z286" i="23" s="1"/>
  <c r="Y290" i="23"/>
  <c r="Z290" i="23" s="1"/>
  <c r="Y275" i="23"/>
  <c r="Z275" i="23" s="1"/>
  <c r="Y261" i="23"/>
  <c r="Z261" i="23" s="1"/>
  <c r="Y263" i="23"/>
  <c r="Z263" i="23" s="1"/>
  <c r="Y271" i="23"/>
  <c r="Z271" i="23" s="1"/>
  <c r="Y279" i="23"/>
  <c r="Z279" i="23" s="1"/>
  <c r="Y287" i="23"/>
  <c r="Z287" i="23" s="1"/>
  <c r="Y282" i="23"/>
  <c r="Z282" i="23" s="1"/>
  <c r="Y283" i="23"/>
  <c r="Z283" i="23" s="1"/>
  <c r="Y260" i="23"/>
  <c r="Z260" i="23" s="1"/>
  <c r="Y277" i="23"/>
  <c r="Z277" i="23" s="1"/>
  <c r="Y264" i="23"/>
  <c r="Z264" i="23" s="1"/>
  <c r="Y272" i="23"/>
  <c r="Z272" i="23" s="1"/>
  <c r="Y280" i="23"/>
  <c r="Z280" i="23" s="1"/>
  <c r="Y288" i="23"/>
  <c r="Z288" i="23" s="1"/>
  <c r="Y232" i="23"/>
  <c r="Z232" i="23" s="1"/>
  <c r="Y231" i="23"/>
  <c r="Z231" i="23" s="1"/>
  <c r="Y255" i="23"/>
  <c r="Z255" i="23" s="1"/>
  <c r="Y240" i="23"/>
  <c r="Z240" i="23" s="1"/>
  <c r="Y225" i="23"/>
  <c r="Z225" i="23" s="1"/>
  <c r="Y233" i="23"/>
  <c r="Z233" i="23" s="1"/>
  <c r="Y241" i="23"/>
  <c r="Z241" i="23" s="1"/>
  <c r="Y249" i="23"/>
  <c r="Z249" i="23" s="1"/>
  <c r="Y257" i="23"/>
  <c r="Z257" i="23" s="1"/>
  <c r="Y242" i="23"/>
  <c r="Z242" i="23" s="1"/>
  <c r="Y243" i="23"/>
  <c r="Z243" i="23" s="1"/>
  <c r="Y256" i="23"/>
  <c r="Z256" i="23" s="1"/>
  <c r="Y234" i="23"/>
  <c r="Z234" i="23" s="1"/>
  <c r="Y250" i="23"/>
  <c r="Z250" i="23" s="1"/>
  <c r="Y235" i="23"/>
  <c r="Z235" i="23" s="1"/>
  <c r="Y236" i="23"/>
  <c r="Z236" i="23" s="1"/>
  <c r="Y252" i="23"/>
  <c r="Z252" i="23" s="1"/>
  <c r="Y247" i="23"/>
  <c r="Z247" i="23" s="1"/>
  <c r="Y248" i="23"/>
  <c r="Z248" i="23" s="1"/>
  <c r="Y226" i="23"/>
  <c r="Z226" i="23" s="1"/>
  <c r="Y228" i="23"/>
  <c r="Z228" i="23" s="1"/>
  <c r="Y244" i="23"/>
  <c r="Z244" i="23" s="1"/>
  <c r="Y229" i="23"/>
  <c r="Z229" i="23" s="1"/>
  <c r="Y237" i="23"/>
  <c r="Z237" i="23" s="1"/>
  <c r="Y245" i="23"/>
  <c r="Z245" i="23" s="1"/>
  <c r="Y253" i="23"/>
  <c r="Z253" i="23" s="1"/>
  <c r="Y239" i="23"/>
  <c r="Z239" i="23" s="1"/>
  <c r="Y227" i="23"/>
  <c r="Z227" i="23" s="1"/>
  <c r="Y251" i="23"/>
  <c r="Z251" i="23" s="1"/>
  <c r="Y230" i="23"/>
  <c r="Z230" i="23" s="1"/>
  <c r="Y238" i="23"/>
  <c r="Z238" i="23" s="1"/>
  <c r="Y246" i="23"/>
  <c r="Z246" i="23" s="1"/>
  <c r="Y254" i="23"/>
  <c r="Z254" i="23" s="1"/>
  <c r="Y213" i="23"/>
  <c r="Z213" i="23" s="1"/>
  <c r="Y190" i="23"/>
  <c r="Z190" i="23" s="1"/>
  <c r="Y198" i="23"/>
  <c r="Z198" i="23" s="1"/>
  <c r="Y206" i="23"/>
  <c r="Z206" i="23" s="1"/>
  <c r="Y214" i="23"/>
  <c r="Z214" i="23" s="1"/>
  <c r="Y222" i="23"/>
  <c r="Z222" i="23" s="1"/>
  <c r="Y215" i="23"/>
  <c r="Z215" i="23" s="1"/>
  <c r="Y216" i="23"/>
  <c r="Z216" i="23" s="1"/>
  <c r="Y197" i="23"/>
  <c r="Z197" i="23" s="1"/>
  <c r="Y199" i="23"/>
  <c r="Z199" i="23" s="1"/>
  <c r="Y208" i="23"/>
  <c r="Z208" i="23" s="1"/>
  <c r="Y201" i="23"/>
  <c r="Z201" i="23" s="1"/>
  <c r="Y217" i="23"/>
  <c r="Z217" i="23" s="1"/>
  <c r="Y194" i="23"/>
  <c r="Z194" i="23" s="1"/>
  <c r="Y202" i="23"/>
  <c r="Z202" i="23" s="1"/>
  <c r="Y210" i="23"/>
  <c r="Z210" i="23" s="1"/>
  <c r="Y218" i="23"/>
  <c r="Z218" i="23" s="1"/>
  <c r="Y205" i="23"/>
  <c r="Z205" i="23" s="1"/>
  <c r="Y221" i="23"/>
  <c r="Z221" i="23" s="1"/>
  <c r="Y207" i="23"/>
  <c r="Z207" i="23" s="1"/>
  <c r="Y200" i="23"/>
  <c r="Z200" i="23" s="1"/>
  <c r="Y193" i="23"/>
  <c r="Z193" i="23" s="1"/>
  <c r="Y209" i="23"/>
  <c r="Z209" i="23" s="1"/>
  <c r="Y195" i="23"/>
  <c r="Z195" i="23" s="1"/>
  <c r="Y203" i="23"/>
  <c r="Z203" i="23" s="1"/>
  <c r="Y211" i="23"/>
  <c r="Z211" i="23" s="1"/>
  <c r="Y219" i="23"/>
  <c r="Z219" i="23" s="1"/>
  <c r="Y191" i="23"/>
  <c r="Z191" i="23" s="1"/>
  <c r="Y192" i="23"/>
  <c r="Z192" i="23" s="1"/>
  <c r="Y196" i="23"/>
  <c r="Z196" i="23" s="1"/>
  <c r="Y204" i="23"/>
  <c r="Z204" i="23" s="1"/>
  <c r="Y212" i="23"/>
  <c r="Z212" i="23" s="1"/>
  <c r="Y220" i="23"/>
  <c r="Z220" i="23" s="1"/>
  <c r="Y165" i="23"/>
  <c r="Z165" i="23" s="1"/>
  <c r="Y174" i="23"/>
  <c r="Z174" i="23" s="1"/>
  <c r="Y155" i="23"/>
  <c r="Z155" i="23" s="1"/>
  <c r="Y163" i="23"/>
  <c r="Z163" i="23" s="1"/>
  <c r="Y171" i="23"/>
  <c r="Z171" i="23" s="1"/>
  <c r="Y179" i="23"/>
  <c r="Z179" i="23" s="1"/>
  <c r="Y187" i="23"/>
  <c r="Z187" i="23" s="1"/>
  <c r="Y172" i="23"/>
  <c r="Z172" i="23" s="1"/>
  <c r="Y180" i="23"/>
  <c r="Z180" i="23" s="1"/>
  <c r="Y181" i="23"/>
  <c r="Z181" i="23" s="1"/>
  <c r="Y157" i="23"/>
  <c r="Z157" i="23" s="1"/>
  <c r="Y158" i="23"/>
  <c r="Z158" i="23" s="1"/>
  <c r="Y182" i="23"/>
  <c r="Z182" i="23" s="1"/>
  <c r="Y168" i="23"/>
  <c r="Z168" i="23" s="1"/>
  <c r="Y176" i="23"/>
  <c r="Z176" i="23" s="1"/>
  <c r="Y156" i="23"/>
  <c r="Z156" i="23" s="1"/>
  <c r="Y166" i="23"/>
  <c r="Z166" i="23" s="1"/>
  <c r="Y167" i="23"/>
  <c r="Z167" i="23" s="1"/>
  <c r="Y183" i="23"/>
  <c r="Z183" i="23" s="1"/>
  <c r="Y160" i="23"/>
  <c r="Z160" i="23" s="1"/>
  <c r="Y184" i="23"/>
  <c r="Z184" i="23" s="1"/>
  <c r="Y161" i="23"/>
  <c r="Z161" i="23" s="1"/>
  <c r="Y169" i="23"/>
  <c r="Z169" i="23" s="1"/>
  <c r="Y177" i="23"/>
  <c r="Z177" i="23" s="1"/>
  <c r="Y185" i="23"/>
  <c r="Z185" i="23" s="1"/>
  <c r="Y164" i="23"/>
  <c r="Z164" i="23" s="1"/>
  <c r="Y173" i="23"/>
  <c r="Z173" i="23" s="1"/>
  <c r="Y159" i="23"/>
  <c r="Z159" i="23" s="1"/>
  <c r="Y175" i="23"/>
  <c r="Z175" i="23" s="1"/>
  <c r="Y162" i="23"/>
  <c r="Z162" i="23" s="1"/>
  <c r="Y170" i="23"/>
  <c r="Z170" i="23" s="1"/>
  <c r="Y178" i="23"/>
  <c r="Z178" i="23" s="1"/>
  <c r="Y186" i="23"/>
  <c r="Z186" i="23" s="1"/>
  <c r="Y145" i="23"/>
  <c r="Z145" i="23" s="1"/>
  <c r="Y122" i="23"/>
  <c r="Z122" i="23" s="1"/>
  <c r="Y124" i="23"/>
  <c r="Z124" i="23" s="1"/>
  <c r="Y148" i="23"/>
  <c r="Z148" i="23" s="1"/>
  <c r="Y125" i="23"/>
  <c r="Z125" i="23" s="1"/>
  <c r="Y133" i="23"/>
  <c r="Z133" i="23" s="1"/>
  <c r="Y141" i="23"/>
  <c r="Z141" i="23" s="1"/>
  <c r="Y149" i="23"/>
  <c r="Z149" i="23" s="1"/>
  <c r="Y129" i="23"/>
  <c r="Z129" i="23" s="1"/>
  <c r="Y146" i="23"/>
  <c r="Z146" i="23" s="1"/>
  <c r="Y139" i="23"/>
  <c r="Z139" i="23" s="1"/>
  <c r="Y132" i="23"/>
  <c r="Z132" i="23" s="1"/>
  <c r="Y126" i="23"/>
  <c r="Z126" i="23" s="1"/>
  <c r="Y142" i="23"/>
  <c r="Z142" i="23" s="1"/>
  <c r="Y121" i="23"/>
  <c r="Z121" i="23" s="1"/>
  <c r="Y130" i="23"/>
  <c r="Z130" i="23" s="1"/>
  <c r="Y123" i="23"/>
  <c r="Z123" i="23" s="1"/>
  <c r="Y147" i="23"/>
  <c r="Z147" i="23" s="1"/>
  <c r="Y140" i="23"/>
  <c r="Z140" i="23" s="1"/>
  <c r="Y134" i="23"/>
  <c r="Z134" i="23" s="1"/>
  <c r="Y150" i="23"/>
  <c r="Z150" i="23" s="1"/>
  <c r="Y127" i="23"/>
  <c r="Z127" i="23" s="1"/>
  <c r="Y135" i="23"/>
  <c r="Z135" i="23" s="1"/>
  <c r="Y143" i="23"/>
  <c r="Z143" i="23" s="1"/>
  <c r="Y151" i="23"/>
  <c r="Z151" i="23" s="1"/>
  <c r="Y137" i="23"/>
  <c r="Z137" i="23" s="1"/>
  <c r="Y138" i="23"/>
  <c r="Z138" i="23" s="1"/>
  <c r="Y131" i="23"/>
  <c r="Z131" i="23" s="1"/>
  <c r="Y120" i="23"/>
  <c r="Z120" i="23" s="1"/>
  <c r="Y128" i="23"/>
  <c r="Z128" i="23" s="1"/>
  <c r="Y136" i="23"/>
  <c r="Z136" i="23" s="1"/>
  <c r="Y144" i="23"/>
  <c r="Z144" i="23" s="1"/>
  <c r="Y152" i="23"/>
  <c r="Z152" i="23" s="1"/>
  <c r="Y111" i="23"/>
  <c r="Z111" i="23" s="1"/>
  <c r="Y88" i="23"/>
  <c r="Z88" i="23" s="1"/>
  <c r="Y103" i="23"/>
  <c r="Z103" i="23" s="1"/>
  <c r="Y95" i="23"/>
  <c r="Z95" i="23" s="1"/>
  <c r="Y104" i="23"/>
  <c r="Z104" i="23" s="1"/>
  <c r="Y112" i="23"/>
  <c r="Z112" i="23" s="1"/>
  <c r="Y113" i="23"/>
  <c r="Z113" i="23" s="1"/>
  <c r="Y89" i="23"/>
  <c r="Z89" i="23" s="1"/>
  <c r="Y105" i="23"/>
  <c r="Z105" i="23" s="1"/>
  <c r="Y98" i="23"/>
  <c r="Z98" i="23" s="1"/>
  <c r="Y91" i="23"/>
  <c r="Z91" i="23" s="1"/>
  <c r="Y90" i="23"/>
  <c r="Z90" i="23" s="1"/>
  <c r="Y114" i="23"/>
  <c r="Z114" i="23" s="1"/>
  <c r="Y107" i="23"/>
  <c r="Z107" i="23" s="1"/>
  <c r="Y100" i="23"/>
  <c r="Z100" i="23" s="1"/>
  <c r="Y96" i="23"/>
  <c r="Z96" i="23" s="1"/>
  <c r="Y97" i="23"/>
  <c r="Z97" i="23" s="1"/>
  <c r="Y99" i="23"/>
  <c r="Z99" i="23" s="1"/>
  <c r="Y115" i="23"/>
  <c r="Z115" i="23" s="1"/>
  <c r="Y92" i="23"/>
  <c r="Z92" i="23" s="1"/>
  <c r="Y108" i="23"/>
  <c r="Z108" i="23" s="1"/>
  <c r="Y116" i="23"/>
  <c r="Z116" i="23" s="1"/>
  <c r="Y85" i="23"/>
  <c r="Z85" i="23" s="1"/>
  <c r="Y93" i="23"/>
  <c r="Z93" i="23" s="1"/>
  <c r="Y101" i="23"/>
  <c r="Z101" i="23" s="1"/>
  <c r="Y109" i="23"/>
  <c r="Z109" i="23" s="1"/>
  <c r="Y117" i="23"/>
  <c r="Z117" i="23" s="1"/>
  <c r="Y87" i="23"/>
  <c r="Z87" i="23" s="1"/>
  <c r="Y106" i="23"/>
  <c r="Z106" i="23" s="1"/>
  <c r="Y86" i="23"/>
  <c r="Z86" i="23" s="1"/>
  <c r="Y94" i="23"/>
  <c r="Z94" i="23" s="1"/>
  <c r="Y102" i="23"/>
  <c r="Z102" i="23" s="1"/>
  <c r="Y110" i="23"/>
  <c r="Z110" i="23" s="1"/>
  <c r="Y62" i="23"/>
  <c r="Z62" i="23" s="1"/>
  <c r="Y55" i="23"/>
  <c r="Z55" i="23" s="1"/>
  <c r="Y56" i="23"/>
  <c r="Z56" i="23" s="1"/>
  <c r="Y53" i="23"/>
  <c r="Z53" i="23" s="1"/>
  <c r="Y61" i="23"/>
  <c r="Z61" i="23" s="1"/>
  <c r="Y69" i="23"/>
  <c r="Z69" i="23" s="1"/>
  <c r="Y77" i="23"/>
  <c r="Z77" i="23" s="1"/>
  <c r="Y71" i="23"/>
  <c r="Z71" i="23" s="1"/>
  <c r="Y63" i="23"/>
  <c r="Z63" i="23" s="1"/>
  <c r="Y80" i="23"/>
  <c r="Z80" i="23" s="1"/>
  <c r="Y78" i="23"/>
  <c r="Z78" i="23" s="1"/>
  <c r="Y64" i="23"/>
  <c r="Z64" i="23" s="1"/>
  <c r="Y72" i="23"/>
  <c r="Z72" i="23" s="1"/>
  <c r="Y73" i="23"/>
  <c r="Z73" i="23" s="1"/>
  <c r="Y58" i="23"/>
  <c r="Z58" i="23" s="1"/>
  <c r="Y74" i="23"/>
  <c r="Z74" i="23" s="1"/>
  <c r="Y70" i="23"/>
  <c r="Z70" i="23" s="1"/>
  <c r="Y79" i="23"/>
  <c r="Z79" i="23" s="1"/>
  <c r="Y57" i="23"/>
  <c r="Z57" i="23" s="1"/>
  <c r="Y81" i="23"/>
  <c r="Z81" i="23" s="1"/>
  <c r="Y50" i="23"/>
  <c r="Z50" i="23" s="1"/>
  <c r="Y66" i="23"/>
  <c r="Z66" i="23" s="1"/>
  <c r="Y82" i="23"/>
  <c r="Z82" i="23" s="1"/>
  <c r="Y51" i="23"/>
  <c r="Z51" i="23" s="1"/>
  <c r="Y59" i="23"/>
  <c r="Z59" i="23" s="1"/>
  <c r="Y67" i="23"/>
  <c r="Z67" i="23" s="1"/>
  <c r="Y75" i="23"/>
  <c r="Z75" i="23" s="1"/>
  <c r="Y54" i="23"/>
  <c r="Z54" i="23" s="1"/>
  <c r="Y65" i="23"/>
  <c r="Z65" i="23" s="1"/>
  <c r="Y52" i="23"/>
  <c r="Z52" i="23" s="1"/>
  <c r="Y60" i="23"/>
  <c r="Z60" i="23" s="1"/>
  <c r="Y68" i="23"/>
  <c r="Z68" i="23" s="1"/>
  <c r="Y76" i="23"/>
  <c r="Z76" i="23" s="1"/>
  <c r="Y39" i="23"/>
  <c r="Z39" i="23" s="1"/>
  <c r="Y23" i="23"/>
  <c r="Z23" i="23" s="1"/>
  <c r="Y37" i="23"/>
  <c r="Z37" i="23" s="1"/>
  <c r="Y44" i="23"/>
  <c r="Z44" i="23" s="1"/>
  <c r="Y36" i="23"/>
  <c r="Z36" i="23" s="1"/>
  <c r="Y28" i="23"/>
  <c r="Z28" i="23" s="1"/>
  <c r="Y19" i="23"/>
  <c r="Z19" i="23" s="1"/>
  <c r="Y42" i="23"/>
  <c r="Z42" i="23" s="1"/>
  <c r="Y26" i="23"/>
  <c r="Z26" i="23" s="1"/>
  <c r="Y43" i="23"/>
  <c r="Z43" i="23" s="1"/>
  <c r="Y27" i="23"/>
  <c r="Z27" i="23" s="1"/>
  <c r="Y33" i="23"/>
  <c r="Z33" i="23" s="1"/>
  <c r="Y35" i="23"/>
  <c r="Z35" i="23" s="1"/>
  <c r="Y16" i="23"/>
  <c r="Z16" i="23" s="1"/>
  <c r="Y32" i="23"/>
  <c r="Z32" i="23" s="1"/>
  <c r="Y34" i="23"/>
  <c r="Z34" i="23" s="1"/>
  <c r="Y40" i="23"/>
  <c r="Z40" i="23" s="1"/>
  <c r="Y24" i="23"/>
  <c r="Z24" i="23" s="1"/>
  <c r="Y47" i="23"/>
  <c r="Z47" i="23" s="1"/>
  <c r="Y46" i="23"/>
  <c r="Z46" i="23" s="1"/>
  <c r="Y38" i="23"/>
  <c r="Z38" i="23" s="1"/>
  <c r="Y30" i="23"/>
  <c r="Z30" i="23" s="1"/>
  <c r="Y41" i="23"/>
  <c r="Z41" i="23" s="1"/>
  <c r="Y25" i="23"/>
  <c r="Z25" i="23" s="1"/>
  <c r="Y31" i="23"/>
  <c r="Z31" i="23" s="1"/>
  <c r="Y45" i="23"/>
  <c r="Z45" i="23" s="1"/>
  <c r="Y29" i="23"/>
  <c r="Z29" i="23" s="1"/>
  <c r="Q20" i="23"/>
  <c r="Q18" i="23"/>
  <c r="Q19" i="23"/>
  <c r="Q22" i="23"/>
  <c r="Q17" i="23"/>
  <c r="Q21" i="23"/>
  <c r="Q546" i="23"/>
  <c r="Q556" i="23"/>
  <c r="Q549" i="23"/>
  <c r="Q545" i="23"/>
  <c r="Q553" i="23"/>
  <c r="Q561" i="23"/>
  <c r="Q569" i="23"/>
  <c r="Q547" i="23"/>
  <c r="Q555" i="23"/>
  <c r="Q563" i="23"/>
  <c r="Q571" i="23"/>
  <c r="Q572" i="23"/>
  <c r="Q554" i="23"/>
  <c r="Q540" i="23"/>
  <c r="Q541" i="23"/>
  <c r="Q542" i="23"/>
  <c r="Q550" i="23"/>
  <c r="Q558" i="23"/>
  <c r="Q566" i="23"/>
  <c r="Q562" i="23"/>
  <c r="Q564" i="23"/>
  <c r="Q565" i="23"/>
  <c r="Q543" i="23"/>
  <c r="Q551" i="23"/>
  <c r="Q559" i="23"/>
  <c r="Q567" i="23"/>
  <c r="Q570" i="23"/>
  <c r="Q548" i="23"/>
  <c r="Q557" i="23"/>
  <c r="Q544" i="23"/>
  <c r="Q552" i="23"/>
  <c r="Q560" i="23"/>
  <c r="Q568" i="23"/>
  <c r="Q513" i="23"/>
  <c r="Q506" i="23"/>
  <c r="Q511" i="23"/>
  <c r="Q519" i="23"/>
  <c r="Q527" i="23"/>
  <c r="Q535" i="23"/>
  <c r="Q512" i="23"/>
  <c r="Q520" i="23"/>
  <c r="Q528" i="23"/>
  <c r="Q536" i="23"/>
  <c r="Q521" i="23"/>
  <c r="Q529" i="23"/>
  <c r="Q537" i="23"/>
  <c r="Q531" i="23"/>
  <c r="Q522" i="23"/>
  <c r="Q507" i="23"/>
  <c r="Q508" i="23"/>
  <c r="Q516" i="23"/>
  <c r="Q524" i="23"/>
  <c r="Q532" i="23"/>
  <c r="Q505" i="23"/>
  <c r="Q530" i="23"/>
  <c r="Q523" i="23"/>
  <c r="Q509" i="23"/>
  <c r="Q517" i="23"/>
  <c r="Q525" i="23"/>
  <c r="Q533" i="23"/>
  <c r="Q514" i="23"/>
  <c r="Q515" i="23"/>
  <c r="Q510" i="23"/>
  <c r="Q518" i="23"/>
  <c r="Q526" i="23"/>
  <c r="Q534" i="23"/>
  <c r="Q471" i="23"/>
  <c r="Q488" i="23"/>
  <c r="Q489" i="23"/>
  <c r="Q477" i="23"/>
  <c r="Q485" i="23"/>
  <c r="Q493" i="23"/>
  <c r="Q501" i="23"/>
  <c r="Q494" i="23"/>
  <c r="Q486" i="23"/>
  <c r="Q478" i="23"/>
  <c r="Q479" i="23"/>
  <c r="Q480" i="23"/>
  <c r="Q497" i="23"/>
  <c r="Q474" i="23"/>
  <c r="Q482" i="23"/>
  <c r="Q490" i="23"/>
  <c r="Q498" i="23"/>
  <c r="Q470" i="23"/>
  <c r="Q487" i="23"/>
  <c r="Q472" i="23"/>
  <c r="Q481" i="23"/>
  <c r="Q475" i="23"/>
  <c r="Q483" i="23"/>
  <c r="Q491" i="23"/>
  <c r="Q499" i="23"/>
  <c r="Q502" i="23"/>
  <c r="Q495" i="23"/>
  <c r="Q496" i="23"/>
  <c r="Q473" i="23"/>
  <c r="Q476" i="23"/>
  <c r="Q484" i="23"/>
  <c r="Q492" i="23"/>
  <c r="Q500" i="23"/>
  <c r="Q454" i="23"/>
  <c r="Q463" i="23"/>
  <c r="Q435" i="23"/>
  <c r="Q443" i="23"/>
  <c r="Q451" i="23"/>
  <c r="Q459" i="23"/>
  <c r="Q467" i="23"/>
  <c r="Q436" i="23"/>
  <c r="Q444" i="23"/>
  <c r="Q452" i="23"/>
  <c r="Q460" i="23"/>
  <c r="Q437" i="23"/>
  <c r="Q445" i="23"/>
  <c r="Q453" i="23"/>
  <c r="Q461" i="23"/>
  <c r="Q462" i="23"/>
  <c r="Q439" i="23"/>
  <c r="Q440" i="23"/>
  <c r="Q448" i="23"/>
  <c r="Q456" i="23"/>
  <c r="Q464" i="23"/>
  <c r="Q446" i="23"/>
  <c r="Q455" i="23"/>
  <c r="Q441" i="23"/>
  <c r="Q449" i="23"/>
  <c r="Q457" i="23"/>
  <c r="Q465" i="23"/>
  <c r="Q438" i="23"/>
  <c r="Q447" i="23"/>
  <c r="Q442" i="23"/>
  <c r="Q450" i="23"/>
  <c r="Q458" i="23"/>
  <c r="Q466" i="23"/>
  <c r="Q419" i="23"/>
  <c r="Q412" i="23"/>
  <c r="Q405" i="23"/>
  <c r="Q429" i="23"/>
  <c r="Q401" i="23"/>
  <c r="Q409" i="23"/>
  <c r="Q417" i="23"/>
  <c r="Q425" i="23"/>
  <c r="Q402" i="23"/>
  <c r="Q410" i="23"/>
  <c r="Q418" i="23"/>
  <c r="Q426" i="23"/>
  <c r="Q403" i="23"/>
  <c r="Q428" i="23"/>
  <c r="Q406" i="23"/>
  <c r="Q414" i="23"/>
  <c r="Q422" i="23"/>
  <c r="Q430" i="23"/>
  <c r="Q427" i="23"/>
  <c r="Q420" i="23"/>
  <c r="Q421" i="23"/>
  <c r="Q407" i="23"/>
  <c r="Q415" i="23"/>
  <c r="Q423" i="23"/>
  <c r="Q431" i="23"/>
  <c r="Q411" i="23"/>
  <c r="Q404" i="23"/>
  <c r="Q413" i="23"/>
  <c r="Q400" i="23"/>
  <c r="Q408" i="23"/>
  <c r="Q416" i="23"/>
  <c r="Q424" i="23"/>
  <c r="Q432" i="23"/>
  <c r="Q378" i="23"/>
  <c r="Q387" i="23"/>
  <c r="Q367" i="23"/>
  <c r="Q375" i="23"/>
  <c r="Q383" i="23"/>
  <c r="Q391" i="23"/>
  <c r="Q368" i="23"/>
  <c r="Q376" i="23"/>
  <c r="Q384" i="23"/>
  <c r="Q392" i="23"/>
  <c r="Q377" i="23"/>
  <c r="Q393" i="23"/>
  <c r="Q386" i="23"/>
  <c r="Q371" i="23"/>
  <c r="Q372" i="23"/>
  <c r="Q380" i="23"/>
  <c r="Q388" i="23"/>
  <c r="Q396" i="23"/>
  <c r="Q369" i="23"/>
  <c r="Q370" i="23"/>
  <c r="Q394" i="23"/>
  <c r="Q395" i="23"/>
  <c r="Q365" i="23"/>
  <c r="Q373" i="23"/>
  <c r="Q381" i="23"/>
  <c r="Q389" i="23"/>
  <c r="Q397" i="23"/>
  <c r="Q385" i="23"/>
  <c r="Q379" i="23"/>
  <c r="Q366" i="23"/>
  <c r="Q374" i="23"/>
  <c r="Q382" i="23"/>
  <c r="Q390" i="23"/>
  <c r="Q350" i="23"/>
  <c r="Q357" i="23"/>
  <c r="Q334" i="23"/>
  <c r="Q342" i="23"/>
  <c r="Q358" i="23"/>
  <c r="Q335" i="23"/>
  <c r="Q343" i="23"/>
  <c r="Q351" i="23"/>
  <c r="Q359" i="23"/>
  <c r="Q349" i="23"/>
  <c r="Q336" i="23"/>
  <c r="Q353" i="23"/>
  <c r="Q330" i="23"/>
  <c r="Q338" i="23"/>
  <c r="Q346" i="23"/>
  <c r="Q354" i="23"/>
  <c r="Q362" i="23"/>
  <c r="Q333" i="23"/>
  <c r="Q352" i="23"/>
  <c r="Q337" i="23"/>
  <c r="Q361" i="23"/>
  <c r="Q331" i="23"/>
  <c r="Q339" i="23"/>
  <c r="Q347" i="23"/>
  <c r="Q355" i="23"/>
  <c r="Q341" i="23"/>
  <c r="Q344" i="23"/>
  <c r="Q360" i="23"/>
  <c r="Q345" i="23"/>
  <c r="Q332" i="23"/>
  <c r="Q340" i="23"/>
  <c r="Q348" i="23"/>
  <c r="Q356" i="23"/>
  <c r="Q308" i="23"/>
  <c r="Q309" i="23"/>
  <c r="Q325" i="23"/>
  <c r="Q318" i="23"/>
  <c r="Q303" i="23"/>
  <c r="Q327" i="23"/>
  <c r="Q299" i="23"/>
  <c r="Q307" i="23"/>
  <c r="Q315" i="23"/>
  <c r="Q323" i="23"/>
  <c r="Q300" i="23"/>
  <c r="Q316" i="23"/>
  <c r="Q324" i="23"/>
  <c r="Q317" i="23"/>
  <c r="Q295" i="23"/>
  <c r="Q296" i="23"/>
  <c r="Q304" i="23"/>
  <c r="Q312" i="23"/>
  <c r="Q320" i="23"/>
  <c r="Q310" i="23"/>
  <c r="Q311" i="23"/>
  <c r="Q297" i="23"/>
  <c r="Q305" i="23"/>
  <c r="Q313" i="23"/>
  <c r="Q321" i="23"/>
  <c r="Q301" i="23"/>
  <c r="Q302" i="23"/>
  <c r="Q326" i="23"/>
  <c r="Q319" i="23"/>
  <c r="Q298" i="23"/>
  <c r="Q306" i="23"/>
  <c r="Q314" i="23"/>
  <c r="Q322" i="23"/>
  <c r="Q282" i="23"/>
  <c r="Q283" i="23"/>
  <c r="Q268" i="23"/>
  <c r="Q292" i="23"/>
  <c r="Q277" i="23"/>
  <c r="Q265" i="23"/>
  <c r="Q273" i="23"/>
  <c r="Q281" i="23"/>
  <c r="Q289" i="23"/>
  <c r="Q274" i="23"/>
  <c r="Q275" i="23"/>
  <c r="Q276" i="23"/>
  <c r="Q269" i="23"/>
  <c r="Q262" i="23"/>
  <c r="Q270" i="23"/>
  <c r="Q278" i="23"/>
  <c r="Q286" i="23"/>
  <c r="Q290" i="23"/>
  <c r="Q267" i="23"/>
  <c r="Q284" i="23"/>
  <c r="Q261" i="23"/>
  <c r="Q285" i="23"/>
  <c r="Q263" i="23"/>
  <c r="Q271" i="23"/>
  <c r="Q279" i="23"/>
  <c r="Q287" i="23"/>
  <c r="Q266" i="23"/>
  <c r="Q291" i="23"/>
  <c r="Q260" i="23"/>
  <c r="Q264" i="23"/>
  <c r="Q272" i="23"/>
  <c r="Q280" i="23"/>
  <c r="Q288" i="23"/>
  <c r="Q240" i="23"/>
  <c r="Q249" i="23"/>
  <c r="Q226" i="23"/>
  <c r="Q251" i="23"/>
  <c r="Q231" i="23"/>
  <c r="Q239" i="23"/>
  <c r="Q247" i="23"/>
  <c r="Q255" i="23"/>
  <c r="Q232" i="23"/>
  <c r="Q241" i="23"/>
  <c r="Q234" i="23"/>
  <c r="Q227" i="23"/>
  <c r="Q228" i="23"/>
  <c r="Q236" i="23"/>
  <c r="Q244" i="23"/>
  <c r="Q252" i="23"/>
  <c r="Q256" i="23"/>
  <c r="Q233" i="23"/>
  <c r="Q250" i="23"/>
  <c r="Q243" i="23"/>
  <c r="Q229" i="23"/>
  <c r="Q237" i="23"/>
  <c r="Q245" i="23"/>
  <c r="Q253" i="23"/>
  <c r="Q248" i="23"/>
  <c r="Q225" i="23"/>
  <c r="Q257" i="23"/>
  <c r="Q242" i="23"/>
  <c r="Q235" i="23"/>
  <c r="Q230" i="23"/>
  <c r="Q238" i="23"/>
  <c r="Q246" i="23"/>
  <c r="Q254" i="23"/>
  <c r="Q206" i="23"/>
  <c r="Q199" i="23"/>
  <c r="Q200" i="23"/>
  <c r="Q197" i="23"/>
  <c r="Q205" i="23"/>
  <c r="Q213" i="23"/>
  <c r="Q221" i="23"/>
  <c r="Q192" i="23"/>
  <c r="Q190" i="23"/>
  <c r="Q222" i="23"/>
  <c r="Q201" i="23"/>
  <c r="Q194" i="23"/>
  <c r="Q218" i="23"/>
  <c r="Q214" i="23"/>
  <c r="Q207" i="23"/>
  <c r="Q208" i="23"/>
  <c r="Q193" i="23"/>
  <c r="Q217" i="23"/>
  <c r="Q202" i="23"/>
  <c r="Q210" i="23"/>
  <c r="Q195" i="23"/>
  <c r="Q203" i="23"/>
  <c r="Q211" i="23"/>
  <c r="Q219" i="23"/>
  <c r="Q198" i="23"/>
  <c r="Q191" i="23"/>
  <c r="Q215" i="23"/>
  <c r="Q216" i="23"/>
  <c r="Q209" i="23"/>
  <c r="Q196" i="23"/>
  <c r="Q204" i="23"/>
  <c r="Q212" i="23"/>
  <c r="Q220" i="23"/>
  <c r="Q171" i="23"/>
  <c r="Q157" i="23"/>
  <c r="Q187" i="23"/>
  <c r="Q180" i="23"/>
  <c r="Q158" i="23"/>
  <c r="Q166" i="23"/>
  <c r="Q174" i="23"/>
  <c r="Q182" i="23"/>
  <c r="Q167" i="23"/>
  <c r="Q155" i="23"/>
  <c r="Q179" i="23"/>
  <c r="Q164" i="23"/>
  <c r="Q165" i="23"/>
  <c r="Q183" i="23"/>
  <c r="Q176" i="23"/>
  <c r="Q184" i="23"/>
  <c r="Q172" i="23"/>
  <c r="Q173" i="23"/>
  <c r="Q159" i="23"/>
  <c r="Q160" i="23"/>
  <c r="Q168" i="23"/>
  <c r="Q161" i="23"/>
  <c r="Q169" i="23"/>
  <c r="Q177" i="23"/>
  <c r="Q185" i="23"/>
  <c r="Q163" i="23"/>
  <c r="Q156" i="23"/>
  <c r="Q181" i="23"/>
  <c r="Q175" i="23"/>
  <c r="Q162" i="23"/>
  <c r="Q170" i="23"/>
  <c r="Q178" i="23"/>
  <c r="Q186" i="23"/>
  <c r="Q122" i="23"/>
  <c r="Q139" i="23"/>
  <c r="Q124" i="23"/>
  <c r="Q148" i="23"/>
  <c r="Q125" i="23"/>
  <c r="Q121" i="23"/>
  <c r="Q129" i="23"/>
  <c r="Q137" i="23"/>
  <c r="Q145" i="23"/>
  <c r="Q147" i="23"/>
  <c r="Q146" i="23"/>
  <c r="Q123" i="23"/>
  <c r="Q140" i="23"/>
  <c r="Q133" i="23"/>
  <c r="Q134" i="23"/>
  <c r="Q150" i="23"/>
  <c r="Q138" i="23"/>
  <c r="Q131" i="23"/>
  <c r="Q141" i="23"/>
  <c r="Q126" i="23"/>
  <c r="Q142" i="23"/>
  <c r="Q127" i="23"/>
  <c r="Q135" i="23"/>
  <c r="Q143" i="23"/>
  <c r="Q151" i="23"/>
  <c r="Q130" i="23"/>
  <c r="Q132" i="23"/>
  <c r="Q149" i="23"/>
  <c r="Q120" i="23"/>
  <c r="Q128" i="23"/>
  <c r="Q136" i="23"/>
  <c r="Q144" i="23"/>
  <c r="Q152" i="23"/>
  <c r="Q88" i="23"/>
  <c r="Q97" i="23"/>
  <c r="Q106" i="23"/>
  <c r="Q107" i="23"/>
  <c r="Q87" i="23"/>
  <c r="Q95" i="23"/>
  <c r="Q103" i="23"/>
  <c r="Q111" i="23"/>
  <c r="Q114" i="23"/>
  <c r="Q99" i="23"/>
  <c r="Q96" i="23"/>
  <c r="Q98" i="23"/>
  <c r="Q115" i="23"/>
  <c r="Q100" i="23"/>
  <c r="Q116" i="23"/>
  <c r="Q104" i="23"/>
  <c r="Q105" i="23"/>
  <c r="Q90" i="23"/>
  <c r="Q91" i="23"/>
  <c r="Q92" i="23"/>
  <c r="Q108" i="23"/>
  <c r="Q85" i="23"/>
  <c r="Q93" i="23"/>
  <c r="Q101" i="23"/>
  <c r="Q109" i="23"/>
  <c r="Q117" i="23"/>
  <c r="Q112" i="23"/>
  <c r="Q89" i="23"/>
  <c r="Q113" i="23"/>
  <c r="Q86" i="23"/>
  <c r="Q94" i="23"/>
  <c r="Q102" i="23"/>
  <c r="Q110" i="23"/>
  <c r="Q70" i="23"/>
  <c r="Q71" i="23"/>
  <c r="Q72" i="23"/>
  <c r="Q73" i="23"/>
  <c r="Q53" i="23"/>
  <c r="Q61" i="23"/>
  <c r="Q69" i="23"/>
  <c r="Q77" i="23"/>
  <c r="Q78" i="23"/>
  <c r="Q56" i="23"/>
  <c r="Q63" i="23"/>
  <c r="Q62" i="23"/>
  <c r="Q65" i="23"/>
  <c r="Q50" i="23"/>
  <c r="Q58" i="23"/>
  <c r="Q66" i="23"/>
  <c r="Q74" i="23"/>
  <c r="Q82" i="23"/>
  <c r="Q54" i="23"/>
  <c r="Q55" i="23"/>
  <c r="Q64" i="23"/>
  <c r="Q51" i="23"/>
  <c r="Q59" i="23"/>
  <c r="Q67" i="23"/>
  <c r="Q75" i="23"/>
  <c r="Q79" i="23"/>
  <c r="Q80" i="23"/>
  <c r="Q57" i="23"/>
  <c r="Q81" i="23"/>
  <c r="Q52" i="23"/>
  <c r="Q60" i="23"/>
  <c r="Q68" i="23"/>
  <c r="Q76" i="23"/>
  <c r="Q43" i="23"/>
  <c r="Q34" i="23"/>
  <c r="Q41" i="23"/>
  <c r="Q40" i="23"/>
  <c r="Q32" i="23"/>
  <c r="Q24" i="23"/>
  <c r="Q16" i="23"/>
  <c r="Q36" i="23"/>
  <c r="Q27" i="23"/>
  <c r="Q25" i="23"/>
  <c r="Q47" i="23"/>
  <c r="Q39" i="23"/>
  <c r="Q31" i="23"/>
  <c r="Q23" i="23"/>
  <c r="Q44" i="23"/>
  <c r="Q28" i="23"/>
  <c r="Q42" i="23"/>
  <c r="Q26" i="23"/>
  <c r="Q33" i="23"/>
  <c r="Q38" i="23"/>
  <c r="Q30" i="23"/>
  <c r="Q35" i="23"/>
  <c r="Q46" i="23"/>
  <c r="Q45" i="23"/>
  <c r="Q37" i="23"/>
  <c r="Q29" i="23"/>
  <c r="Q15" i="23"/>
  <c r="N544" i="23"/>
  <c r="N571" i="23"/>
  <c r="N543" i="23"/>
  <c r="N551" i="23"/>
  <c r="N559" i="23"/>
  <c r="N567" i="23"/>
  <c r="N568" i="23"/>
  <c r="N561" i="23"/>
  <c r="N562" i="23"/>
  <c r="N560" i="23"/>
  <c r="N569" i="23"/>
  <c r="N546" i="23"/>
  <c r="N563" i="23"/>
  <c r="N540" i="23"/>
  <c r="N548" i="23"/>
  <c r="N556" i="23"/>
  <c r="N564" i="23"/>
  <c r="N572" i="23"/>
  <c r="N545" i="23"/>
  <c r="N554" i="23"/>
  <c r="N547" i="23"/>
  <c r="N541" i="23"/>
  <c r="N549" i="23"/>
  <c r="N557" i="23"/>
  <c r="N565" i="23"/>
  <c r="N552" i="23"/>
  <c r="N553" i="23"/>
  <c r="N570" i="23"/>
  <c r="N555" i="23"/>
  <c r="N542" i="23"/>
  <c r="N550" i="23"/>
  <c r="N558" i="23"/>
  <c r="N566" i="23"/>
  <c r="N529" i="23"/>
  <c r="N509" i="23"/>
  <c r="N517" i="23"/>
  <c r="N525" i="23"/>
  <c r="N533" i="23"/>
  <c r="N518" i="23"/>
  <c r="N526" i="23"/>
  <c r="N534" i="23"/>
  <c r="N511" i="23"/>
  <c r="N519" i="23"/>
  <c r="N527" i="23"/>
  <c r="N535" i="23"/>
  <c r="N528" i="23"/>
  <c r="N512" i="23"/>
  <c r="N536" i="23"/>
  <c r="N505" i="23"/>
  <c r="N537" i="23"/>
  <c r="N506" i="23"/>
  <c r="N514" i="23"/>
  <c r="N522" i="23"/>
  <c r="N530" i="23"/>
  <c r="N510" i="23"/>
  <c r="N520" i="23"/>
  <c r="N521" i="23"/>
  <c r="N507" i="23"/>
  <c r="N515" i="23"/>
  <c r="N523" i="23"/>
  <c r="N531" i="23"/>
  <c r="N513" i="23"/>
  <c r="N508" i="23"/>
  <c r="N516" i="23"/>
  <c r="N524" i="23"/>
  <c r="N532" i="23"/>
  <c r="N494" i="23"/>
  <c r="N475" i="23"/>
  <c r="N491" i="23"/>
  <c r="N493" i="23"/>
  <c r="N478" i="23"/>
  <c r="N483" i="23"/>
  <c r="N499" i="23"/>
  <c r="N476" i="23"/>
  <c r="N484" i="23"/>
  <c r="N492" i="23"/>
  <c r="N500" i="23"/>
  <c r="N477" i="23"/>
  <c r="N501" i="23"/>
  <c r="N502" i="23"/>
  <c r="N487" i="23"/>
  <c r="N472" i="23"/>
  <c r="N480" i="23"/>
  <c r="N488" i="23"/>
  <c r="N496" i="23"/>
  <c r="N486" i="23"/>
  <c r="N479" i="23"/>
  <c r="N473" i="23"/>
  <c r="N481" i="23"/>
  <c r="N489" i="23"/>
  <c r="N497" i="23"/>
  <c r="N485" i="23"/>
  <c r="N470" i="23"/>
  <c r="N471" i="23"/>
  <c r="N495" i="23"/>
  <c r="N474" i="23"/>
  <c r="N482" i="23"/>
  <c r="N490" i="23"/>
  <c r="N498" i="23"/>
  <c r="N457" i="23"/>
  <c r="N442" i="23"/>
  <c r="N450" i="23"/>
  <c r="N458" i="23"/>
  <c r="N466" i="23"/>
  <c r="N441" i="23"/>
  <c r="N435" i="23"/>
  <c r="N467" i="23"/>
  <c r="N436" i="23"/>
  <c r="N444" i="23"/>
  <c r="N452" i="23"/>
  <c r="N460" i="23"/>
  <c r="N449" i="23"/>
  <c r="N451" i="23"/>
  <c r="N453" i="23"/>
  <c r="N438" i="23"/>
  <c r="N446" i="23"/>
  <c r="N454" i="23"/>
  <c r="N462" i="23"/>
  <c r="N465" i="23"/>
  <c r="N443" i="23"/>
  <c r="N437" i="23"/>
  <c r="N461" i="23"/>
  <c r="N439" i="23"/>
  <c r="N447" i="23"/>
  <c r="N455" i="23"/>
  <c r="N463" i="23"/>
  <c r="N459" i="23"/>
  <c r="N445" i="23"/>
  <c r="N440" i="23"/>
  <c r="N448" i="23"/>
  <c r="N456" i="23"/>
  <c r="N464" i="23"/>
  <c r="N431" i="23"/>
  <c r="N408" i="23"/>
  <c r="N424" i="23"/>
  <c r="N425" i="23"/>
  <c r="N402" i="23"/>
  <c r="N410" i="23"/>
  <c r="N418" i="23"/>
  <c r="N426" i="23"/>
  <c r="N423" i="23"/>
  <c r="N416" i="23"/>
  <c r="N401" i="23"/>
  <c r="N419" i="23"/>
  <c r="N404" i="23"/>
  <c r="N412" i="23"/>
  <c r="N420" i="23"/>
  <c r="N428" i="23"/>
  <c r="N407" i="23"/>
  <c r="N409" i="23"/>
  <c r="N411" i="23"/>
  <c r="N427" i="23"/>
  <c r="N405" i="23"/>
  <c r="N413" i="23"/>
  <c r="N421" i="23"/>
  <c r="N429" i="23"/>
  <c r="N415" i="23"/>
  <c r="N400" i="23"/>
  <c r="N432" i="23"/>
  <c r="N417" i="23"/>
  <c r="N403" i="23"/>
  <c r="N406" i="23"/>
  <c r="N414" i="23"/>
  <c r="N422" i="23"/>
  <c r="N430" i="23"/>
  <c r="N373" i="23"/>
  <c r="N367" i="23"/>
  <c r="N375" i="23"/>
  <c r="N383" i="23"/>
  <c r="N391" i="23"/>
  <c r="N389" i="23"/>
  <c r="N382" i="23"/>
  <c r="N384" i="23"/>
  <c r="N385" i="23"/>
  <c r="N370" i="23"/>
  <c r="N378" i="23"/>
  <c r="N386" i="23"/>
  <c r="N394" i="23"/>
  <c r="N381" i="23"/>
  <c r="N374" i="23"/>
  <c r="N376" i="23"/>
  <c r="N377" i="23"/>
  <c r="N371" i="23"/>
  <c r="N379" i="23"/>
  <c r="N387" i="23"/>
  <c r="N395" i="23"/>
  <c r="N365" i="23"/>
  <c r="N397" i="23"/>
  <c r="N366" i="23"/>
  <c r="N390" i="23"/>
  <c r="N368" i="23"/>
  <c r="N392" i="23"/>
  <c r="N369" i="23"/>
  <c r="N393" i="23"/>
  <c r="N372" i="23"/>
  <c r="N380" i="23"/>
  <c r="N388" i="23"/>
  <c r="N396" i="23"/>
  <c r="N332" i="23"/>
  <c r="N340" i="23"/>
  <c r="N348" i="23"/>
  <c r="N356" i="23"/>
  <c r="N355" i="23"/>
  <c r="N331" i="23"/>
  <c r="N333" i="23"/>
  <c r="N357" i="23"/>
  <c r="N342" i="23"/>
  <c r="N343" i="23"/>
  <c r="N336" i="23"/>
  <c r="N344" i="23"/>
  <c r="N352" i="23"/>
  <c r="N360" i="23"/>
  <c r="N339" i="23"/>
  <c r="N349" i="23"/>
  <c r="N334" i="23"/>
  <c r="N358" i="23"/>
  <c r="N351" i="23"/>
  <c r="N337" i="23"/>
  <c r="N345" i="23"/>
  <c r="N353" i="23"/>
  <c r="N361" i="23"/>
  <c r="N347" i="23"/>
  <c r="N341" i="23"/>
  <c r="N350" i="23"/>
  <c r="N335" i="23"/>
  <c r="N359" i="23"/>
  <c r="N330" i="23"/>
  <c r="N338" i="23"/>
  <c r="N346" i="23"/>
  <c r="N354" i="23"/>
  <c r="N362" i="23"/>
  <c r="N321" i="23"/>
  <c r="N298" i="23"/>
  <c r="N306" i="23"/>
  <c r="N314" i="23"/>
  <c r="N322" i="23"/>
  <c r="N305" i="23"/>
  <c r="N323" i="23"/>
  <c r="N315" i="23"/>
  <c r="N307" i="23"/>
  <c r="N297" i="23"/>
  <c r="N300" i="23"/>
  <c r="N324" i="23"/>
  <c r="N309" i="23"/>
  <c r="N302" i="23"/>
  <c r="N310" i="23"/>
  <c r="N318" i="23"/>
  <c r="N326" i="23"/>
  <c r="N313" i="23"/>
  <c r="N308" i="23"/>
  <c r="N301" i="23"/>
  <c r="N325" i="23"/>
  <c r="N295" i="23"/>
  <c r="N303" i="23"/>
  <c r="N311" i="23"/>
  <c r="N319" i="23"/>
  <c r="N327" i="23"/>
  <c r="N299" i="23"/>
  <c r="N316" i="23"/>
  <c r="N317" i="23"/>
  <c r="N296" i="23"/>
  <c r="N304" i="23"/>
  <c r="N312" i="23"/>
  <c r="N320" i="23"/>
  <c r="N264" i="23"/>
  <c r="N274" i="23"/>
  <c r="N267" i="23"/>
  <c r="N263" i="23"/>
  <c r="N271" i="23"/>
  <c r="N279" i="23"/>
  <c r="N287" i="23"/>
  <c r="N273" i="23"/>
  <c r="N266" i="23"/>
  <c r="N265" i="23"/>
  <c r="N291" i="23"/>
  <c r="N272" i="23"/>
  <c r="N281" i="23"/>
  <c r="N290" i="23"/>
  <c r="N260" i="23"/>
  <c r="N268" i="23"/>
  <c r="N276" i="23"/>
  <c r="N284" i="23"/>
  <c r="N292" i="23"/>
  <c r="N288" i="23"/>
  <c r="N289" i="23"/>
  <c r="N275" i="23"/>
  <c r="N261" i="23"/>
  <c r="N269" i="23"/>
  <c r="N277" i="23"/>
  <c r="N285" i="23"/>
  <c r="N280" i="23"/>
  <c r="N282" i="23"/>
  <c r="N283" i="23"/>
  <c r="N262" i="23"/>
  <c r="N270" i="23"/>
  <c r="N278" i="23"/>
  <c r="N286" i="23"/>
  <c r="N232" i="23"/>
  <c r="N256" i="23"/>
  <c r="N241" i="23"/>
  <c r="N229" i="23"/>
  <c r="N237" i="23"/>
  <c r="N245" i="23"/>
  <c r="N253" i="23"/>
  <c r="N246" i="23"/>
  <c r="N230" i="23"/>
  <c r="N255" i="23"/>
  <c r="N247" i="23"/>
  <c r="N254" i="23"/>
  <c r="N248" i="23"/>
  <c r="N233" i="23"/>
  <c r="N257" i="23"/>
  <c r="N226" i="23"/>
  <c r="N234" i="23"/>
  <c r="N242" i="23"/>
  <c r="N250" i="23"/>
  <c r="N231" i="23"/>
  <c r="N249" i="23"/>
  <c r="N227" i="23"/>
  <c r="N235" i="23"/>
  <c r="N243" i="23"/>
  <c r="N251" i="23"/>
  <c r="N238" i="23"/>
  <c r="N239" i="23"/>
  <c r="N240" i="23"/>
  <c r="N225" i="23"/>
  <c r="N228" i="23"/>
  <c r="N236" i="23"/>
  <c r="N244" i="23"/>
  <c r="N252" i="23"/>
  <c r="N212" i="23"/>
  <c r="N190" i="23"/>
  <c r="N198" i="23"/>
  <c r="N206" i="23"/>
  <c r="N214" i="23"/>
  <c r="N222" i="23"/>
  <c r="N219" i="23"/>
  <c r="N195" i="23"/>
  <c r="N204" i="23"/>
  <c r="N205" i="23"/>
  <c r="N221" i="23"/>
  <c r="N199" i="23"/>
  <c r="N215" i="23"/>
  <c r="N192" i="23"/>
  <c r="N200" i="23"/>
  <c r="N208" i="23"/>
  <c r="N216" i="23"/>
  <c r="N203" i="23"/>
  <c r="N196" i="23"/>
  <c r="N220" i="23"/>
  <c r="N197" i="23"/>
  <c r="N207" i="23"/>
  <c r="N193" i="23"/>
  <c r="N201" i="23"/>
  <c r="N209" i="23"/>
  <c r="N217" i="23"/>
  <c r="N211" i="23"/>
  <c r="N213" i="23"/>
  <c r="N191" i="23"/>
  <c r="N194" i="23"/>
  <c r="N202" i="23"/>
  <c r="N210" i="23"/>
  <c r="N218" i="23"/>
  <c r="N162" i="23"/>
  <c r="N163" i="23"/>
  <c r="N164" i="23"/>
  <c r="N157" i="23"/>
  <c r="N161" i="23"/>
  <c r="N169" i="23"/>
  <c r="N177" i="23"/>
  <c r="N185" i="23"/>
  <c r="N187" i="23"/>
  <c r="N186" i="23"/>
  <c r="N173" i="23"/>
  <c r="N171" i="23"/>
  <c r="N172" i="23"/>
  <c r="N158" i="23"/>
  <c r="N166" i="23"/>
  <c r="N174" i="23"/>
  <c r="N182" i="23"/>
  <c r="N178" i="23"/>
  <c r="N179" i="23"/>
  <c r="N181" i="23"/>
  <c r="N159" i="23"/>
  <c r="N167" i="23"/>
  <c r="N175" i="23"/>
  <c r="N183" i="23"/>
  <c r="N170" i="23"/>
  <c r="N155" i="23"/>
  <c r="N156" i="23"/>
  <c r="N180" i="23"/>
  <c r="N165" i="23"/>
  <c r="N160" i="23"/>
  <c r="N168" i="23"/>
  <c r="N176" i="23"/>
  <c r="N184" i="23"/>
  <c r="N143" i="23"/>
  <c r="N128" i="23"/>
  <c r="N130" i="23"/>
  <c r="N123" i="23"/>
  <c r="N131" i="23"/>
  <c r="N139" i="23"/>
  <c r="N147" i="23"/>
  <c r="N151" i="23"/>
  <c r="N120" i="23"/>
  <c r="N152" i="23"/>
  <c r="N129" i="23"/>
  <c r="N138" i="23"/>
  <c r="N124" i="23"/>
  <c r="N132" i="23"/>
  <c r="N140" i="23"/>
  <c r="N148" i="23"/>
  <c r="N135" i="23"/>
  <c r="N144" i="23"/>
  <c r="N137" i="23"/>
  <c r="N125" i="23"/>
  <c r="N133" i="23"/>
  <c r="N141" i="23"/>
  <c r="N149" i="23"/>
  <c r="N127" i="23"/>
  <c r="N136" i="23"/>
  <c r="N121" i="23"/>
  <c r="N145" i="23"/>
  <c r="N122" i="23"/>
  <c r="N146" i="23"/>
  <c r="N126" i="23"/>
  <c r="N134" i="23"/>
  <c r="N142" i="23"/>
  <c r="N150" i="23"/>
  <c r="N87" i="23"/>
  <c r="N111" i="23"/>
  <c r="N104" i="23"/>
  <c r="N85" i="23"/>
  <c r="N93" i="23"/>
  <c r="N101" i="23"/>
  <c r="N109" i="23"/>
  <c r="N117" i="23"/>
  <c r="N86" i="23"/>
  <c r="N94" i="23"/>
  <c r="N103" i="23"/>
  <c r="N88" i="23"/>
  <c r="N89" i="23"/>
  <c r="N105" i="23"/>
  <c r="N90" i="23"/>
  <c r="N98" i="23"/>
  <c r="N106" i="23"/>
  <c r="N114" i="23"/>
  <c r="N102" i="23"/>
  <c r="N112" i="23"/>
  <c r="N113" i="23"/>
  <c r="N99" i="23"/>
  <c r="N115" i="23"/>
  <c r="N110" i="23"/>
  <c r="N95" i="23"/>
  <c r="N96" i="23"/>
  <c r="N97" i="23"/>
  <c r="N91" i="23"/>
  <c r="N107" i="23"/>
  <c r="N92" i="23"/>
  <c r="N100" i="23"/>
  <c r="N108" i="23"/>
  <c r="N116" i="23"/>
  <c r="N60" i="23"/>
  <c r="N70" i="23"/>
  <c r="N63" i="23"/>
  <c r="N51" i="23"/>
  <c r="N59" i="23"/>
  <c r="N67" i="23"/>
  <c r="N75" i="23"/>
  <c r="N76" i="23"/>
  <c r="N53" i="23"/>
  <c r="N68" i="23"/>
  <c r="N69" i="23"/>
  <c r="N54" i="23"/>
  <c r="N79" i="23"/>
  <c r="N56" i="23"/>
  <c r="N64" i="23"/>
  <c r="N72" i="23"/>
  <c r="N80" i="23"/>
  <c r="N52" i="23"/>
  <c r="N77" i="23"/>
  <c r="N62" i="23"/>
  <c r="N55" i="23"/>
  <c r="N57" i="23"/>
  <c r="N65" i="23"/>
  <c r="N73" i="23"/>
  <c r="N81" i="23"/>
  <c r="N61" i="23"/>
  <c r="N78" i="23"/>
  <c r="N71" i="23"/>
  <c r="N50" i="23"/>
  <c r="N58" i="23"/>
  <c r="N66" i="23"/>
  <c r="N74" i="23"/>
  <c r="N82" i="23"/>
  <c r="N42" i="23"/>
  <c r="N46" i="23"/>
  <c r="N45" i="23"/>
  <c r="N38" i="23"/>
  <c r="N37" i="23"/>
  <c r="N44" i="23"/>
  <c r="N36" i="23"/>
  <c r="N43" i="23"/>
  <c r="N35" i="23"/>
  <c r="N41" i="23"/>
  <c r="N40" i="23"/>
  <c r="N47" i="23"/>
  <c r="N39" i="23"/>
  <c r="L551" i="23"/>
  <c r="M551" i="23" s="1"/>
  <c r="L568" i="23"/>
  <c r="M568" i="23" s="1"/>
  <c r="L560" i="23"/>
  <c r="M560" i="23" s="1"/>
  <c r="L567" i="23"/>
  <c r="M567" i="23" s="1"/>
  <c r="L559" i="23"/>
  <c r="M559" i="23" s="1"/>
  <c r="L552" i="23"/>
  <c r="M552" i="23" s="1"/>
  <c r="L544" i="23"/>
  <c r="M544" i="23" s="1"/>
  <c r="L542" i="23"/>
  <c r="M542" i="23" s="1"/>
  <c r="L550" i="23"/>
  <c r="M550" i="23" s="1"/>
  <c r="L558" i="23"/>
  <c r="M558" i="23" s="1"/>
  <c r="L535" i="23"/>
  <c r="M535" i="23" s="1"/>
  <c r="L536" i="23"/>
  <c r="M536" i="23" s="1"/>
  <c r="L511" i="23"/>
  <c r="M511" i="23" s="1"/>
  <c r="L506" i="23"/>
  <c r="M506" i="23" s="1"/>
  <c r="L514" i="23"/>
  <c r="M514" i="23" s="1"/>
  <c r="L519" i="23"/>
  <c r="M519" i="23" s="1"/>
  <c r="L507" i="23"/>
  <c r="M507" i="23" s="1"/>
  <c r="L515" i="23"/>
  <c r="M515" i="23" s="1"/>
  <c r="L523" i="23"/>
  <c r="M523" i="23" s="1"/>
  <c r="L531" i="23"/>
  <c r="M531" i="23" s="1"/>
  <c r="L492" i="23"/>
  <c r="M492" i="23" s="1"/>
  <c r="L493" i="23"/>
  <c r="M493" i="23" s="1"/>
  <c r="L500" i="23"/>
  <c r="M500" i="23" s="1"/>
  <c r="L477" i="23"/>
  <c r="M477" i="23" s="1"/>
  <c r="L472" i="23"/>
  <c r="M472" i="23" s="1"/>
  <c r="L480" i="23"/>
  <c r="M480" i="23" s="1"/>
  <c r="L488" i="23"/>
  <c r="M488" i="23" s="1"/>
  <c r="L476" i="23"/>
  <c r="M476" i="23" s="1"/>
  <c r="L485" i="23"/>
  <c r="M485" i="23" s="1"/>
  <c r="L484" i="23"/>
  <c r="M484" i="23" s="1"/>
  <c r="L501" i="23"/>
  <c r="M501" i="23" s="1"/>
  <c r="L474" i="23"/>
  <c r="M474" i="23" s="1"/>
  <c r="L482" i="23"/>
  <c r="M482" i="23" s="1"/>
  <c r="L490" i="23"/>
  <c r="M490" i="23" s="1"/>
  <c r="L498" i="23"/>
  <c r="M498" i="23" s="1"/>
  <c r="L437" i="23"/>
  <c r="M437" i="23" s="1"/>
  <c r="L444" i="23"/>
  <c r="M444" i="23" s="1"/>
  <c r="L452" i="23"/>
  <c r="M452" i="23" s="1"/>
  <c r="L445" i="23"/>
  <c r="M445" i="23" s="1"/>
  <c r="L438" i="23"/>
  <c r="M438" i="23" s="1"/>
  <c r="L462" i="23"/>
  <c r="M462" i="23" s="1"/>
  <c r="L436" i="23"/>
  <c r="M436" i="23" s="1"/>
  <c r="L460" i="23"/>
  <c r="M460" i="23" s="1"/>
  <c r="L453" i="23"/>
  <c r="M453" i="23" s="1"/>
  <c r="L455" i="23"/>
  <c r="M455" i="23" s="1"/>
  <c r="L461" i="23"/>
  <c r="M461" i="23" s="1"/>
  <c r="L417" i="23"/>
  <c r="M417" i="23" s="1"/>
  <c r="L402" i="23"/>
  <c r="M402" i="23" s="1"/>
  <c r="L427" i="23"/>
  <c r="M427" i="23" s="1"/>
  <c r="L418" i="23"/>
  <c r="M418" i="23" s="1"/>
  <c r="L425" i="23"/>
  <c r="M425" i="23" s="1"/>
  <c r="L410" i="23"/>
  <c r="M410" i="23" s="1"/>
  <c r="L419" i="23"/>
  <c r="M419" i="23" s="1"/>
  <c r="L404" i="23"/>
  <c r="M404" i="23" s="1"/>
  <c r="L412" i="23"/>
  <c r="M412" i="23" s="1"/>
  <c r="L420" i="23"/>
  <c r="M420" i="23" s="1"/>
  <c r="L428" i="23"/>
  <c r="M428" i="23" s="1"/>
  <c r="L401" i="23"/>
  <c r="M401" i="23" s="1"/>
  <c r="L426" i="23"/>
  <c r="M426" i="23" s="1"/>
  <c r="L411" i="23"/>
  <c r="M411" i="23" s="1"/>
  <c r="L366" i="23"/>
  <c r="M366" i="23" s="1"/>
  <c r="L367" i="23"/>
  <c r="M367" i="23" s="1"/>
  <c r="L384" i="23"/>
  <c r="M384" i="23" s="1"/>
  <c r="L382" i="23"/>
  <c r="M382" i="23" s="1"/>
  <c r="L383" i="23"/>
  <c r="M383" i="23" s="1"/>
  <c r="L375" i="23"/>
  <c r="M375" i="23" s="1"/>
  <c r="L390" i="23"/>
  <c r="M390" i="23" s="1"/>
  <c r="L391" i="23"/>
  <c r="M391" i="23" s="1"/>
  <c r="L371" i="23"/>
  <c r="M371" i="23" s="1"/>
  <c r="L395" i="23"/>
  <c r="M395" i="23" s="1"/>
  <c r="L374" i="23"/>
  <c r="M374" i="23" s="1"/>
  <c r="L376" i="23"/>
  <c r="M376" i="23" s="1"/>
  <c r="L388" i="23"/>
  <c r="M388" i="23" s="1"/>
  <c r="L332" i="23"/>
  <c r="M332" i="23" s="1"/>
  <c r="L331" i="23"/>
  <c r="M331" i="23" s="1"/>
  <c r="L339" i="23"/>
  <c r="M339" i="23" s="1"/>
  <c r="L347" i="23"/>
  <c r="M347" i="23" s="1"/>
  <c r="L355" i="23"/>
  <c r="M355" i="23" s="1"/>
  <c r="L340" i="23"/>
  <c r="M340" i="23" s="1"/>
  <c r="L348" i="23"/>
  <c r="M348" i="23" s="1"/>
  <c r="L356" i="23"/>
  <c r="M356" i="23" s="1"/>
  <c r="L341" i="23"/>
  <c r="M341" i="23" s="1"/>
  <c r="L349" i="23"/>
  <c r="M349" i="23" s="1"/>
  <c r="L337" i="23"/>
  <c r="M337" i="23" s="1"/>
  <c r="L361" i="23"/>
  <c r="M361" i="23" s="1"/>
  <c r="L357" i="23"/>
  <c r="M357" i="23" s="1"/>
  <c r="L297" i="23"/>
  <c r="M297" i="23" s="1"/>
  <c r="L298" i="23"/>
  <c r="M298" i="23" s="1"/>
  <c r="L299" i="23"/>
  <c r="M299" i="23" s="1"/>
  <c r="L307" i="23"/>
  <c r="M307" i="23" s="1"/>
  <c r="L315" i="23"/>
  <c r="M315" i="23" s="1"/>
  <c r="L323" i="23"/>
  <c r="M323" i="23" s="1"/>
  <c r="L306" i="23"/>
  <c r="M306" i="23" s="1"/>
  <c r="L305" i="23"/>
  <c r="M305" i="23" s="1"/>
  <c r="L314" i="23"/>
  <c r="M314" i="23" s="1"/>
  <c r="L310" i="23"/>
  <c r="M310" i="23" s="1"/>
  <c r="L321" i="23"/>
  <c r="M321" i="23" s="1"/>
  <c r="L322" i="23"/>
  <c r="M322" i="23" s="1"/>
  <c r="L313" i="23"/>
  <c r="M313" i="23" s="1"/>
  <c r="L263" i="23"/>
  <c r="M263" i="23" s="1"/>
  <c r="L279" i="23"/>
  <c r="M279" i="23" s="1"/>
  <c r="L287" i="23"/>
  <c r="M287" i="23" s="1"/>
  <c r="L280" i="23"/>
  <c r="M280" i="23" s="1"/>
  <c r="L264" i="23"/>
  <c r="M264" i="23" s="1"/>
  <c r="L272" i="23"/>
  <c r="M272" i="23" s="1"/>
  <c r="L229" i="23"/>
  <c r="M229" i="23" s="1"/>
  <c r="L253" i="23"/>
  <c r="M253" i="23" s="1"/>
  <c r="L248" i="23"/>
  <c r="M248" i="23" s="1"/>
  <c r="L245" i="23"/>
  <c r="M245" i="23" s="1"/>
  <c r="L240" i="23"/>
  <c r="M240" i="23" s="1"/>
  <c r="L256" i="23"/>
  <c r="M256" i="23" s="1"/>
  <c r="L227" i="23"/>
  <c r="M227" i="23" s="1"/>
  <c r="L235" i="23"/>
  <c r="M235" i="23" s="1"/>
  <c r="L243" i="23"/>
  <c r="M243" i="23" s="1"/>
  <c r="L251" i="23"/>
  <c r="M251" i="23" s="1"/>
  <c r="L237" i="23"/>
  <c r="M237" i="23" s="1"/>
  <c r="L232" i="23"/>
  <c r="M232" i="23" s="1"/>
  <c r="L228" i="23"/>
  <c r="M228" i="23" s="1"/>
  <c r="L236" i="23"/>
  <c r="M236" i="23" s="1"/>
  <c r="L244" i="23"/>
  <c r="M244" i="23" s="1"/>
  <c r="L252" i="23"/>
  <c r="M252" i="23" s="1"/>
  <c r="L204" i="23"/>
  <c r="M204" i="23" s="1"/>
  <c r="L205" i="23"/>
  <c r="M205" i="23" s="1"/>
  <c r="L212" i="23"/>
  <c r="M212" i="23" s="1"/>
  <c r="L197" i="23"/>
  <c r="M197" i="23" s="1"/>
  <c r="L191" i="23"/>
  <c r="M191" i="23" s="1"/>
  <c r="L207" i="23"/>
  <c r="M207" i="23" s="1"/>
  <c r="L192" i="23"/>
  <c r="M192" i="23" s="1"/>
  <c r="L200" i="23"/>
  <c r="M200" i="23" s="1"/>
  <c r="L208" i="23"/>
  <c r="M208" i="23" s="1"/>
  <c r="L216" i="23"/>
  <c r="M216" i="23" s="1"/>
  <c r="L220" i="23"/>
  <c r="M220" i="23" s="1"/>
  <c r="L213" i="23"/>
  <c r="M213" i="23" s="1"/>
  <c r="L199" i="23"/>
  <c r="M199" i="23" s="1"/>
  <c r="L215" i="23"/>
  <c r="M215" i="23" s="1"/>
  <c r="L193" i="23"/>
  <c r="M193" i="23" s="1"/>
  <c r="L201" i="23"/>
  <c r="M201" i="23" s="1"/>
  <c r="L209" i="23"/>
  <c r="M209" i="23" s="1"/>
  <c r="L217" i="23"/>
  <c r="M217" i="23" s="1"/>
  <c r="L196" i="23"/>
  <c r="M196" i="23" s="1"/>
  <c r="L221" i="23"/>
  <c r="M221" i="23" s="1"/>
  <c r="L194" i="23"/>
  <c r="M194" i="23" s="1"/>
  <c r="L202" i="23"/>
  <c r="M202" i="23" s="1"/>
  <c r="L210" i="23"/>
  <c r="M210" i="23" s="1"/>
  <c r="L218" i="23"/>
  <c r="M218" i="23" s="1"/>
  <c r="L157" i="23"/>
  <c r="M157" i="23" s="1"/>
  <c r="L173" i="23"/>
  <c r="M173" i="23" s="1"/>
  <c r="L181" i="23"/>
  <c r="M181" i="23" s="1"/>
  <c r="L158" i="23"/>
  <c r="M158" i="23" s="1"/>
  <c r="L182" i="23"/>
  <c r="M182" i="23" s="1"/>
  <c r="L167" i="23"/>
  <c r="M167" i="23" s="1"/>
  <c r="L175" i="23"/>
  <c r="M175" i="23" s="1"/>
  <c r="L183" i="23"/>
  <c r="M183" i="23" s="1"/>
  <c r="L121" i="23"/>
  <c r="M121" i="23" s="1"/>
  <c r="L130" i="23"/>
  <c r="M130" i="23" s="1"/>
  <c r="L131" i="23"/>
  <c r="M131" i="23" s="1"/>
  <c r="L135" i="23"/>
  <c r="M135" i="23" s="1"/>
  <c r="L137" i="23"/>
  <c r="M137" i="23" s="1"/>
  <c r="L145" i="23"/>
  <c r="M145" i="23" s="1"/>
  <c r="L122" i="23"/>
  <c r="M122" i="23" s="1"/>
  <c r="L139" i="23"/>
  <c r="M139" i="23" s="1"/>
  <c r="L124" i="23"/>
  <c r="M124" i="23" s="1"/>
  <c r="L132" i="23"/>
  <c r="M132" i="23" s="1"/>
  <c r="L140" i="23"/>
  <c r="M140" i="23" s="1"/>
  <c r="L148" i="23"/>
  <c r="M148" i="23" s="1"/>
  <c r="L146" i="23"/>
  <c r="M146" i="23" s="1"/>
  <c r="L147" i="23"/>
  <c r="M147" i="23" s="1"/>
  <c r="L102" i="23"/>
  <c r="M102" i="23" s="1"/>
  <c r="L87" i="23"/>
  <c r="M87" i="23" s="1"/>
  <c r="L95" i="23"/>
  <c r="M95" i="23" s="1"/>
  <c r="L103" i="23"/>
  <c r="M103" i="23" s="1"/>
  <c r="L111" i="23"/>
  <c r="M111" i="23" s="1"/>
  <c r="L110" i="23"/>
  <c r="M110" i="23" s="1"/>
  <c r="L86" i="23"/>
  <c r="M86" i="23" s="1"/>
  <c r="L94" i="23"/>
  <c r="M94" i="23" s="1"/>
  <c r="L112" i="23"/>
  <c r="M112" i="23" s="1"/>
  <c r="L92" i="23"/>
  <c r="M92" i="23" s="1"/>
  <c r="L76" i="23"/>
  <c r="M76" i="23" s="1"/>
  <c r="L77" i="23"/>
  <c r="M77" i="23" s="1"/>
  <c r="L70" i="23"/>
  <c r="M70" i="23" s="1"/>
  <c r="L51" i="23"/>
  <c r="M51" i="23" s="1"/>
  <c r="L59" i="23"/>
  <c r="M59" i="23" s="1"/>
  <c r="L67" i="23"/>
  <c r="M67" i="23" s="1"/>
  <c r="L75" i="23"/>
  <c r="M75" i="23" s="1"/>
  <c r="L69" i="23"/>
  <c r="M69" i="23" s="1"/>
  <c r="L60" i="23"/>
  <c r="M60" i="23" s="1"/>
  <c r="L61" i="23"/>
  <c r="M61" i="23" s="1"/>
  <c r="L54" i="23"/>
  <c r="M54" i="23" s="1"/>
  <c r="L52" i="23"/>
  <c r="M52" i="23" s="1"/>
  <c r="L68" i="23"/>
  <c r="M68" i="23" s="1"/>
  <c r="L57" i="23"/>
  <c r="M57" i="23" s="1"/>
  <c r="L65" i="23"/>
  <c r="M65" i="23" s="1"/>
  <c r="L73" i="23"/>
  <c r="M73" i="23" s="1"/>
  <c r="L81" i="23"/>
  <c r="M81" i="23" s="1"/>
  <c r="L62" i="23"/>
  <c r="M62" i="23" s="1"/>
  <c r="L45" i="23"/>
  <c r="M45" i="23" s="1"/>
  <c r="L37" i="23"/>
  <c r="M37" i="23" s="1"/>
  <c r="L44" i="23"/>
  <c r="M44" i="23" s="1"/>
  <c r="L36" i="23"/>
  <c r="M36" i="23" s="1"/>
  <c r="L47" i="23"/>
  <c r="M47" i="23" s="1"/>
  <c r="L39" i="23"/>
  <c r="M39" i="23" s="1"/>
  <c r="L541" i="23"/>
  <c r="M541" i="23" s="1"/>
  <c r="L549" i="23"/>
  <c r="M549" i="23" s="1"/>
  <c r="L557" i="23"/>
  <c r="M557" i="23" s="1"/>
  <c r="L565" i="23"/>
  <c r="M565" i="23" s="1"/>
  <c r="L566" i="23"/>
  <c r="M566" i="23" s="1"/>
  <c r="L543" i="23"/>
  <c r="M543" i="23" s="1"/>
  <c r="L545" i="23"/>
  <c r="M545" i="23" s="1"/>
  <c r="L553" i="23"/>
  <c r="M553" i="23" s="1"/>
  <c r="L561" i="23"/>
  <c r="M561" i="23" s="1"/>
  <c r="L569" i="23"/>
  <c r="M569" i="23" s="1"/>
  <c r="L546" i="23"/>
  <c r="M546" i="23" s="1"/>
  <c r="L554" i="23"/>
  <c r="M554" i="23" s="1"/>
  <c r="L562" i="23"/>
  <c r="M562" i="23" s="1"/>
  <c r="L570" i="23"/>
  <c r="M570" i="23" s="1"/>
  <c r="L547" i="23"/>
  <c r="M547" i="23" s="1"/>
  <c r="L555" i="23"/>
  <c r="M555" i="23" s="1"/>
  <c r="L563" i="23"/>
  <c r="M563" i="23" s="1"/>
  <c r="L571" i="23"/>
  <c r="M571" i="23" s="1"/>
  <c r="L540" i="23"/>
  <c r="M540" i="23" s="1"/>
  <c r="L548" i="23"/>
  <c r="M548" i="23" s="1"/>
  <c r="L556" i="23"/>
  <c r="M556" i="23" s="1"/>
  <c r="L564" i="23"/>
  <c r="M564" i="23" s="1"/>
  <c r="L572" i="23"/>
  <c r="M572" i="23" s="1"/>
  <c r="L522" i="23"/>
  <c r="M522" i="23" s="1"/>
  <c r="L530" i="23"/>
  <c r="M530" i="23" s="1"/>
  <c r="L508" i="23"/>
  <c r="M508" i="23" s="1"/>
  <c r="L516" i="23"/>
  <c r="M516" i="23" s="1"/>
  <c r="L524" i="23"/>
  <c r="M524" i="23" s="1"/>
  <c r="L532" i="23"/>
  <c r="M532" i="23" s="1"/>
  <c r="L473" i="23"/>
  <c r="M473" i="23" s="1"/>
  <c r="L509" i="23"/>
  <c r="M509" i="23" s="1"/>
  <c r="L517" i="23"/>
  <c r="M517" i="23" s="1"/>
  <c r="L525" i="23"/>
  <c r="M525" i="23" s="1"/>
  <c r="L533" i="23"/>
  <c r="M533" i="23" s="1"/>
  <c r="L481" i="23"/>
  <c r="M481" i="23" s="1"/>
  <c r="L510" i="23"/>
  <c r="M510" i="23" s="1"/>
  <c r="L518" i="23"/>
  <c r="M518" i="23" s="1"/>
  <c r="L526" i="23"/>
  <c r="M526" i="23" s="1"/>
  <c r="L534" i="23"/>
  <c r="M534" i="23" s="1"/>
  <c r="L489" i="23"/>
  <c r="M489" i="23" s="1"/>
  <c r="L527" i="23"/>
  <c r="M527" i="23" s="1"/>
  <c r="L497" i="23"/>
  <c r="M497" i="23" s="1"/>
  <c r="L512" i="23"/>
  <c r="M512" i="23" s="1"/>
  <c r="L520" i="23"/>
  <c r="M520" i="23" s="1"/>
  <c r="L528" i="23"/>
  <c r="M528" i="23" s="1"/>
  <c r="L505" i="23"/>
  <c r="M505" i="23" s="1"/>
  <c r="L513" i="23"/>
  <c r="M513" i="23" s="1"/>
  <c r="L521" i="23"/>
  <c r="M521" i="23" s="1"/>
  <c r="L529" i="23"/>
  <c r="M529" i="23" s="1"/>
  <c r="L537" i="23"/>
  <c r="M537" i="23" s="1"/>
  <c r="L471" i="23"/>
  <c r="M471" i="23" s="1"/>
  <c r="L479" i="23"/>
  <c r="M479" i="23" s="1"/>
  <c r="L487" i="23"/>
  <c r="M487" i="23" s="1"/>
  <c r="L495" i="23"/>
  <c r="M495" i="23" s="1"/>
  <c r="L496" i="23"/>
  <c r="M496" i="23" s="1"/>
  <c r="L475" i="23"/>
  <c r="M475" i="23" s="1"/>
  <c r="L483" i="23"/>
  <c r="M483" i="23" s="1"/>
  <c r="L491" i="23"/>
  <c r="M491" i="23" s="1"/>
  <c r="L499" i="23"/>
  <c r="M499" i="23" s="1"/>
  <c r="L470" i="23"/>
  <c r="M470" i="23" s="1"/>
  <c r="L478" i="23"/>
  <c r="M478" i="23" s="1"/>
  <c r="L486" i="23"/>
  <c r="M486" i="23" s="1"/>
  <c r="L494" i="23"/>
  <c r="M494" i="23" s="1"/>
  <c r="L502" i="23"/>
  <c r="M502" i="23" s="1"/>
  <c r="L446" i="23"/>
  <c r="M446" i="23" s="1"/>
  <c r="L454" i="23"/>
  <c r="M454" i="23" s="1"/>
  <c r="L439" i="23"/>
  <c r="M439" i="23" s="1"/>
  <c r="L447" i="23"/>
  <c r="M447" i="23" s="1"/>
  <c r="L463" i="23"/>
  <c r="M463" i="23" s="1"/>
  <c r="L440" i="23"/>
  <c r="M440" i="23" s="1"/>
  <c r="L448" i="23"/>
  <c r="M448" i="23" s="1"/>
  <c r="L456" i="23"/>
  <c r="M456" i="23" s="1"/>
  <c r="L464" i="23"/>
  <c r="M464" i="23" s="1"/>
  <c r="L441" i="23"/>
  <c r="M441" i="23" s="1"/>
  <c r="L449" i="23"/>
  <c r="M449" i="23" s="1"/>
  <c r="L457" i="23"/>
  <c r="M457" i="23" s="1"/>
  <c r="L465" i="23"/>
  <c r="M465" i="23" s="1"/>
  <c r="L442" i="23"/>
  <c r="M442" i="23" s="1"/>
  <c r="L450" i="23"/>
  <c r="M450" i="23" s="1"/>
  <c r="L458" i="23"/>
  <c r="M458" i="23" s="1"/>
  <c r="L466" i="23"/>
  <c r="M466" i="23" s="1"/>
  <c r="L435" i="23"/>
  <c r="M435" i="23" s="1"/>
  <c r="L443" i="23"/>
  <c r="M443" i="23" s="1"/>
  <c r="L451" i="23"/>
  <c r="M451" i="23" s="1"/>
  <c r="L459" i="23"/>
  <c r="M459" i="23" s="1"/>
  <c r="L467" i="23"/>
  <c r="M467" i="23" s="1"/>
  <c r="L409" i="23"/>
  <c r="M409" i="23" s="1"/>
  <c r="L403" i="23"/>
  <c r="M403" i="23" s="1"/>
  <c r="L405" i="23"/>
  <c r="M405" i="23" s="1"/>
  <c r="L413" i="23"/>
  <c r="M413" i="23" s="1"/>
  <c r="L421" i="23"/>
  <c r="M421" i="23" s="1"/>
  <c r="L429" i="23"/>
  <c r="M429" i="23" s="1"/>
  <c r="L406" i="23"/>
  <c r="M406" i="23" s="1"/>
  <c r="L414" i="23"/>
  <c r="M414" i="23" s="1"/>
  <c r="L422" i="23"/>
  <c r="M422" i="23" s="1"/>
  <c r="L430" i="23"/>
  <c r="M430" i="23" s="1"/>
  <c r="L407" i="23"/>
  <c r="M407" i="23" s="1"/>
  <c r="L415" i="23"/>
  <c r="M415" i="23" s="1"/>
  <c r="L423" i="23"/>
  <c r="M423" i="23" s="1"/>
  <c r="L431" i="23"/>
  <c r="M431" i="23" s="1"/>
  <c r="L400" i="23"/>
  <c r="M400" i="23" s="1"/>
  <c r="L408" i="23"/>
  <c r="M408" i="23" s="1"/>
  <c r="L416" i="23"/>
  <c r="M416" i="23" s="1"/>
  <c r="L424" i="23"/>
  <c r="M424" i="23" s="1"/>
  <c r="L432" i="23"/>
  <c r="M432" i="23" s="1"/>
  <c r="L368" i="23"/>
  <c r="M368" i="23" s="1"/>
  <c r="L392" i="23"/>
  <c r="M392" i="23" s="1"/>
  <c r="L369" i="23"/>
  <c r="M369" i="23" s="1"/>
  <c r="L377" i="23"/>
  <c r="M377" i="23" s="1"/>
  <c r="L385" i="23"/>
  <c r="M385" i="23" s="1"/>
  <c r="L393" i="23"/>
  <c r="M393" i="23" s="1"/>
  <c r="L370" i="23"/>
  <c r="M370" i="23" s="1"/>
  <c r="L378" i="23"/>
  <c r="M378" i="23" s="1"/>
  <c r="L386" i="23"/>
  <c r="M386" i="23" s="1"/>
  <c r="L394" i="23"/>
  <c r="M394" i="23" s="1"/>
  <c r="L379" i="23"/>
  <c r="M379" i="23" s="1"/>
  <c r="L387" i="23"/>
  <c r="M387" i="23" s="1"/>
  <c r="L372" i="23"/>
  <c r="M372" i="23" s="1"/>
  <c r="L380" i="23"/>
  <c r="M380" i="23" s="1"/>
  <c r="L396" i="23"/>
  <c r="M396" i="23" s="1"/>
  <c r="L365" i="23"/>
  <c r="M365" i="23" s="1"/>
  <c r="L373" i="23"/>
  <c r="M373" i="23" s="1"/>
  <c r="L381" i="23"/>
  <c r="M381" i="23" s="1"/>
  <c r="L389" i="23"/>
  <c r="M389" i="23" s="1"/>
  <c r="L397" i="23"/>
  <c r="M397" i="23" s="1"/>
  <c r="L333" i="23"/>
  <c r="M333" i="23" s="1"/>
  <c r="L334" i="23"/>
  <c r="M334" i="23" s="1"/>
  <c r="L342" i="23"/>
  <c r="M342" i="23" s="1"/>
  <c r="L350" i="23"/>
  <c r="M350" i="23" s="1"/>
  <c r="L358" i="23"/>
  <c r="M358" i="23" s="1"/>
  <c r="L335" i="23"/>
  <c r="M335" i="23" s="1"/>
  <c r="L343" i="23"/>
  <c r="M343" i="23" s="1"/>
  <c r="L351" i="23"/>
  <c r="M351" i="23" s="1"/>
  <c r="L359" i="23"/>
  <c r="M359" i="23" s="1"/>
  <c r="L336" i="23"/>
  <c r="M336" i="23" s="1"/>
  <c r="L344" i="23"/>
  <c r="M344" i="23" s="1"/>
  <c r="L352" i="23"/>
  <c r="M352" i="23" s="1"/>
  <c r="L360" i="23"/>
  <c r="M360" i="23" s="1"/>
  <c r="L345" i="23"/>
  <c r="M345" i="23" s="1"/>
  <c r="L353" i="23"/>
  <c r="M353" i="23" s="1"/>
  <c r="L330" i="23"/>
  <c r="M330" i="23" s="1"/>
  <c r="L338" i="23"/>
  <c r="M338" i="23" s="1"/>
  <c r="L346" i="23"/>
  <c r="M346" i="23" s="1"/>
  <c r="L354" i="23"/>
  <c r="M354" i="23" s="1"/>
  <c r="L362" i="23"/>
  <c r="M362" i="23" s="1"/>
  <c r="L296" i="23"/>
  <c r="M296" i="23" s="1"/>
  <c r="L304" i="23"/>
  <c r="M304" i="23" s="1"/>
  <c r="L312" i="23"/>
  <c r="M312" i="23" s="1"/>
  <c r="L320" i="23"/>
  <c r="M320" i="23" s="1"/>
  <c r="L300" i="23"/>
  <c r="M300" i="23" s="1"/>
  <c r="L308" i="23"/>
  <c r="M308" i="23" s="1"/>
  <c r="L316" i="23"/>
  <c r="M316" i="23" s="1"/>
  <c r="L324" i="23"/>
  <c r="M324" i="23" s="1"/>
  <c r="L301" i="23"/>
  <c r="M301" i="23" s="1"/>
  <c r="L309" i="23"/>
  <c r="M309" i="23" s="1"/>
  <c r="L317" i="23"/>
  <c r="M317" i="23" s="1"/>
  <c r="L325" i="23"/>
  <c r="M325" i="23" s="1"/>
  <c r="L302" i="23"/>
  <c r="M302" i="23" s="1"/>
  <c r="L318" i="23"/>
  <c r="M318" i="23" s="1"/>
  <c r="L326" i="23"/>
  <c r="M326" i="23" s="1"/>
  <c r="L295" i="23"/>
  <c r="M295" i="23" s="1"/>
  <c r="L303" i="23"/>
  <c r="M303" i="23" s="1"/>
  <c r="L311" i="23"/>
  <c r="M311" i="23" s="1"/>
  <c r="L319" i="23"/>
  <c r="M319" i="23" s="1"/>
  <c r="L327" i="23"/>
  <c r="M327" i="23" s="1"/>
  <c r="L261" i="23"/>
  <c r="M261" i="23" s="1"/>
  <c r="L269" i="23"/>
  <c r="M269" i="23" s="1"/>
  <c r="L277" i="23"/>
  <c r="M277" i="23" s="1"/>
  <c r="L285" i="23"/>
  <c r="M285" i="23" s="1"/>
  <c r="L262" i="23"/>
  <c r="M262" i="23" s="1"/>
  <c r="L270" i="23"/>
  <c r="M270" i="23" s="1"/>
  <c r="L278" i="23"/>
  <c r="M278" i="23" s="1"/>
  <c r="L286" i="23"/>
  <c r="M286" i="23" s="1"/>
  <c r="L271" i="23"/>
  <c r="M271" i="23" s="1"/>
  <c r="L288" i="23"/>
  <c r="M288" i="23" s="1"/>
  <c r="L265" i="23"/>
  <c r="M265" i="23" s="1"/>
  <c r="L273" i="23"/>
  <c r="M273" i="23" s="1"/>
  <c r="L281" i="23"/>
  <c r="M281" i="23" s="1"/>
  <c r="L289" i="23"/>
  <c r="M289" i="23" s="1"/>
  <c r="L266" i="23"/>
  <c r="M266" i="23" s="1"/>
  <c r="L274" i="23"/>
  <c r="M274" i="23" s="1"/>
  <c r="L282" i="23"/>
  <c r="M282" i="23" s="1"/>
  <c r="L290" i="23"/>
  <c r="M290" i="23" s="1"/>
  <c r="L267" i="23"/>
  <c r="M267" i="23" s="1"/>
  <c r="L275" i="23"/>
  <c r="M275" i="23" s="1"/>
  <c r="L283" i="23"/>
  <c r="M283" i="23" s="1"/>
  <c r="L291" i="23"/>
  <c r="M291" i="23" s="1"/>
  <c r="L260" i="23"/>
  <c r="M260" i="23" s="1"/>
  <c r="L268" i="23"/>
  <c r="M268" i="23" s="1"/>
  <c r="L276" i="23"/>
  <c r="M276" i="23" s="1"/>
  <c r="L284" i="23"/>
  <c r="M284" i="23" s="1"/>
  <c r="L292" i="23"/>
  <c r="M292" i="23" s="1"/>
  <c r="L226" i="23"/>
  <c r="M226" i="23" s="1"/>
  <c r="L234" i="23"/>
  <c r="M234" i="23" s="1"/>
  <c r="L242" i="23"/>
  <c r="M242" i="23" s="1"/>
  <c r="L250" i="23"/>
  <c r="M250" i="23" s="1"/>
  <c r="L230" i="23"/>
  <c r="M230" i="23" s="1"/>
  <c r="L238" i="23"/>
  <c r="M238" i="23" s="1"/>
  <c r="L246" i="23"/>
  <c r="M246" i="23" s="1"/>
  <c r="L254" i="23"/>
  <c r="M254" i="23" s="1"/>
  <c r="L231" i="23"/>
  <c r="M231" i="23" s="1"/>
  <c r="L239" i="23"/>
  <c r="M239" i="23" s="1"/>
  <c r="L247" i="23"/>
  <c r="M247" i="23" s="1"/>
  <c r="L255" i="23"/>
  <c r="M255" i="23" s="1"/>
  <c r="L225" i="23"/>
  <c r="M225" i="23" s="1"/>
  <c r="L233" i="23"/>
  <c r="M233" i="23" s="1"/>
  <c r="L241" i="23"/>
  <c r="M241" i="23" s="1"/>
  <c r="L249" i="23"/>
  <c r="M249" i="23" s="1"/>
  <c r="L257" i="23"/>
  <c r="M257" i="23" s="1"/>
  <c r="L195" i="23"/>
  <c r="M195" i="23" s="1"/>
  <c r="L203" i="23"/>
  <c r="M203" i="23" s="1"/>
  <c r="L211" i="23"/>
  <c r="M211" i="23" s="1"/>
  <c r="L219" i="23"/>
  <c r="M219" i="23" s="1"/>
  <c r="L190" i="23"/>
  <c r="M190" i="23" s="1"/>
  <c r="L198" i="23"/>
  <c r="M198" i="23" s="1"/>
  <c r="L206" i="23"/>
  <c r="M206" i="23" s="1"/>
  <c r="L214" i="23"/>
  <c r="M214" i="23" s="1"/>
  <c r="L222" i="23"/>
  <c r="M222" i="23" s="1"/>
  <c r="L160" i="23"/>
  <c r="M160" i="23" s="1"/>
  <c r="L156" i="23"/>
  <c r="M156" i="23" s="1"/>
  <c r="L164" i="23"/>
  <c r="M164" i="23" s="1"/>
  <c r="L172" i="23"/>
  <c r="M172" i="23" s="1"/>
  <c r="L180" i="23"/>
  <c r="M180" i="23" s="1"/>
  <c r="L165" i="23"/>
  <c r="M165" i="23" s="1"/>
  <c r="L166" i="23"/>
  <c r="M166" i="23" s="1"/>
  <c r="L174" i="23"/>
  <c r="M174" i="23" s="1"/>
  <c r="L159" i="23"/>
  <c r="M159" i="23" s="1"/>
  <c r="L168" i="23"/>
  <c r="M168" i="23" s="1"/>
  <c r="L161" i="23"/>
  <c r="M161" i="23" s="1"/>
  <c r="L169" i="23"/>
  <c r="M169" i="23" s="1"/>
  <c r="L177" i="23"/>
  <c r="M177" i="23" s="1"/>
  <c r="L185" i="23"/>
  <c r="M185" i="23" s="1"/>
  <c r="L184" i="23"/>
  <c r="M184" i="23" s="1"/>
  <c r="L162" i="23"/>
  <c r="M162" i="23" s="1"/>
  <c r="L170" i="23"/>
  <c r="M170" i="23" s="1"/>
  <c r="L178" i="23"/>
  <c r="M178" i="23" s="1"/>
  <c r="L186" i="23"/>
  <c r="M186" i="23" s="1"/>
  <c r="L176" i="23"/>
  <c r="M176" i="23" s="1"/>
  <c r="L155" i="23"/>
  <c r="M155" i="23" s="1"/>
  <c r="L163" i="23"/>
  <c r="M163" i="23" s="1"/>
  <c r="L171" i="23"/>
  <c r="M171" i="23" s="1"/>
  <c r="L179" i="23"/>
  <c r="M179" i="23" s="1"/>
  <c r="L187" i="23"/>
  <c r="M187" i="23" s="1"/>
  <c r="L129" i="23"/>
  <c r="M129" i="23" s="1"/>
  <c r="L138" i="23"/>
  <c r="M138" i="23" s="1"/>
  <c r="L123" i="23"/>
  <c r="M123" i="23" s="1"/>
  <c r="L125" i="23"/>
  <c r="M125" i="23" s="1"/>
  <c r="L133" i="23"/>
  <c r="M133" i="23" s="1"/>
  <c r="L141" i="23"/>
  <c r="M141" i="23" s="1"/>
  <c r="L149" i="23"/>
  <c r="M149" i="23" s="1"/>
  <c r="L126" i="23"/>
  <c r="M126" i="23" s="1"/>
  <c r="L134" i="23"/>
  <c r="M134" i="23" s="1"/>
  <c r="L142" i="23"/>
  <c r="M142" i="23" s="1"/>
  <c r="L150" i="23"/>
  <c r="M150" i="23" s="1"/>
  <c r="L127" i="23"/>
  <c r="M127" i="23" s="1"/>
  <c r="L143" i="23"/>
  <c r="M143" i="23" s="1"/>
  <c r="L151" i="23"/>
  <c r="M151" i="23" s="1"/>
  <c r="L120" i="23"/>
  <c r="M120" i="23" s="1"/>
  <c r="L128" i="23"/>
  <c r="M128" i="23" s="1"/>
  <c r="L136" i="23"/>
  <c r="M136" i="23" s="1"/>
  <c r="L144" i="23"/>
  <c r="M144" i="23" s="1"/>
  <c r="L152" i="23"/>
  <c r="M152" i="23" s="1"/>
  <c r="L88" i="23"/>
  <c r="M88" i="23" s="1"/>
  <c r="L96" i="23"/>
  <c r="M96" i="23" s="1"/>
  <c r="L104" i="23"/>
  <c r="M104" i="23" s="1"/>
  <c r="L89" i="23"/>
  <c r="M89" i="23" s="1"/>
  <c r="L97" i="23"/>
  <c r="M97" i="23" s="1"/>
  <c r="L105" i="23"/>
  <c r="M105" i="23" s="1"/>
  <c r="L113" i="23"/>
  <c r="M113" i="23" s="1"/>
  <c r="L90" i="23"/>
  <c r="M90" i="23" s="1"/>
  <c r="L98" i="23"/>
  <c r="M98" i="23" s="1"/>
  <c r="L106" i="23"/>
  <c r="M106" i="23" s="1"/>
  <c r="L114" i="23"/>
  <c r="M114" i="23" s="1"/>
  <c r="L91" i="23"/>
  <c r="M91" i="23" s="1"/>
  <c r="L99" i="23"/>
  <c r="M99" i="23" s="1"/>
  <c r="L107" i="23"/>
  <c r="M107" i="23" s="1"/>
  <c r="L115" i="23"/>
  <c r="M115" i="23" s="1"/>
  <c r="L100" i="23"/>
  <c r="M100" i="23" s="1"/>
  <c r="L108" i="23"/>
  <c r="M108" i="23" s="1"/>
  <c r="L116" i="23"/>
  <c r="M116" i="23" s="1"/>
  <c r="L85" i="23"/>
  <c r="M85" i="23" s="1"/>
  <c r="L93" i="23"/>
  <c r="M93" i="23" s="1"/>
  <c r="L101" i="23"/>
  <c r="M101" i="23" s="1"/>
  <c r="L109" i="23"/>
  <c r="M109" i="23" s="1"/>
  <c r="L117" i="23"/>
  <c r="M117" i="23" s="1"/>
  <c r="L53" i="23"/>
  <c r="M53" i="23" s="1"/>
  <c r="L78" i="23"/>
  <c r="M78" i="23" s="1"/>
  <c r="L55" i="23"/>
  <c r="M55" i="23" s="1"/>
  <c r="L63" i="23"/>
  <c r="M63" i="23" s="1"/>
  <c r="L71" i="23"/>
  <c r="M71" i="23" s="1"/>
  <c r="L79" i="23"/>
  <c r="M79" i="23" s="1"/>
  <c r="L56" i="23"/>
  <c r="M56" i="23" s="1"/>
  <c r="L64" i="23"/>
  <c r="M64" i="23" s="1"/>
  <c r="L72" i="23"/>
  <c r="M72" i="23" s="1"/>
  <c r="L80" i="23"/>
  <c r="M80" i="23" s="1"/>
  <c r="L50" i="23"/>
  <c r="M50" i="23" s="1"/>
  <c r="L58" i="23"/>
  <c r="M58" i="23" s="1"/>
  <c r="L66" i="23"/>
  <c r="M66" i="23" s="1"/>
  <c r="L74" i="23"/>
  <c r="M74" i="23" s="1"/>
  <c r="L82" i="23"/>
  <c r="M82" i="23" s="1"/>
  <c r="L46" i="23"/>
  <c r="M46" i="23" s="1"/>
  <c r="L38" i="23"/>
  <c r="M38" i="23" s="1"/>
  <c r="L43" i="23"/>
  <c r="M43" i="23" s="1"/>
  <c r="L35" i="23"/>
  <c r="M35" i="23" s="1"/>
  <c r="L42" i="23"/>
  <c r="M42" i="23" s="1"/>
  <c r="L41" i="23"/>
  <c r="M41" i="23" s="1"/>
  <c r="L40" i="23"/>
  <c r="M40" i="23" s="1"/>
  <c r="W554" i="23"/>
  <c r="U417" i="23"/>
  <c r="U451" i="23"/>
  <c r="U459" i="23"/>
  <c r="U545" i="23"/>
  <c r="U564" i="23"/>
  <c r="W567" i="23"/>
  <c r="W549" i="23"/>
  <c r="U556" i="23"/>
  <c r="U567" i="23"/>
  <c r="U565" i="23"/>
  <c r="U551" i="23"/>
  <c r="W137" i="23"/>
  <c r="W187" i="23"/>
  <c r="U252" i="23"/>
  <c r="U286" i="23"/>
  <c r="W289" i="23"/>
  <c r="U304" i="23"/>
  <c r="U362" i="23"/>
  <c r="W367" i="23"/>
  <c r="U508" i="23"/>
  <c r="U513" i="23"/>
  <c r="W569" i="23"/>
  <c r="U555" i="23"/>
  <c r="W551" i="23"/>
  <c r="W556" i="23"/>
  <c r="U352" i="23"/>
  <c r="W358" i="23"/>
  <c r="W376" i="23"/>
  <c r="U389" i="23"/>
  <c r="W402" i="23"/>
  <c r="W572" i="23"/>
  <c r="W534" i="23"/>
  <c r="W562" i="23"/>
  <c r="W401" i="23"/>
  <c r="W511" i="23"/>
  <c r="W516" i="23"/>
  <c r="U524" i="23"/>
  <c r="W527" i="23"/>
  <c r="U529" i="23"/>
  <c r="W423" i="23"/>
  <c r="W431" i="23"/>
  <c r="W441" i="23"/>
  <c r="W449" i="23"/>
  <c r="W457" i="23"/>
  <c r="W465" i="23"/>
  <c r="W483" i="23"/>
  <c r="W491" i="23"/>
  <c r="U506" i="23"/>
  <c r="W571" i="23"/>
  <c r="U522" i="23"/>
  <c r="U540" i="23"/>
  <c r="U548" i="23"/>
  <c r="U543" i="23"/>
  <c r="U408" i="23"/>
  <c r="W456" i="23"/>
  <c r="W464" i="23"/>
  <c r="W547" i="23"/>
  <c r="U549" i="23"/>
  <c r="W489" i="23"/>
  <c r="U502" i="23"/>
  <c r="W507" i="23"/>
  <c r="W520" i="23"/>
  <c r="W555" i="23"/>
  <c r="U570" i="23"/>
  <c r="U366" i="23"/>
  <c r="W393" i="23"/>
  <c r="U400" i="23"/>
  <c r="W442" i="23"/>
  <c r="W450" i="23"/>
  <c r="W492" i="23"/>
  <c r="W500" i="23"/>
  <c r="W536" i="23"/>
  <c r="W543" i="23"/>
  <c r="W304" i="23"/>
  <c r="U309" i="23"/>
  <c r="W312" i="23"/>
  <c r="U317" i="23"/>
  <c r="U476" i="23"/>
  <c r="W479" i="23"/>
  <c r="W487" i="23"/>
  <c r="U492" i="23"/>
  <c r="W531" i="23"/>
  <c r="W558" i="23"/>
  <c r="W566" i="23"/>
  <c r="U541" i="23"/>
  <c r="W542" i="23"/>
  <c r="U554" i="23"/>
  <c r="U334" i="23"/>
  <c r="W478" i="23"/>
  <c r="W512" i="23"/>
  <c r="U527" i="23"/>
  <c r="W545" i="23"/>
  <c r="U562" i="23"/>
  <c r="W568" i="23"/>
  <c r="U561" i="23"/>
  <c r="W523" i="23"/>
  <c r="W552" i="23"/>
  <c r="U559" i="23"/>
  <c r="U532" i="23"/>
  <c r="W544" i="23"/>
  <c r="W530" i="23"/>
  <c r="W498" i="23"/>
  <c r="U505" i="23"/>
  <c r="W529" i="23"/>
  <c r="W541" i="23"/>
  <c r="U552" i="23"/>
  <c r="W557" i="23"/>
  <c r="W565" i="23"/>
  <c r="W528" i="23"/>
  <c r="U474" i="23"/>
  <c r="U482" i="23"/>
  <c r="W485" i="23"/>
  <c r="U490" i="23"/>
  <c r="W493" i="23"/>
  <c r="U511" i="23"/>
  <c r="U550" i="23"/>
  <c r="W553" i="23"/>
  <c r="U557" i="23"/>
  <c r="W563" i="23"/>
  <c r="U572" i="23"/>
  <c r="W480" i="23"/>
  <c r="U542" i="23"/>
  <c r="W514" i="23"/>
  <c r="U547" i="23"/>
  <c r="U560" i="23"/>
  <c r="U569" i="23"/>
  <c r="W496" i="23"/>
  <c r="W533" i="23"/>
  <c r="U568" i="23"/>
  <c r="U483" i="23"/>
  <c r="U491" i="23"/>
  <c r="U369" i="23"/>
  <c r="U385" i="23"/>
  <c r="W388" i="23"/>
  <c r="U393" i="23"/>
  <c r="U432" i="23"/>
  <c r="U514" i="23"/>
  <c r="W548" i="23"/>
  <c r="U558" i="23"/>
  <c r="W561" i="23"/>
  <c r="W570" i="23"/>
  <c r="U530" i="23"/>
  <c r="U544" i="23"/>
  <c r="U523" i="23"/>
  <c r="U460" i="23"/>
  <c r="U499" i="23"/>
  <c r="U571" i="23"/>
  <c r="W226" i="23"/>
  <c r="W242" i="23"/>
  <c r="W276" i="23"/>
  <c r="W284" i="23"/>
  <c r="W302" i="23"/>
  <c r="W326" i="23"/>
  <c r="W417" i="23"/>
  <c r="U437" i="23"/>
  <c r="U445" i="23"/>
  <c r="W451" i="23"/>
  <c r="U507" i="23"/>
  <c r="U512" i="23"/>
  <c r="W515" i="23"/>
  <c r="U517" i="23"/>
  <c r="U537" i="23"/>
  <c r="W546" i="23"/>
  <c r="W550" i="23"/>
  <c r="W559" i="23"/>
  <c r="U563" i="23"/>
  <c r="U477" i="23"/>
  <c r="U521" i="23"/>
  <c r="U528" i="23"/>
  <c r="U553" i="23"/>
  <c r="U566" i="23"/>
  <c r="U410" i="23"/>
  <c r="W447" i="23"/>
  <c r="W560" i="23"/>
  <c r="U242" i="23"/>
  <c r="W287" i="23"/>
  <c r="U467" i="23"/>
  <c r="W472" i="23"/>
  <c r="W508" i="23"/>
  <c r="W513" i="23"/>
  <c r="W518" i="23"/>
  <c r="U535" i="23"/>
  <c r="W540" i="23"/>
  <c r="U546" i="23"/>
  <c r="W564" i="23"/>
  <c r="W439" i="23"/>
  <c r="W455" i="23"/>
  <c r="W463" i="23"/>
  <c r="W470" i="23"/>
  <c r="W488" i="23"/>
  <c r="W510" i="23"/>
  <c r="U519" i="23"/>
  <c r="W526" i="23"/>
  <c r="W535" i="23"/>
  <c r="W335" i="23"/>
  <c r="W351" i="23"/>
  <c r="W445" i="23"/>
  <c r="U475" i="23"/>
  <c r="W481" i="23"/>
  <c r="W486" i="23"/>
  <c r="U488" i="23"/>
  <c r="U501" i="23"/>
  <c r="U510" i="23"/>
  <c r="W517" i="23"/>
  <c r="W524" i="23"/>
  <c r="U526" i="23"/>
  <c r="U406" i="23"/>
  <c r="W440" i="23"/>
  <c r="U473" i="23"/>
  <c r="U494" i="23"/>
  <c r="U461" i="23"/>
  <c r="U481" i="23"/>
  <c r="W506" i="23"/>
  <c r="W522" i="23"/>
  <c r="U533" i="23"/>
  <c r="W443" i="23"/>
  <c r="W446" i="23"/>
  <c r="W462" i="23"/>
  <c r="U471" i="23"/>
  <c r="U489" i="23"/>
  <c r="U515" i="23"/>
  <c r="U520" i="23"/>
  <c r="U531" i="23"/>
  <c r="W305" i="23"/>
  <c r="U435" i="23"/>
  <c r="U479" i="23"/>
  <c r="U484" i="23"/>
  <c r="U497" i="23"/>
  <c r="W505" i="23"/>
  <c r="W509" i="23"/>
  <c r="U518" i="23"/>
  <c r="W521" i="23"/>
  <c r="W525" i="23"/>
  <c r="W532" i="23"/>
  <c r="U536" i="23"/>
  <c r="U287" i="23"/>
  <c r="W371" i="23"/>
  <c r="U376" i="23"/>
  <c r="W387" i="23"/>
  <c r="W410" i="23"/>
  <c r="W418" i="23"/>
  <c r="W426" i="23"/>
  <c r="W436" i="23"/>
  <c r="W444" i="23"/>
  <c r="W460" i="23"/>
  <c r="W482" i="23"/>
  <c r="U487" i="23"/>
  <c r="U495" i="23"/>
  <c r="U500" i="23"/>
  <c r="U509" i="23"/>
  <c r="U516" i="23"/>
  <c r="W519" i="23"/>
  <c r="U525" i="23"/>
  <c r="U534" i="23"/>
  <c r="W537" i="23"/>
  <c r="W381" i="23"/>
  <c r="W389" i="23"/>
  <c r="W407" i="23"/>
  <c r="W412" i="23"/>
  <c r="U414" i="23"/>
  <c r="W420" i="23"/>
  <c r="W428" i="23"/>
  <c r="W452" i="23"/>
  <c r="U457" i="23"/>
  <c r="W502" i="23"/>
  <c r="U407" i="23"/>
  <c r="U412" i="23"/>
  <c r="W476" i="23"/>
  <c r="U478" i="23"/>
  <c r="U493" i="23"/>
  <c r="U178" i="23"/>
  <c r="W191" i="23"/>
  <c r="U319" i="23"/>
  <c r="U327" i="23"/>
  <c r="W340" i="23"/>
  <c r="W356" i="23"/>
  <c r="W374" i="23"/>
  <c r="W400" i="23"/>
  <c r="U402" i="23"/>
  <c r="W413" i="23"/>
  <c r="U418" i="23"/>
  <c r="U440" i="23"/>
  <c r="U443" i="23"/>
  <c r="W448" i="23"/>
  <c r="W453" i="23"/>
  <c r="U465" i="23"/>
  <c r="U480" i="23"/>
  <c r="W494" i="23"/>
  <c r="U498" i="23"/>
  <c r="U374" i="23"/>
  <c r="U382" i="23"/>
  <c r="W411" i="23"/>
  <c r="W419" i="23"/>
  <c r="W427" i="23"/>
  <c r="U438" i="23"/>
  <c r="U441" i="23"/>
  <c r="U453" i="23"/>
  <c r="W459" i="23"/>
  <c r="W461" i="23"/>
  <c r="U470" i="23"/>
  <c r="W474" i="23"/>
  <c r="U485" i="23"/>
  <c r="U496" i="23"/>
  <c r="U377" i="23"/>
  <c r="U436" i="23"/>
  <c r="W454" i="23"/>
  <c r="U472" i="23"/>
  <c r="W495" i="23"/>
  <c r="W497" i="23"/>
  <c r="W499" i="23"/>
  <c r="W501" i="23"/>
  <c r="W404" i="23"/>
  <c r="W435" i="23"/>
  <c r="W437" i="23"/>
  <c r="W471" i="23"/>
  <c r="W473" i="23"/>
  <c r="W475" i="23"/>
  <c r="W477" i="23"/>
  <c r="W484" i="23"/>
  <c r="U486" i="23"/>
  <c r="W490" i="23"/>
  <c r="U365" i="23"/>
  <c r="U375" i="23"/>
  <c r="W430" i="23"/>
  <c r="U458" i="23"/>
  <c r="U368" i="23"/>
  <c r="U447" i="23"/>
  <c r="U345" i="23"/>
  <c r="U403" i="23"/>
  <c r="U257" i="23"/>
  <c r="W333" i="23"/>
  <c r="U384" i="23"/>
  <c r="U392" i="23"/>
  <c r="U397" i="23"/>
  <c r="U416" i="23"/>
  <c r="U428" i="23"/>
  <c r="U439" i="23"/>
  <c r="U448" i="23"/>
  <c r="U450" i="23"/>
  <c r="U452" i="23"/>
  <c r="U463" i="23"/>
  <c r="W466" i="23"/>
  <c r="U373" i="23"/>
  <c r="U420" i="23"/>
  <c r="U381" i="23"/>
  <c r="U411" i="23"/>
  <c r="U404" i="23"/>
  <c r="U426" i="23"/>
  <c r="U431" i="23"/>
  <c r="U340" i="23"/>
  <c r="W318" i="23"/>
  <c r="U333" i="23"/>
  <c r="W347" i="23"/>
  <c r="U354" i="23"/>
  <c r="U390" i="23"/>
  <c r="U424" i="23"/>
  <c r="W438" i="23"/>
  <c r="U442" i="23"/>
  <c r="U446" i="23"/>
  <c r="U466" i="23"/>
  <c r="U401" i="23"/>
  <c r="U430" i="23"/>
  <c r="U456" i="23"/>
  <c r="U249" i="23"/>
  <c r="U413" i="23"/>
  <c r="U423" i="23"/>
  <c r="U454" i="23"/>
  <c r="U88" i="23"/>
  <c r="U122" i="23"/>
  <c r="W125" i="23"/>
  <c r="W133" i="23"/>
  <c r="W167" i="23"/>
  <c r="W227" i="23"/>
  <c r="W235" i="23"/>
  <c r="W261" i="23"/>
  <c r="W295" i="23"/>
  <c r="W324" i="23"/>
  <c r="U336" i="23"/>
  <c r="W342" i="23"/>
  <c r="W365" i="23"/>
  <c r="W408" i="23"/>
  <c r="U419" i="23"/>
  <c r="W422" i="23"/>
  <c r="U427" i="23"/>
  <c r="U444" i="23"/>
  <c r="U449" i="23"/>
  <c r="U455" i="23"/>
  <c r="W458" i="23"/>
  <c r="U462" i="23"/>
  <c r="U464" i="23"/>
  <c r="W467" i="23"/>
  <c r="U197" i="23"/>
  <c r="U330" i="23"/>
  <c r="W403" i="23"/>
  <c r="U263" i="23"/>
  <c r="W313" i="23"/>
  <c r="W331" i="23"/>
  <c r="W341" i="23"/>
  <c r="W346" i="23"/>
  <c r="W359" i="23"/>
  <c r="W375" i="23"/>
  <c r="U387" i="23"/>
  <c r="U394" i="23"/>
  <c r="W405" i="23"/>
  <c r="U409" i="23"/>
  <c r="U415" i="23"/>
  <c r="U421" i="23"/>
  <c r="W424" i="23"/>
  <c r="U346" i="23"/>
  <c r="W373" i="23"/>
  <c r="W416" i="23"/>
  <c r="U217" i="23"/>
  <c r="W319" i="23"/>
  <c r="U349" i="23"/>
  <c r="W357" i="23"/>
  <c r="U359" i="23"/>
  <c r="W378" i="23"/>
  <c r="W383" i="23"/>
  <c r="U405" i="23"/>
  <c r="U422" i="23"/>
  <c r="W270" i="23"/>
  <c r="U306" i="23"/>
  <c r="U314" i="23"/>
  <c r="W317" i="23"/>
  <c r="W325" i="23"/>
  <c r="W350" i="23"/>
  <c r="W355" i="23"/>
  <c r="U357" i="23"/>
  <c r="U371" i="23"/>
  <c r="U383" i="23"/>
  <c r="W391" i="23"/>
  <c r="W414" i="23"/>
  <c r="W425" i="23"/>
  <c r="W429" i="23"/>
  <c r="W406" i="23"/>
  <c r="U218" i="23"/>
  <c r="U270" i="23"/>
  <c r="U278" i="23"/>
  <c r="U342" i="23"/>
  <c r="U350" i="23"/>
  <c r="U379" i="23"/>
  <c r="W394" i="23"/>
  <c r="U396" i="23"/>
  <c r="W409" i="23"/>
  <c r="W415" i="23"/>
  <c r="W421" i="23"/>
  <c r="U425" i="23"/>
  <c r="U429" i="23"/>
  <c r="W432" i="23"/>
  <c r="W158" i="23"/>
  <c r="W182" i="23"/>
  <c r="W262" i="23"/>
  <c r="U277" i="23"/>
  <c r="W283" i="23"/>
  <c r="W298" i="23"/>
  <c r="W316" i="23"/>
  <c r="W348" i="23"/>
  <c r="U370" i="23"/>
  <c r="W382" i="23"/>
  <c r="W384" i="23"/>
  <c r="W386" i="23"/>
  <c r="U388" i="23"/>
  <c r="W395" i="23"/>
  <c r="W377" i="23"/>
  <c r="U182" i="23"/>
  <c r="U247" i="23"/>
  <c r="U283" i="23"/>
  <c r="W296" i="23"/>
  <c r="U298" i="23"/>
  <c r="U301" i="23"/>
  <c r="U311" i="23"/>
  <c r="U316" i="23"/>
  <c r="W380" i="23"/>
  <c r="U386" i="23"/>
  <c r="U395" i="23"/>
  <c r="W286" i="23"/>
  <c r="U338" i="23"/>
  <c r="W353" i="23"/>
  <c r="U355" i="23"/>
  <c r="U380" i="23"/>
  <c r="W212" i="23"/>
  <c r="W336" i="23"/>
  <c r="U341" i="23"/>
  <c r="U358" i="23"/>
  <c r="W369" i="23"/>
  <c r="U391" i="23"/>
  <c r="W396" i="23"/>
  <c r="U193" i="23"/>
  <c r="W330" i="23"/>
  <c r="W332" i="23"/>
  <c r="W334" i="23"/>
  <c r="U367" i="23"/>
  <c r="W372" i="23"/>
  <c r="U378" i="23"/>
  <c r="W390" i="23"/>
  <c r="W392" i="23"/>
  <c r="W66" i="23"/>
  <c r="W92" i="23"/>
  <c r="W168" i="23"/>
  <c r="U191" i="23"/>
  <c r="W225" i="23"/>
  <c r="W266" i="23"/>
  <c r="W269" i="23"/>
  <c r="W320" i="23"/>
  <c r="U344" i="23"/>
  <c r="U356" i="23"/>
  <c r="W366" i="23"/>
  <c r="W368" i="23"/>
  <c r="W370" i="23"/>
  <c r="U372" i="23"/>
  <c r="W379" i="23"/>
  <c r="W385" i="23"/>
  <c r="W397" i="23"/>
  <c r="U300" i="23"/>
  <c r="U310" i="23"/>
  <c r="U320" i="23"/>
  <c r="U353" i="23"/>
  <c r="U198" i="23"/>
  <c r="W209" i="23"/>
  <c r="W222" i="23"/>
  <c r="U226" i="23"/>
  <c r="W265" i="23"/>
  <c r="U280" i="23"/>
  <c r="U288" i="23"/>
  <c r="W291" i="23"/>
  <c r="U295" i="23"/>
  <c r="U303" i="23"/>
  <c r="W306" i="23"/>
  <c r="W311" i="23"/>
  <c r="U313" i="23"/>
  <c r="U318" i="23"/>
  <c r="W321" i="23"/>
  <c r="U332" i="23"/>
  <c r="W339" i="23"/>
  <c r="W343" i="23"/>
  <c r="W345" i="23"/>
  <c r="U347" i="23"/>
  <c r="U351" i="23"/>
  <c r="W354" i="23"/>
  <c r="W360" i="23"/>
  <c r="U245" i="23"/>
  <c r="W337" i="23"/>
  <c r="U339" i="23"/>
  <c r="U343" i="23"/>
  <c r="W163" i="23"/>
  <c r="U276" i="23"/>
  <c r="U296" i="23"/>
  <c r="W299" i="23"/>
  <c r="U337" i="23"/>
  <c r="W352" i="23"/>
  <c r="W361" i="23"/>
  <c r="U289" i="23"/>
  <c r="U331" i="23"/>
  <c r="U335" i="23"/>
  <c r="W338" i="23"/>
  <c r="U348" i="23"/>
  <c r="U361" i="23"/>
  <c r="W192" i="23"/>
  <c r="U228" i="23"/>
  <c r="U233" i="23"/>
  <c r="W272" i="23"/>
  <c r="W285" i="23"/>
  <c r="W297" i="23"/>
  <c r="W300" i="23"/>
  <c r="W307" i="23"/>
  <c r="W310" i="23"/>
  <c r="U312" i="23"/>
  <c r="W315" i="23"/>
  <c r="U322" i="23"/>
  <c r="W344" i="23"/>
  <c r="W349" i="23"/>
  <c r="W362" i="23"/>
  <c r="W193" i="23"/>
  <c r="U231" i="23"/>
  <c r="U241" i="23"/>
  <c r="W244" i="23"/>
  <c r="U268" i="23"/>
  <c r="W271" i="23"/>
  <c r="W288" i="23"/>
  <c r="U307" i="23"/>
  <c r="W314" i="23"/>
  <c r="U325" i="23"/>
  <c r="U305" i="23"/>
  <c r="W308" i="23"/>
  <c r="U360" i="23"/>
  <c r="W176" i="23"/>
  <c r="W229" i="23"/>
  <c r="U271" i="23"/>
  <c r="U299" i="23"/>
  <c r="W323" i="23"/>
  <c r="U229" i="23"/>
  <c r="U234" i="23"/>
  <c r="W264" i="23"/>
  <c r="U269" i="23"/>
  <c r="U297" i="23"/>
  <c r="U308" i="23"/>
  <c r="U323" i="23"/>
  <c r="U237" i="23"/>
  <c r="U250" i="23"/>
  <c r="U264" i="23"/>
  <c r="U279" i="23"/>
  <c r="U284" i="23"/>
  <c r="U302" i="23"/>
  <c r="W309" i="23"/>
  <c r="U321" i="23"/>
  <c r="U215" i="23"/>
  <c r="W233" i="23"/>
  <c r="U262" i="23"/>
  <c r="U272" i="23"/>
  <c r="W280" i="23"/>
  <c r="W303" i="23"/>
  <c r="W322" i="23"/>
  <c r="U326" i="23"/>
  <c r="U194" i="23"/>
  <c r="U202" i="23"/>
  <c r="U210" i="23"/>
  <c r="U225" i="23"/>
  <c r="W228" i="23"/>
  <c r="U253" i="23"/>
  <c r="U260" i="23"/>
  <c r="W263" i="23"/>
  <c r="W268" i="23"/>
  <c r="W278" i="23"/>
  <c r="U292" i="23"/>
  <c r="W301" i="23"/>
  <c r="U315" i="23"/>
  <c r="U324" i="23"/>
  <c r="W327" i="23"/>
  <c r="W130" i="23"/>
  <c r="W138" i="23"/>
  <c r="W190" i="23"/>
  <c r="W249" i="23"/>
  <c r="W251" i="23"/>
  <c r="W275" i="23"/>
  <c r="W281" i="23"/>
  <c r="U138" i="23"/>
  <c r="W198" i="23"/>
  <c r="W206" i="23"/>
  <c r="U213" i="23"/>
  <c r="W216" i="23"/>
  <c r="U232" i="23"/>
  <c r="U244" i="23"/>
  <c r="W254" i="23"/>
  <c r="W267" i="23"/>
  <c r="W273" i="23"/>
  <c r="U275" i="23"/>
  <c r="U281" i="23"/>
  <c r="W290" i="23"/>
  <c r="U162" i="23"/>
  <c r="U170" i="23"/>
  <c r="U254" i="23"/>
  <c r="U267" i="23"/>
  <c r="U273" i="23"/>
  <c r="W282" i="23"/>
  <c r="U201" i="23"/>
  <c r="U209" i="23"/>
  <c r="W238" i="23"/>
  <c r="W245" i="23"/>
  <c r="U261" i="23"/>
  <c r="U265" i="23"/>
  <c r="W274" i="23"/>
  <c r="U291" i="23"/>
  <c r="U38" i="23"/>
  <c r="W51" i="23"/>
  <c r="U69" i="23"/>
  <c r="W75" i="23"/>
  <c r="W85" i="23"/>
  <c r="U114" i="23"/>
  <c r="U148" i="23"/>
  <c r="U158" i="23"/>
  <c r="U174" i="23"/>
  <c r="W194" i="23"/>
  <c r="U199" i="23"/>
  <c r="U207" i="23"/>
  <c r="U222" i="23"/>
  <c r="W234" i="23"/>
  <c r="U236" i="23"/>
  <c r="U238" i="23"/>
  <c r="W243" i="23"/>
  <c r="U248" i="23"/>
  <c r="U255" i="23"/>
  <c r="W260" i="23"/>
  <c r="W277" i="23"/>
  <c r="W279" i="23"/>
  <c r="U285" i="23"/>
  <c r="W292" i="23"/>
  <c r="U128" i="23"/>
  <c r="U131" i="23"/>
  <c r="U144" i="23"/>
  <c r="W152" i="23"/>
  <c r="U156" i="23"/>
  <c r="W162" i="23"/>
  <c r="U172" i="23"/>
  <c r="W178" i="23"/>
  <c r="W180" i="23"/>
  <c r="W183" i="23"/>
  <c r="U190" i="23"/>
  <c r="W207" i="23"/>
  <c r="W214" i="23"/>
  <c r="W232" i="23"/>
  <c r="W239" i="23"/>
  <c r="W248" i="23"/>
  <c r="W255" i="23"/>
  <c r="U147" i="23"/>
  <c r="W173" i="23"/>
  <c r="W186" i="23"/>
  <c r="W200" i="23"/>
  <c r="U214" i="23"/>
  <c r="U227" i="23"/>
  <c r="W230" i="23"/>
  <c r="U239" i="23"/>
  <c r="U243" i="23"/>
  <c r="W246" i="23"/>
  <c r="U266" i="23"/>
  <c r="U274" i="23"/>
  <c r="U282" i="23"/>
  <c r="U290" i="23"/>
  <c r="W150" i="23"/>
  <c r="U186" i="23"/>
  <c r="U230" i="23"/>
  <c r="W237" i="23"/>
  <c r="U246" i="23"/>
  <c r="W253" i="23"/>
  <c r="U85" i="23"/>
  <c r="U109" i="23"/>
  <c r="U117" i="23"/>
  <c r="U160" i="23"/>
  <c r="U176" i="23"/>
  <c r="W231" i="23"/>
  <c r="W240" i="23"/>
  <c r="W247" i="23"/>
  <c r="W256" i="23"/>
  <c r="W208" i="23"/>
  <c r="W210" i="23"/>
  <c r="U235" i="23"/>
  <c r="U240" i="23"/>
  <c r="U251" i="23"/>
  <c r="U256" i="23"/>
  <c r="U166" i="23"/>
  <c r="U206" i="23"/>
  <c r="W236" i="23"/>
  <c r="W241" i="23"/>
  <c r="W250" i="23"/>
  <c r="W252" i="23"/>
  <c r="W257" i="23"/>
  <c r="U86" i="23"/>
  <c r="U52" i="23"/>
  <c r="W89" i="23"/>
  <c r="U135" i="23"/>
  <c r="U203" i="23"/>
  <c r="U219" i="23"/>
  <c r="W87" i="23"/>
  <c r="W103" i="23"/>
  <c r="W116" i="23"/>
  <c r="U130" i="23"/>
  <c r="W136" i="23"/>
  <c r="W146" i="23"/>
  <c r="W166" i="23"/>
  <c r="U168" i="23"/>
  <c r="W171" i="23"/>
  <c r="U173" i="23"/>
  <c r="U183" i="23"/>
  <c r="U192" i="23"/>
  <c r="W197" i="23"/>
  <c r="W204" i="23"/>
  <c r="U208" i="23"/>
  <c r="W213" i="23"/>
  <c r="W220" i="23"/>
  <c r="W90" i="23"/>
  <c r="U136" i="23"/>
  <c r="W159" i="23"/>
  <c r="W174" i="23"/>
  <c r="U181" i="23"/>
  <c r="W184" i="23"/>
  <c r="W195" i="23"/>
  <c r="U204" i="23"/>
  <c r="W211" i="23"/>
  <c r="U220" i="23"/>
  <c r="U106" i="23"/>
  <c r="U123" i="23"/>
  <c r="U159" i="23"/>
  <c r="W164" i="23"/>
  <c r="U184" i="23"/>
  <c r="U195" i="23"/>
  <c r="W202" i="23"/>
  <c r="U211" i="23"/>
  <c r="W218" i="23"/>
  <c r="W65" i="23"/>
  <c r="W91" i="23"/>
  <c r="U96" i="23"/>
  <c r="W99" i="23"/>
  <c r="W107" i="23"/>
  <c r="W112" i="23"/>
  <c r="W132" i="23"/>
  <c r="U152" i="23"/>
  <c r="W160" i="23"/>
  <c r="W170" i="23"/>
  <c r="W175" i="23"/>
  <c r="W196" i="23"/>
  <c r="U200" i="23"/>
  <c r="W205" i="23"/>
  <c r="U216" i="23"/>
  <c r="W221" i="23"/>
  <c r="W76" i="23"/>
  <c r="W86" i="23"/>
  <c r="W122" i="23"/>
  <c r="W127" i="23"/>
  <c r="W135" i="23"/>
  <c r="W155" i="23"/>
  <c r="U157" i="23"/>
  <c r="U167" i="23"/>
  <c r="U196" i="23"/>
  <c r="W199" i="23"/>
  <c r="W201" i="23"/>
  <c r="W203" i="23"/>
  <c r="U205" i="23"/>
  <c r="U212" i="23"/>
  <c r="W215" i="23"/>
  <c r="W217" i="23"/>
  <c r="W219" i="23"/>
  <c r="U221" i="23"/>
  <c r="W79" i="23"/>
  <c r="W102" i="23"/>
  <c r="U107" i="23"/>
  <c r="W115" i="23"/>
  <c r="W124" i="23"/>
  <c r="W141" i="23"/>
  <c r="W148" i="23"/>
  <c r="W151" i="23"/>
  <c r="U155" i="23"/>
  <c r="W165" i="23"/>
  <c r="W169" i="23"/>
  <c r="U171" i="23"/>
  <c r="W181" i="23"/>
  <c r="W185" i="23"/>
  <c r="U187" i="23"/>
  <c r="U140" i="23"/>
  <c r="U164" i="23"/>
  <c r="W53" i="23"/>
  <c r="U79" i="23"/>
  <c r="W100" i="23"/>
  <c r="W110" i="23"/>
  <c r="W120" i="23"/>
  <c r="U124" i="23"/>
  <c r="W139" i="23"/>
  <c r="U141" i="23"/>
  <c r="U146" i="23"/>
  <c r="W156" i="23"/>
  <c r="U165" i="23"/>
  <c r="W172" i="23"/>
  <c r="W179" i="23"/>
  <c r="U180" i="23"/>
  <c r="U101" i="23"/>
  <c r="U145" i="23"/>
  <c r="U61" i="23"/>
  <c r="U95" i="23"/>
  <c r="U120" i="23"/>
  <c r="W123" i="23"/>
  <c r="U139" i="23"/>
  <c r="W157" i="23"/>
  <c r="W161" i="23"/>
  <c r="U163" i="23"/>
  <c r="W177" i="23"/>
  <c r="U179" i="23"/>
  <c r="U70" i="23"/>
  <c r="W54" i="23"/>
  <c r="W70" i="23"/>
  <c r="U90" i="23"/>
  <c r="U93" i="23"/>
  <c r="W96" i="23"/>
  <c r="W109" i="23"/>
  <c r="W121" i="23"/>
  <c r="U132" i="23"/>
  <c r="W140" i="23"/>
  <c r="W145" i="23"/>
  <c r="U175" i="23"/>
  <c r="U91" i="23"/>
  <c r="W108" i="23"/>
  <c r="W113" i="23"/>
  <c r="W126" i="23"/>
  <c r="U143" i="23"/>
  <c r="U149" i="23"/>
  <c r="U66" i="23"/>
  <c r="U76" i="23"/>
  <c r="W94" i="23"/>
  <c r="U99" i="23"/>
  <c r="U103" i="23"/>
  <c r="W111" i="23"/>
  <c r="U113" i="23"/>
  <c r="W129" i="23"/>
  <c r="W131" i="23"/>
  <c r="U137" i="23"/>
  <c r="W144" i="23"/>
  <c r="W114" i="23"/>
  <c r="U161" i="23"/>
  <c r="U169" i="23"/>
  <c r="U177" i="23"/>
  <c r="U185" i="23"/>
  <c r="U82" i="23"/>
  <c r="U94" i="23"/>
  <c r="W97" i="23"/>
  <c r="U129" i="23"/>
  <c r="W62" i="23"/>
  <c r="U77" i="23"/>
  <c r="U127" i="23"/>
  <c r="U133" i="23"/>
  <c r="W142" i="23"/>
  <c r="W52" i="23"/>
  <c r="W60" i="23"/>
  <c r="W68" i="23"/>
  <c r="W78" i="23"/>
  <c r="U92" i="23"/>
  <c r="U121" i="23"/>
  <c r="W128" i="23"/>
  <c r="W147" i="23"/>
  <c r="W55" i="23"/>
  <c r="W63" i="23"/>
  <c r="W73" i="23"/>
  <c r="U78" i="23"/>
  <c r="W81" i="23"/>
  <c r="U98" i="23"/>
  <c r="U125" i="23"/>
  <c r="W134" i="23"/>
  <c r="W143" i="23"/>
  <c r="W149" i="23"/>
  <c r="U151" i="23"/>
  <c r="U54" i="23"/>
  <c r="W57" i="23"/>
  <c r="W64" i="23"/>
  <c r="W67" i="23"/>
  <c r="U74" i="23"/>
  <c r="W77" i="23"/>
  <c r="W93" i="23"/>
  <c r="W95" i="23"/>
  <c r="U97" i="23"/>
  <c r="W104" i="23"/>
  <c r="U115" i="23"/>
  <c r="W50" i="23"/>
  <c r="W98" i="23"/>
  <c r="U104" i="23"/>
  <c r="U108" i="23"/>
  <c r="U110" i="23"/>
  <c r="U126" i="23"/>
  <c r="U134" i="23"/>
  <c r="U142" i="23"/>
  <c r="U150" i="23"/>
  <c r="U89" i="23"/>
  <c r="U50" i="23"/>
  <c r="U62" i="23"/>
  <c r="U55" i="23"/>
  <c r="U60" i="23"/>
  <c r="U65" i="23"/>
  <c r="U100" i="23"/>
  <c r="U102" i="23"/>
  <c r="W105" i="23"/>
  <c r="U111" i="23"/>
  <c r="U58" i="23"/>
  <c r="W61" i="23"/>
  <c r="U87" i="23"/>
  <c r="W101" i="23"/>
  <c r="U105" i="23"/>
  <c r="U116" i="23"/>
  <c r="U51" i="23"/>
  <c r="U53" i="23"/>
  <c r="W71" i="23"/>
  <c r="U73" i="23"/>
  <c r="W88" i="23"/>
  <c r="W106" i="23"/>
  <c r="U112" i="23"/>
  <c r="W117" i="23"/>
  <c r="W69" i="23"/>
  <c r="U75" i="23"/>
  <c r="U36" i="23"/>
  <c r="W56" i="23"/>
  <c r="W74" i="23"/>
  <c r="W80" i="23"/>
  <c r="W59" i="23"/>
  <c r="U67" i="23"/>
  <c r="U71" i="23"/>
  <c r="U35" i="23"/>
  <c r="U59" i="23"/>
  <c r="W72" i="23"/>
  <c r="U57" i="23"/>
  <c r="U63" i="23"/>
  <c r="U81" i="23"/>
  <c r="W58" i="23"/>
  <c r="U68" i="23"/>
  <c r="W82" i="23"/>
  <c r="U56" i="23"/>
  <c r="U64" i="23"/>
  <c r="U72" i="23"/>
  <c r="U80" i="23"/>
  <c r="U44" i="23"/>
  <c r="U46" i="23"/>
  <c r="U39" i="23"/>
  <c r="U47" i="23"/>
  <c r="U43" i="23"/>
  <c r="U40" i="23"/>
  <c r="U42" i="23"/>
  <c r="U37" i="23"/>
  <c r="U45" i="23"/>
  <c r="U41" i="23"/>
  <c r="V15" i="23"/>
  <c r="M37" i="1"/>
  <c r="P8" i="23"/>
  <c r="E18" i="1"/>
  <c r="E19" i="1"/>
  <c r="E20" i="1"/>
  <c r="E21" i="1"/>
  <c r="E22" i="1"/>
  <c r="E23" i="1"/>
  <c r="E24" i="1"/>
  <c r="E25" i="1"/>
  <c r="E26" i="1"/>
  <c r="E27" i="1"/>
  <c r="E17" i="1"/>
  <c r="O548" i="23" l="1"/>
  <c r="O392" i="23"/>
  <c r="O481" i="23"/>
  <c r="O410" i="23"/>
  <c r="O400" i="23"/>
  <c r="O156" i="23"/>
  <c r="O317" i="23"/>
  <c r="O309" i="23"/>
  <c r="O394" i="23"/>
  <c r="O471" i="23"/>
  <c r="O516" i="23"/>
  <c r="O443" i="23"/>
  <c r="O540" i="23"/>
  <c r="O66" i="23"/>
  <c r="O283" i="23"/>
  <c r="O296" i="23"/>
  <c r="O491" i="23"/>
  <c r="O459" i="23"/>
  <c r="O565" i="23"/>
  <c r="O423" i="23"/>
  <c r="O536" i="23"/>
  <c r="O571" i="23"/>
  <c r="O323" i="23"/>
  <c r="O337" i="23"/>
  <c r="O358" i="23"/>
  <c r="O413" i="23"/>
  <c r="O508" i="23"/>
  <c r="O217" i="23"/>
  <c r="O390" i="23"/>
  <c r="O426" i="23"/>
  <c r="O560" i="23"/>
  <c r="O532" i="23"/>
  <c r="O562" i="23"/>
  <c r="O566" i="23"/>
  <c r="O552" i="23"/>
  <c r="O559" i="23"/>
  <c r="O557" i="23"/>
  <c r="O437" i="23"/>
  <c r="O549" i="23"/>
  <c r="O495" i="23"/>
  <c r="O505" i="23"/>
  <c r="O526" i="23"/>
  <c r="O564" i="23"/>
  <c r="O570" i="23"/>
  <c r="O543" i="23"/>
  <c r="O544" i="23"/>
  <c r="O556" i="23"/>
  <c r="O506" i="23"/>
  <c r="O554" i="23"/>
  <c r="O567" i="23"/>
  <c r="O546" i="23"/>
  <c r="O523" i="23"/>
  <c r="O563" i="23"/>
  <c r="O561" i="23"/>
  <c r="O541" i="23"/>
  <c r="O558" i="23"/>
  <c r="O568" i="23"/>
  <c r="O555" i="23"/>
  <c r="O553" i="23"/>
  <c r="O550" i="23"/>
  <c r="O551" i="23"/>
  <c r="O569" i="23"/>
  <c r="O572" i="23"/>
  <c r="O547" i="23"/>
  <c r="O545" i="23"/>
  <c r="O542" i="23"/>
  <c r="O473" i="23"/>
  <c r="O500" i="23"/>
  <c r="O514" i="23"/>
  <c r="O518" i="23"/>
  <c r="O528" i="23"/>
  <c r="O178" i="23"/>
  <c r="O250" i="23"/>
  <c r="O260" i="23"/>
  <c r="O278" i="23"/>
  <c r="O353" i="23"/>
  <c r="O389" i="23"/>
  <c r="O369" i="23"/>
  <c r="O431" i="23"/>
  <c r="O470" i="23"/>
  <c r="O520" i="23"/>
  <c r="O510" i="23"/>
  <c r="O524" i="23"/>
  <c r="O221" i="23"/>
  <c r="O245" i="23"/>
  <c r="O361" i="23"/>
  <c r="O371" i="23"/>
  <c r="O455" i="23"/>
  <c r="O485" i="23"/>
  <c r="O492" i="23"/>
  <c r="O511" i="23"/>
  <c r="O531" i="23"/>
  <c r="O512" i="23"/>
  <c r="O533" i="23"/>
  <c r="O488" i="23"/>
  <c r="O529" i="23"/>
  <c r="O527" i="23"/>
  <c r="O525" i="23"/>
  <c r="O530" i="23"/>
  <c r="O515" i="23"/>
  <c r="O537" i="23"/>
  <c r="O535" i="23"/>
  <c r="O521" i="23"/>
  <c r="O517" i="23"/>
  <c r="O522" i="23"/>
  <c r="O507" i="23"/>
  <c r="O513" i="23"/>
  <c r="O534" i="23"/>
  <c r="O509" i="23"/>
  <c r="O519" i="23"/>
  <c r="O501" i="23"/>
  <c r="O486" i="23"/>
  <c r="O397" i="23"/>
  <c r="O387" i="23"/>
  <c r="O465" i="23"/>
  <c r="O463" i="23"/>
  <c r="O478" i="23"/>
  <c r="O487" i="23"/>
  <c r="O395" i="23"/>
  <c r="O367" i="23"/>
  <c r="O404" i="23"/>
  <c r="O461" i="23"/>
  <c r="O452" i="23"/>
  <c r="O484" i="23"/>
  <c r="O493" i="23"/>
  <c r="O451" i="23"/>
  <c r="O479" i="23"/>
  <c r="O449" i="23"/>
  <c r="O411" i="23"/>
  <c r="O476" i="23"/>
  <c r="O386" i="23"/>
  <c r="O497" i="23"/>
  <c r="O483" i="23"/>
  <c r="O490" i="23"/>
  <c r="O480" i="23"/>
  <c r="O499" i="23"/>
  <c r="O502" i="23"/>
  <c r="O475" i="23"/>
  <c r="O489" i="23"/>
  <c r="O482" i="23"/>
  <c r="O472" i="23"/>
  <c r="O498" i="23"/>
  <c r="O494" i="23"/>
  <c r="O496" i="23"/>
  <c r="O474" i="23"/>
  <c r="O477" i="23"/>
  <c r="O168" i="23"/>
  <c r="O435" i="23"/>
  <c r="O467" i="23"/>
  <c r="O442" i="23"/>
  <c r="O440" i="23"/>
  <c r="O445" i="23"/>
  <c r="O457" i="23"/>
  <c r="O447" i="23"/>
  <c r="O444" i="23"/>
  <c r="O439" i="23"/>
  <c r="O453" i="23"/>
  <c r="O460" i="23"/>
  <c r="O441" i="23"/>
  <c r="O466" i="23"/>
  <c r="O464" i="23"/>
  <c r="O446" i="23"/>
  <c r="O436" i="23"/>
  <c r="O454" i="23"/>
  <c r="O458" i="23"/>
  <c r="O456" i="23"/>
  <c r="O462" i="23"/>
  <c r="O450" i="23"/>
  <c r="O448" i="23"/>
  <c r="O438" i="23"/>
  <c r="O408" i="23"/>
  <c r="O414" i="23"/>
  <c r="O412" i="23"/>
  <c r="O417" i="23"/>
  <c r="O406" i="23"/>
  <c r="O429" i="23"/>
  <c r="O419" i="23"/>
  <c r="O421" i="23"/>
  <c r="O415" i="23"/>
  <c r="O425" i="23"/>
  <c r="O432" i="23"/>
  <c r="O407" i="23"/>
  <c r="O405" i="23"/>
  <c r="O401" i="23"/>
  <c r="O418" i="23"/>
  <c r="O424" i="23"/>
  <c r="O430" i="23"/>
  <c r="O403" i="23"/>
  <c r="O428" i="23"/>
  <c r="O427" i="23"/>
  <c r="O416" i="23"/>
  <c r="O422" i="23"/>
  <c r="O409" i="23"/>
  <c r="O420" i="23"/>
  <c r="O402" i="23"/>
  <c r="O238" i="23"/>
  <c r="O282" i="23"/>
  <c r="O271" i="23"/>
  <c r="O261" i="23"/>
  <c r="O302" i="23"/>
  <c r="O338" i="23"/>
  <c r="O372" i="23"/>
  <c r="O385" i="23"/>
  <c r="O236" i="23"/>
  <c r="O280" i="23"/>
  <c r="O297" i="23"/>
  <c r="O374" i="23"/>
  <c r="O384" i="23"/>
  <c r="O377" i="23"/>
  <c r="O319" i="23"/>
  <c r="O379" i="23"/>
  <c r="O347" i="23"/>
  <c r="O366" i="23"/>
  <c r="O304" i="23"/>
  <c r="O381" i="23"/>
  <c r="O391" i="23"/>
  <c r="O368" i="23"/>
  <c r="O365" i="23"/>
  <c r="O378" i="23"/>
  <c r="O375" i="23"/>
  <c r="O360" i="23"/>
  <c r="O396" i="23"/>
  <c r="O370" i="23"/>
  <c r="O388" i="23"/>
  <c r="O383" i="23"/>
  <c r="O373" i="23"/>
  <c r="O331" i="23"/>
  <c r="O380" i="23"/>
  <c r="O393" i="23"/>
  <c r="O376" i="23"/>
  <c r="O382" i="23"/>
  <c r="O359" i="23"/>
  <c r="O314" i="23"/>
  <c r="O340" i="23"/>
  <c r="O333" i="23"/>
  <c r="O330" i="23"/>
  <c r="O351" i="23"/>
  <c r="O357" i="23"/>
  <c r="O355" i="23"/>
  <c r="O312" i="23"/>
  <c r="O343" i="23"/>
  <c r="O345" i="23"/>
  <c r="O335" i="23"/>
  <c r="O339" i="23"/>
  <c r="O362" i="23"/>
  <c r="O352" i="23"/>
  <c r="O350" i="23"/>
  <c r="O341" i="23"/>
  <c r="O332" i="23"/>
  <c r="O354" i="23"/>
  <c r="O344" i="23"/>
  <c r="O342" i="23"/>
  <c r="O356" i="23"/>
  <c r="O349" i="23"/>
  <c r="O346" i="23"/>
  <c r="O336" i="23"/>
  <c r="O334" i="23"/>
  <c r="O348" i="23"/>
  <c r="O300" i="23"/>
  <c r="O274" i="23"/>
  <c r="O286" i="23"/>
  <c r="O327" i="23"/>
  <c r="O325" i="23"/>
  <c r="O320" i="23"/>
  <c r="O287" i="23"/>
  <c r="O305" i="23"/>
  <c r="O306" i="23"/>
  <c r="O281" i="23"/>
  <c r="O303" i="23"/>
  <c r="O313" i="23"/>
  <c r="O295" i="23"/>
  <c r="O324" i="23"/>
  <c r="O322" i="23"/>
  <c r="O307" i="23"/>
  <c r="O311" i="23"/>
  <c r="O315" i="23"/>
  <c r="O326" i="23"/>
  <c r="O316" i="23"/>
  <c r="O321" i="23"/>
  <c r="O299" i="23"/>
  <c r="O301" i="23"/>
  <c r="O318" i="23"/>
  <c r="O308" i="23"/>
  <c r="O310" i="23"/>
  <c r="O298" i="23"/>
  <c r="O276" i="23"/>
  <c r="O268" i="23"/>
  <c r="O266" i="23"/>
  <c r="O232" i="23"/>
  <c r="O279" i="23"/>
  <c r="O255" i="23"/>
  <c r="O158" i="23"/>
  <c r="O74" i="23"/>
  <c r="O187" i="23"/>
  <c r="O159" i="23"/>
  <c r="O203" i="23"/>
  <c r="O291" i="23"/>
  <c r="O289" i="23"/>
  <c r="O270" i="23"/>
  <c r="O111" i="23"/>
  <c r="O181" i="23"/>
  <c r="O196" i="23"/>
  <c r="O237" i="23"/>
  <c r="O263" i="23"/>
  <c r="O262" i="23"/>
  <c r="O251" i="23"/>
  <c r="O275" i="23"/>
  <c r="O273" i="23"/>
  <c r="O285" i="23"/>
  <c r="O292" i="23"/>
  <c r="O267" i="23"/>
  <c r="O265" i="23"/>
  <c r="O277" i="23"/>
  <c r="O272" i="23"/>
  <c r="O284" i="23"/>
  <c r="O290" i="23"/>
  <c r="O288" i="23"/>
  <c r="O269" i="23"/>
  <c r="O264" i="23"/>
  <c r="O233" i="23"/>
  <c r="O256" i="23"/>
  <c r="O117" i="23"/>
  <c r="O138" i="23"/>
  <c r="O186" i="23"/>
  <c r="O161" i="23"/>
  <c r="O164" i="23"/>
  <c r="O219" i="23"/>
  <c r="O225" i="23"/>
  <c r="O230" i="23"/>
  <c r="O137" i="23"/>
  <c r="O194" i="23"/>
  <c r="O191" i="23"/>
  <c r="O228" i="23"/>
  <c r="O240" i="23"/>
  <c r="O248" i="23"/>
  <c r="O239" i="23"/>
  <c r="O253" i="23"/>
  <c r="O257" i="23"/>
  <c r="O231" i="23"/>
  <c r="O226" i="23"/>
  <c r="O243" i="23"/>
  <c r="O229" i="23"/>
  <c r="O170" i="23"/>
  <c r="O242" i="23"/>
  <c r="O220" i="23"/>
  <c r="O249" i="23"/>
  <c r="O254" i="23"/>
  <c r="O252" i="23"/>
  <c r="O235" i="23"/>
  <c r="O211" i="23"/>
  <c r="O247" i="23"/>
  <c r="O234" i="23"/>
  <c r="O216" i="23"/>
  <c r="O241" i="23"/>
  <c r="O246" i="23"/>
  <c r="O244" i="23"/>
  <c r="O227" i="23"/>
  <c r="O190" i="23"/>
  <c r="O202" i="23"/>
  <c r="O215" i="23"/>
  <c r="O207" i="23"/>
  <c r="O199" i="23"/>
  <c r="O213" i="23"/>
  <c r="O197" i="23"/>
  <c r="O195" i="23"/>
  <c r="O205" i="23"/>
  <c r="O214" i="23"/>
  <c r="O209" i="23"/>
  <c r="O208" i="23"/>
  <c r="O204" i="23"/>
  <c r="O206" i="23"/>
  <c r="O218" i="23"/>
  <c r="O201" i="23"/>
  <c r="O200" i="23"/>
  <c r="O212" i="23"/>
  <c r="O222" i="23"/>
  <c r="O198" i="23"/>
  <c r="O210" i="23"/>
  <c r="O193" i="23"/>
  <c r="O192" i="23"/>
  <c r="O89" i="23"/>
  <c r="O62" i="23"/>
  <c r="O152" i="23"/>
  <c r="O123" i="23"/>
  <c r="O176" i="23"/>
  <c r="O169" i="23"/>
  <c r="O172" i="23"/>
  <c r="O147" i="23"/>
  <c r="O145" i="23"/>
  <c r="O167" i="23"/>
  <c r="O182" i="23"/>
  <c r="O91" i="23"/>
  <c r="O174" i="23"/>
  <c r="O173" i="23"/>
  <c r="O171" i="23"/>
  <c r="O184" i="23"/>
  <c r="O166" i="23"/>
  <c r="O157" i="23"/>
  <c r="O160" i="23"/>
  <c r="O131" i="23"/>
  <c r="O71" i="23"/>
  <c r="O179" i="23"/>
  <c r="O163" i="23"/>
  <c r="O185" i="23"/>
  <c r="O165" i="23"/>
  <c r="O183" i="23"/>
  <c r="O93" i="23"/>
  <c r="O162" i="23"/>
  <c r="O130" i="23"/>
  <c r="O155" i="23"/>
  <c r="O177" i="23"/>
  <c r="O180" i="23"/>
  <c r="O175" i="23"/>
  <c r="O150" i="23"/>
  <c r="O144" i="23"/>
  <c r="O142" i="23"/>
  <c r="O86" i="23"/>
  <c r="O146" i="23"/>
  <c r="O82" i="23"/>
  <c r="O56" i="23"/>
  <c r="O109" i="23"/>
  <c r="O136" i="23"/>
  <c r="O134" i="23"/>
  <c r="O129" i="23"/>
  <c r="O52" i="23"/>
  <c r="O51" i="23"/>
  <c r="O148" i="23"/>
  <c r="O135" i="23"/>
  <c r="O99" i="23"/>
  <c r="O140" i="23"/>
  <c r="O101" i="23"/>
  <c r="O149" i="23"/>
  <c r="O151" i="23"/>
  <c r="O141" i="23"/>
  <c r="O124" i="23"/>
  <c r="O121" i="23"/>
  <c r="O128" i="23"/>
  <c r="O120" i="23"/>
  <c r="O132" i="23"/>
  <c r="O143" i="23"/>
  <c r="O133" i="23"/>
  <c r="O139" i="23"/>
  <c r="O126" i="23"/>
  <c r="O127" i="23"/>
  <c r="O125" i="23"/>
  <c r="O122" i="23"/>
  <c r="O53" i="23"/>
  <c r="O100" i="23"/>
  <c r="O90" i="23"/>
  <c r="O36" i="23"/>
  <c r="R36" i="23" s="1"/>
  <c r="O94" i="23"/>
  <c r="O115" i="23"/>
  <c r="O113" i="23"/>
  <c r="O107" i="23"/>
  <c r="O105" i="23"/>
  <c r="O110" i="23"/>
  <c r="O70" i="23"/>
  <c r="O103" i="23"/>
  <c r="O85" i="23"/>
  <c r="O114" i="23"/>
  <c r="O104" i="23"/>
  <c r="O95" i="23"/>
  <c r="O116" i="23"/>
  <c r="O106" i="23"/>
  <c r="O96" i="23"/>
  <c r="O92" i="23"/>
  <c r="O87" i="23"/>
  <c r="O97" i="23"/>
  <c r="O108" i="23"/>
  <c r="O98" i="23"/>
  <c r="O88" i="23"/>
  <c r="O112" i="23"/>
  <c r="O102" i="23"/>
  <c r="O72" i="23"/>
  <c r="O57" i="23"/>
  <c r="O38" i="23"/>
  <c r="R38" i="23" s="1"/>
  <c r="O67" i="23"/>
  <c r="O64" i="23"/>
  <c r="O68" i="23"/>
  <c r="O59" i="23"/>
  <c r="O79" i="23"/>
  <c r="O54" i="23"/>
  <c r="O61" i="23"/>
  <c r="O58" i="23"/>
  <c r="O63" i="23"/>
  <c r="O81" i="23"/>
  <c r="O60" i="23"/>
  <c r="O76" i="23"/>
  <c r="O50" i="23"/>
  <c r="O55" i="23"/>
  <c r="O73" i="23"/>
  <c r="O69" i="23"/>
  <c r="O77" i="23"/>
  <c r="O80" i="23"/>
  <c r="O78" i="23"/>
  <c r="O65" i="23"/>
  <c r="O75" i="23"/>
  <c r="O46" i="23"/>
  <c r="R46" i="23" s="1"/>
  <c r="O44" i="23"/>
  <c r="R44" i="23" s="1"/>
  <c r="O37" i="23"/>
  <c r="R37" i="23" s="1"/>
  <c r="O40" i="23"/>
  <c r="R40" i="23" s="1"/>
  <c r="O41" i="23"/>
  <c r="R41" i="23" s="1"/>
  <c r="O42" i="23"/>
  <c r="R42" i="23" s="1"/>
  <c r="O45" i="23"/>
  <c r="R45" i="23" s="1"/>
  <c r="O35" i="23"/>
  <c r="R35" i="23" s="1"/>
  <c r="O39" i="23"/>
  <c r="R39" i="23" s="1"/>
  <c r="O43" i="23"/>
  <c r="R43" i="23" s="1"/>
  <c r="O47" i="23"/>
  <c r="R47" i="23" s="1"/>
  <c r="AA372" i="23"/>
  <c r="AA247" i="23"/>
  <c r="AA269" i="23"/>
  <c r="AA55" i="23"/>
  <c r="AA126" i="23"/>
  <c r="AA510" i="23"/>
  <c r="AA265" i="23"/>
  <c r="AA432" i="23"/>
  <c r="AA125" i="23"/>
  <c r="AA66" i="23"/>
  <c r="AA267" i="23"/>
  <c r="AA548" i="23"/>
  <c r="AA540" i="23"/>
  <c r="AA530" i="23"/>
  <c r="AA526" i="23"/>
  <c r="AA289" i="23"/>
  <c r="AA171" i="23"/>
  <c r="AA359" i="23"/>
  <c r="AA254" i="23"/>
  <c r="AA479" i="23"/>
  <c r="AA516" i="23"/>
  <c r="AA276" i="23"/>
  <c r="AA176" i="23"/>
  <c r="AA311" i="23"/>
  <c r="AA338" i="23"/>
  <c r="AA454" i="23"/>
  <c r="AA179" i="23"/>
  <c r="AA231" i="23"/>
  <c r="AA360" i="23"/>
  <c r="AA71" i="23"/>
  <c r="AA403" i="23"/>
  <c r="AA487" i="23"/>
  <c r="AA541" i="23"/>
  <c r="AA301" i="23"/>
  <c r="AA352" i="23"/>
  <c r="AA397" i="23"/>
  <c r="AA495" i="23"/>
  <c r="AA312" i="23"/>
  <c r="AA524" i="23"/>
  <c r="AA499" i="23"/>
  <c r="AA565" i="23"/>
  <c r="AA351" i="23"/>
  <c r="AA537" i="23"/>
  <c r="AA529" i="23"/>
  <c r="AA343" i="23"/>
  <c r="AA421" i="23"/>
  <c r="AA497" i="23"/>
  <c r="AA521" i="23"/>
  <c r="AA120" i="23"/>
  <c r="AA373" i="23"/>
  <c r="AA370" i="23"/>
  <c r="AA569" i="23"/>
  <c r="AA392" i="23"/>
  <c r="AA413" i="23"/>
  <c r="AA441" i="23"/>
  <c r="AA203" i="23"/>
  <c r="AA250" i="23"/>
  <c r="AA296" i="23"/>
  <c r="AA545" i="23"/>
  <c r="AA320" i="23"/>
  <c r="AA346" i="23"/>
  <c r="AA489" i="23"/>
  <c r="AA505" i="23"/>
  <c r="AA79" i="23"/>
  <c r="AA85" i="23"/>
  <c r="AA168" i="23"/>
  <c r="AA473" i="23"/>
  <c r="AA491" i="23"/>
  <c r="AA543" i="23"/>
  <c r="AA561" i="23"/>
  <c r="AA324" i="23"/>
  <c r="AA465" i="23"/>
  <c r="AA572" i="23"/>
  <c r="AA115" i="23"/>
  <c r="AA152" i="23"/>
  <c r="AA281" i="23"/>
  <c r="AA266" i="23"/>
  <c r="AA494" i="23"/>
  <c r="AA483" i="23"/>
  <c r="AA564" i="23"/>
  <c r="AA553" i="23"/>
  <c r="AA429" i="23"/>
  <c r="AA556" i="23"/>
  <c r="AA475" i="23"/>
  <c r="AA518" i="23"/>
  <c r="AA448" i="23"/>
  <c r="AA557" i="23"/>
  <c r="AA282" i="23"/>
  <c r="AA187" i="23"/>
  <c r="AA365" i="23"/>
  <c r="AA549" i="23"/>
  <c r="AA534" i="23"/>
  <c r="AA46" i="23"/>
  <c r="AA285" i="23"/>
  <c r="AA344" i="23"/>
  <c r="AA198" i="23"/>
  <c r="AA242" i="23"/>
  <c r="AA451" i="23"/>
  <c r="AA513" i="23"/>
  <c r="AA93" i="23"/>
  <c r="AA142" i="23"/>
  <c r="AA300" i="23"/>
  <c r="AA335" i="23"/>
  <c r="AA532" i="23"/>
  <c r="AA123" i="23"/>
  <c r="AA246" i="23"/>
  <c r="AA309" i="23"/>
  <c r="AA502" i="23"/>
  <c r="AA471" i="23"/>
  <c r="AA522" i="23"/>
  <c r="AA386" i="23"/>
  <c r="AA149" i="23"/>
  <c r="AA190" i="23"/>
  <c r="AA260" i="23"/>
  <c r="AA336" i="23"/>
  <c r="AA440" i="23"/>
  <c r="AA481" i="23"/>
  <c r="AA234" i="23"/>
  <c r="AA394" i="23"/>
  <c r="AA446" i="23"/>
  <c r="AA114" i="23"/>
  <c r="AA134" i="23"/>
  <c r="AA405" i="23"/>
  <c r="AA155" i="23"/>
  <c r="AA249" i="23"/>
  <c r="AA292" i="23"/>
  <c r="AA261" i="23"/>
  <c r="AA316" i="23"/>
  <c r="AA333" i="23"/>
  <c r="AA456" i="23"/>
  <c r="AA457" i="23"/>
  <c r="AA486" i="23"/>
  <c r="AA184" i="23"/>
  <c r="AA273" i="23"/>
  <c r="AA290" i="23"/>
  <c r="AA327" i="23"/>
  <c r="AA362" i="23"/>
  <c r="AA389" i="23"/>
  <c r="AA378" i="23"/>
  <c r="AA467" i="23"/>
  <c r="AA478" i="23"/>
  <c r="AA308" i="23"/>
  <c r="AA325" i="23"/>
  <c r="AA354" i="23"/>
  <c r="AA381" i="23"/>
  <c r="AA449" i="23"/>
  <c r="AA470" i="23"/>
  <c r="AA368" i="23"/>
  <c r="AA400" i="23"/>
  <c r="AA295" i="23"/>
  <c r="AA330" i="23"/>
  <c r="AA464" i="23"/>
  <c r="AA160" i="23"/>
  <c r="AA211" i="23"/>
  <c r="AA226" i="23"/>
  <c r="AA304" i="23"/>
  <c r="AA241" i="23"/>
  <c r="AA230" i="23"/>
  <c r="AA319" i="23"/>
  <c r="AA225" i="23"/>
  <c r="AA268" i="23"/>
  <c r="AA239" i="23"/>
  <c r="AA277" i="23"/>
  <c r="AA303" i="23"/>
  <c r="AA317" i="23"/>
  <c r="AA91" i="23"/>
  <c r="AA219" i="23"/>
  <c r="AA274" i="23"/>
  <c r="AA107" i="23"/>
  <c r="AA284" i="23"/>
  <c r="AA74" i="23"/>
  <c r="AA257" i="23"/>
  <c r="AA80" i="23"/>
  <c r="AA238" i="23"/>
  <c r="AA255" i="23"/>
  <c r="AA141" i="23"/>
  <c r="AA163" i="23"/>
  <c r="AA133" i="23"/>
  <c r="AA38" i="23"/>
  <c r="AA63" i="23"/>
  <c r="AA117" i="23"/>
  <c r="AA136" i="23"/>
  <c r="AA367" i="23"/>
  <c r="AA166" i="23"/>
  <c r="AA99" i="23"/>
  <c r="AA195" i="23"/>
  <c r="AA106" i="23"/>
  <c r="AA58" i="23"/>
  <c r="AA174" i="23"/>
  <c r="AA50" i="23"/>
  <c r="AA72" i="23"/>
  <c r="AA109" i="23"/>
  <c r="AA98" i="23"/>
  <c r="AA128" i="23"/>
  <c r="AA150" i="23"/>
  <c r="AA302" i="23"/>
  <c r="AA101" i="23"/>
  <c r="AA64" i="23"/>
  <c r="AA90" i="23"/>
  <c r="AA56" i="23"/>
  <c r="AA53" i="23"/>
  <c r="AA82" i="23"/>
  <c r="AA444" i="23"/>
  <c r="AA345" i="23"/>
  <c r="AA445" i="23"/>
  <c r="AA418" i="23"/>
  <c r="AA452" i="23"/>
  <c r="AA496" i="23"/>
  <c r="AA417" i="23"/>
  <c r="AA477" i="23"/>
  <c r="AA383" i="23"/>
  <c r="AA450" i="23"/>
  <c r="AA340" i="23"/>
  <c r="AA514" i="23"/>
  <c r="AA396" i="23"/>
  <c r="AA297" i="23"/>
  <c r="AA180" i="23"/>
  <c r="AA423" i="23"/>
  <c r="AA515" i="23"/>
  <c r="AA488" i="23"/>
  <c r="AA528" i="23"/>
  <c r="AA310" i="23"/>
  <c r="AA458" i="23"/>
  <c r="AA375" i="23"/>
  <c r="AA466" i="23"/>
  <c r="AA366" i="23"/>
  <c r="AA520" i="23"/>
  <c r="AA431" i="23"/>
  <c r="AA331" i="23"/>
  <c r="AA563" i="23"/>
  <c r="AA286" i="23"/>
  <c r="AA407" i="23"/>
  <c r="AA436" i="23"/>
  <c r="AA409" i="23"/>
  <c r="AA410" i="23"/>
  <c r="AA493" i="23"/>
  <c r="AA326" i="23"/>
  <c r="AA531" i="23"/>
  <c r="AA536" i="23"/>
  <c r="AA291" i="23"/>
  <c r="AA332" i="23"/>
  <c r="AA437" i="23"/>
  <c r="AA507" i="23"/>
  <c r="AA374" i="23"/>
  <c r="AA170" i="23"/>
  <c r="AA221" i="23"/>
  <c r="AA216" i="23"/>
  <c r="AA523" i="23"/>
  <c r="AA426" i="23"/>
  <c r="AA347" i="23"/>
  <c r="AA552" i="23"/>
  <c r="AA313" i="23"/>
  <c r="AA401" i="23"/>
  <c r="AA305" i="23"/>
  <c r="AA178" i="23"/>
  <c r="AA197" i="23"/>
  <c r="AA251" i="23"/>
  <c r="AA506" i="23"/>
  <c r="AA388" i="23"/>
  <c r="AA425" i="23"/>
  <c r="AA453" i="23"/>
  <c r="AA460" i="23"/>
  <c r="AA213" i="23"/>
  <c r="AA390" i="23"/>
  <c r="AA275" i="23"/>
  <c r="AA571" i="23"/>
  <c r="AA186" i="23"/>
  <c r="AA205" i="23"/>
  <c r="AA353" i="23"/>
  <c r="AA501" i="23"/>
  <c r="AA138" i="23"/>
  <c r="AA402" i="23"/>
  <c r="AA461" i="23"/>
  <c r="AA566" i="23"/>
  <c r="AA248" i="23"/>
  <c r="AA337" i="23"/>
  <c r="AA164" i="23"/>
  <c r="AA355" i="23"/>
  <c r="AA547" i="23"/>
  <c r="AA382" i="23"/>
  <c r="AA339" i="23"/>
  <c r="AA472" i="23"/>
  <c r="AA558" i="23"/>
  <c r="AA391" i="23"/>
  <c r="AA278" i="23"/>
  <c r="AA442" i="23"/>
  <c r="AA542" i="23"/>
  <c r="AA321" i="23"/>
  <c r="AA485" i="23"/>
  <c r="AA415" i="23"/>
  <c r="AA162" i="23"/>
  <c r="AA380" i="23"/>
  <c r="AA156" i="23"/>
  <c r="AA122" i="23"/>
  <c r="AA512" i="23"/>
  <c r="AA356" i="23"/>
  <c r="AA555" i="23"/>
  <c r="AA550" i="23"/>
  <c r="AA480" i="23"/>
  <c r="AA146" i="23"/>
  <c r="AA87" i="23"/>
  <c r="AA240" i="23"/>
  <c r="AA130" i="23"/>
  <c r="AA568" i="23"/>
  <c r="AA243" i="23"/>
  <c r="AA348" i="23"/>
  <c r="AA318" i="23"/>
  <c r="AA215" i="23"/>
  <c r="AA270" i="23"/>
  <c r="AA361" i="23"/>
  <c r="AA283" i="23"/>
  <c r="AA165" i="23"/>
  <c r="AA235" i="23"/>
  <c r="AA51" i="23"/>
  <c r="AA151" i="23"/>
  <c r="AA86" i="23"/>
  <c r="AA262" i="23"/>
  <c r="AA207" i="23"/>
  <c r="AA157" i="23"/>
  <c r="AA172" i="23"/>
  <c r="AA232" i="23"/>
  <c r="AA200" i="23"/>
  <c r="AA199" i="23"/>
  <c r="AA111" i="23"/>
  <c r="AA173" i="23"/>
  <c r="AA143" i="23"/>
  <c r="AA227" i="23"/>
  <c r="AA191" i="23"/>
  <c r="AA103" i="23"/>
  <c r="AA135" i="23"/>
  <c r="AA201" i="23"/>
  <c r="AA95" i="23"/>
  <c r="AA181" i="23"/>
  <c r="AA102" i="23"/>
  <c r="AA127" i="23"/>
  <c r="AA217" i="23"/>
  <c r="AA94" i="23"/>
  <c r="AA435" i="23"/>
  <c r="AA208" i="23"/>
  <c r="AA482" i="23"/>
  <c r="AA192" i="23"/>
  <c r="AA533" i="23"/>
  <c r="AA559" i="23"/>
  <c r="AA560" i="23"/>
  <c r="AA419" i="23"/>
  <c r="AA517" i="23"/>
  <c r="AA567" i="23"/>
  <c r="AA546" i="23"/>
  <c r="AA256" i="23"/>
  <c r="AA416" i="23"/>
  <c r="AA404" i="23"/>
  <c r="AA463" i="23"/>
  <c r="AA570" i="23"/>
  <c r="AA525" i="23"/>
  <c r="AA551" i="23"/>
  <c r="AA562" i="23"/>
  <c r="AA474" i="23"/>
  <c r="AA544" i="23"/>
  <c r="AA554" i="23"/>
  <c r="AA527" i="23"/>
  <c r="AA167" i="23"/>
  <c r="AA218" i="23"/>
  <c r="AA393" i="23"/>
  <c r="AA519" i="23"/>
  <c r="AA159" i="23"/>
  <c r="AA193" i="23"/>
  <c r="AA210" i="23"/>
  <c r="AA455" i="23"/>
  <c r="AA511" i="23"/>
  <c r="AA508" i="23"/>
  <c r="AA535" i="23"/>
  <c r="AA92" i="23"/>
  <c r="AA498" i="23"/>
  <c r="AA509" i="23"/>
  <c r="AA462" i="23"/>
  <c r="AA492" i="23"/>
  <c r="AA342" i="23"/>
  <c r="AA420" i="23"/>
  <c r="AA459" i="23"/>
  <c r="AA484" i="23"/>
  <c r="AA412" i="23"/>
  <c r="AA476" i="23"/>
  <c r="AA443" i="23"/>
  <c r="AA490" i="23"/>
  <c r="AA500" i="23"/>
  <c r="AA315" i="23"/>
  <c r="AA408" i="23"/>
  <c r="AA428" i="23"/>
  <c r="AA438" i="23"/>
  <c r="AA377" i="23"/>
  <c r="AA411" i="23"/>
  <c r="AA447" i="23"/>
  <c r="AA424" i="23"/>
  <c r="AA439" i="23"/>
  <c r="AA384" i="23"/>
  <c r="AA385" i="23"/>
  <c r="AA430" i="23"/>
  <c r="AA422" i="23"/>
  <c r="AA209" i="23"/>
  <c r="AA369" i="23"/>
  <c r="AA414" i="23"/>
  <c r="AA175" i="23"/>
  <c r="AA427" i="23"/>
  <c r="AA406" i="23"/>
  <c r="AA376" i="23"/>
  <c r="AA371" i="23"/>
  <c r="AA334" i="23"/>
  <c r="AA395" i="23"/>
  <c r="AA387" i="23"/>
  <c r="AA287" i="23"/>
  <c r="AA279" i="23"/>
  <c r="AA350" i="23"/>
  <c r="AA379" i="23"/>
  <c r="AA96" i="23"/>
  <c r="AA183" i="23"/>
  <c r="AA314" i="23"/>
  <c r="AA357" i="23"/>
  <c r="AA110" i="23"/>
  <c r="AA349" i="23"/>
  <c r="AA341" i="23"/>
  <c r="AA358" i="23"/>
  <c r="AA228" i="23"/>
  <c r="AA323" i="23"/>
  <c r="AA280" i="23"/>
  <c r="AA322" i="23"/>
  <c r="AA306" i="23"/>
  <c r="AA307" i="23"/>
  <c r="AA298" i="23"/>
  <c r="AA299" i="23"/>
  <c r="AA288" i="23"/>
  <c r="AA76" i="23"/>
  <c r="AA202" i="23"/>
  <c r="AA271" i="23"/>
  <c r="AA272" i="23"/>
  <c r="AA229" i="23"/>
  <c r="AA263" i="23"/>
  <c r="AA264" i="23"/>
  <c r="AA194" i="23"/>
  <c r="AA252" i="23"/>
  <c r="AA233" i="23"/>
  <c r="AA253" i="23"/>
  <c r="AA244" i="23"/>
  <c r="AA158" i="23"/>
  <c r="AA212" i="23"/>
  <c r="AA236" i="23"/>
  <c r="AA245" i="23"/>
  <c r="AA237" i="23"/>
  <c r="AA206" i="23"/>
  <c r="AA220" i="23"/>
  <c r="AA222" i="23"/>
  <c r="AA204" i="23"/>
  <c r="AA60" i="23"/>
  <c r="AA43" i="23"/>
  <c r="AA65" i="23"/>
  <c r="AA121" i="23"/>
  <c r="AA214" i="23"/>
  <c r="AA196" i="23"/>
  <c r="AA88" i="23"/>
  <c r="AA144" i="23"/>
  <c r="AA182" i="23"/>
  <c r="AA177" i="23"/>
  <c r="AA169" i="23"/>
  <c r="AA161" i="23"/>
  <c r="AA131" i="23"/>
  <c r="AA132" i="23"/>
  <c r="AA129" i="23"/>
  <c r="AA185" i="23"/>
  <c r="AA75" i="23"/>
  <c r="AA139" i="23"/>
  <c r="AA100" i="23"/>
  <c r="AA105" i="23"/>
  <c r="AA124" i="23"/>
  <c r="AA70" i="23"/>
  <c r="AA67" i="23"/>
  <c r="AA97" i="23"/>
  <c r="AA148" i="23"/>
  <c r="AA145" i="23"/>
  <c r="AA78" i="23"/>
  <c r="AA81" i="23"/>
  <c r="AA147" i="23"/>
  <c r="AA140" i="23"/>
  <c r="AA137" i="23"/>
  <c r="AA104" i="23"/>
  <c r="AA61" i="23"/>
  <c r="AA62" i="23"/>
  <c r="AA59" i="23"/>
  <c r="AA116" i="23"/>
  <c r="AA89" i="23"/>
  <c r="AA112" i="23"/>
  <c r="AA108" i="23"/>
  <c r="AA113" i="23"/>
  <c r="AA35" i="23"/>
  <c r="AA73" i="23"/>
  <c r="AA77" i="23"/>
  <c r="AA69" i="23"/>
  <c r="AA52" i="23"/>
  <c r="AA57" i="23"/>
  <c r="AA68" i="23"/>
  <c r="AA54" i="23"/>
  <c r="AA36" i="23"/>
  <c r="AA41" i="23"/>
  <c r="AA39" i="23"/>
  <c r="AA44" i="23"/>
  <c r="AA42" i="23"/>
  <c r="AA47" i="23"/>
  <c r="AA45" i="23"/>
  <c r="AA37" i="23"/>
  <c r="AA40" i="23"/>
  <c r="J21" i="36"/>
  <c r="G572" i="23"/>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7"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2"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16" i="23"/>
  <c r="G17" i="23"/>
  <c r="G18" i="23"/>
  <c r="G19" i="23"/>
  <c r="G20" i="23"/>
  <c r="G21" i="23"/>
  <c r="G22" i="23"/>
  <c r="G23" i="23"/>
  <c r="G24" i="23"/>
  <c r="G25" i="23"/>
  <c r="G26" i="23"/>
  <c r="G27" i="23"/>
  <c r="G28" i="23"/>
  <c r="G29" i="23"/>
  <c r="G30" i="23"/>
  <c r="G31" i="23"/>
  <c r="G32" i="23"/>
  <c r="I32" i="23" s="1"/>
  <c r="G33" i="23"/>
  <c r="G34" i="23"/>
  <c r="G35" i="23"/>
  <c r="G36" i="23"/>
  <c r="G37" i="23"/>
  <c r="G38" i="23"/>
  <c r="G39" i="23"/>
  <c r="G40" i="23"/>
  <c r="G41" i="23"/>
  <c r="G42" i="23"/>
  <c r="G43" i="23"/>
  <c r="G44" i="23"/>
  <c r="G45" i="23"/>
  <c r="G46" i="23"/>
  <c r="G47" i="23"/>
  <c r="A16" i="23"/>
  <c r="AB560" i="23" l="1"/>
  <c r="AB568" i="23"/>
  <c r="AB553" i="23"/>
  <c r="AB572" i="23"/>
  <c r="AB554" i="23"/>
  <c r="AB559" i="23"/>
  <c r="AB542" i="23"/>
  <c r="AB547" i="23"/>
  <c r="AB564" i="23"/>
  <c r="AB565" i="23"/>
  <c r="AB541" i="23"/>
  <c r="AB544" i="23"/>
  <c r="AB563" i="23"/>
  <c r="AB557" i="23"/>
  <c r="AB561" i="23"/>
  <c r="AB540" i="23"/>
  <c r="AB543" i="23"/>
  <c r="AB548" i="23"/>
  <c r="AB551" i="23"/>
  <c r="AB567" i="23"/>
  <c r="AB558" i="23"/>
  <c r="AB552" i="23"/>
  <c r="AB546" i="23"/>
  <c r="AB550" i="23"/>
  <c r="AB566" i="23"/>
  <c r="AB571" i="23"/>
  <c r="AB549" i="23"/>
  <c r="AB556" i="23"/>
  <c r="AB569" i="23"/>
  <c r="AB562" i="23"/>
  <c r="AB570" i="23"/>
  <c r="AB555" i="23"/>
  <c r="AB545" i="23"/>
  <c r="AB527" i="23"/>
  <c r="AB523" i="23"/>
  <c r="AB512" i="23"/>
  <c r="AB536" i="23"/>
  <c r="AB532" i="23"/>
  <c r="AB509" i="23"/>
  <c r="AB533" i="23"/>
  <c r="AB531" i="23"/>
  <c r="AB514" i="23"/>
  <c r="AB521" i="23"/>
  <c r="AB530" i="23"/>
  <c r="AB510" i="23"/>
  <c r="AB528" i="23"/>
  <c r="AB522" i="23"/>
  <c r="AB505" i="23"/>
  <c r="AB524" i="23"/>
  <c r="AB518" i="23"/>
  <c r="AB535" i="23"/>
  <c r="AB507" i="23"/>
  <c r="AB520" i="23"/>
  <c r="AB515" i="23"/>
  <c r="AB534" i="23"/>
  <c r="AB516" i="23"/>
  <c r="AB519" i="23"/>
  <c r="AB508" i="23"/>
  <c r="AB525" i="23"/>
  <c r="AB517" i="23"/>
  <c r="AB506" i="23"/>
  <c r="AB513" i="23"/>
  <c r="AB529" i="23"/>
  <c r="AB511" i="23"/>
  <c r="AB537" i="23"/>
  <c r="AB526" i="23"/>
  <c r="AB482" i="23"/>
  <c r="AB493" i="23"/>
  <c r="AB478" i="23"/>
  <c r="AB471" i="23"/>
  <c r="AB490" i="23"/>
  <c r="AB492" i="23"/>
  <c r="AB496" i="23"/>
  <c r="AB501" i="23"/>
  <c r="AB483" i="23"/>
  <c r="AB499" i="23"/>
  <c r="AB487" i="23"/>
  <c r="AB494" i="23"/>
  <c r="AB497" i="23"/>
  <c r="AB489" i="23"/>
  <c r="AB474" i="23"/>
  <c r="AB488" i="23"/>
  <c r="AB480" i="23"/>
  <c r="AB486" i="23"/>
  <c r="AB502" i="23"/>
  <c r="AB475" i="23"/>
  <c r="AB491" i="23"/>
  <c r="AB495" i="23"/>
  <c r="AB476" i="23"/>
  <c r="AB498" i="23"/>
  <c r="AB484" i="23"/>
  <c r="AB481" i="23"/>
  <c r="AB472" i="23"/>
  <c r="AB477" i="23"/>
  <c r="AB470" i="23"/>
  <c r="AB473" i="23"/>
  <c r="AB479" i="23"/>
  <c r="AB500" i="23"/>
  <c r="AB485" i="23"/>
  <c r="AB450" i="23"/>
  <c r="AB447" i="23"/>
  <c r="AB455" i="23"/>
  <c r="AB463" i="23"/>
  <c r="AB454" i="23"/>
  <c r="AB443" i="23"/>
  <c r="AB462" i="23"/>
  <c r="AB458" i="23"/>
  <c r="AB452" i="23"/>
  <c r="AB464" i="23"/>
  <c r="AB446" i="23"/>
  <c r="AB465" i="23"/>
  <c r="AB442" i="23"/>
  <c r="AB460" i="23"/>
  <c r="AB438" i="23"/>
  <c r="AB445" i="23"/>
  <c r="AB448" i="23"/>
  <c r="AB441" i="23"/>
  <c r="AB459" i="23"/>
  <c r="AB444" i="23"/>
  <c r="AB467" i="23"/>
  <c r="AB440" i="23"/>
  <c r="AB453" i="23"/>
  <c r="AB439" i="23"/>
  <c r="AB435" i="23"/>
  <c r="AB437" i="23"/>
  <c r="AB457" i="23"/>
  <c r="AB461" i="23"/>
  <c r="AB436" i="23"/>
  <c r="AB466" i="23"/>
  <c r="AB449" i="23"/>
  <c r="AB456" i="23"/>
  <c r="AB451" i="23"/>
  <c r="AB412" i="23"/>
  <c r="AB402" i="23"/>
  <c r="AB407" i="23"/>
  <c r="AB432" i="23"/>
  <c r="AB411" i="23"/>
  <c r="AB404" i="23"/>
  <c r="AB416" i="23"/>
  <c r="AB418" i="23"/>
  <c r="AB401" i="23"/>
  <c r="AB403" i="23"/>
  <c r="AB430" i="23"/>
  <c r="AB400" i="23"/>
  <c r="AB413" i="23"/>
  <c r="AB421" i="23"/>
  <c r="AB422" i="23"/>
  <c r="AB406" i="23"/>
  <c r="AB427" i="23"/>
  <c r="AB408" i="23"/>
  <c r="AB410" i="23"/>
  <c r="AB428" i="23"/>
  <c r="AB431" i="23"/>
  <c r="AB420" i="23"/>
  <c r="AB415" i="23"/>
  <c r="AB409" i="23"/>
  <c r="AB423" i="23"/>
  <c r="AB405" i="23"/>
  <c r="AB425" i="23"/>
  <c r="AB414" i="23"/>
  <c r="AB424" i="23"/>
  <c r="AB419" i="23"/>
  <c r="AB426" i="23"/>
  <c r="AB417" i="23"/>
  <c r="AB429" i="23"/>
  <c r="AB382" i="23"/>
  <c r="AB371" i="23"/>
  <c r="AB377" i="23"/>
  <c r="AB394" i="23"/>
  <c r="AB386" i="23"/>
  <c r="AB395" i="23"/>
  <c r="AB396" i="23"/>
  <c r="AB369" i="23"/>
  <c r="AB374" i="23"/>
  <c r="AB390" i="23"/>
  <c r="AB375" i="23"/>
  <c r="AB381" i="23"/>
  <c r="AB367" i="23"/>
  <c r="AB379" i="23"/>
  <c r="AB385" i="23"/>
  <c r="AB380" i="23"/>
  <c r="AB384" i="23"/>
  <c r="AB393" i="23"/>
  <c r="AB388" i="23"/>
  <c r="AB383" i="23"/>
  <c r="AB368" i="23"/>
  <c r="AB392" i="23"/>
  <c r="AB376" i="23"/>
  <c r="AB391" i="23"/>
  <c r="AB366" i="23"/>
  <c r="AB378" i="23"/>
  <c r="AB397" i="23"/>
  <c r="AB373" i="23"/>
  <c r="AB387" i="23"/>
  <c r="AB389" i="23"/>
  <c r="AB365" i="23"/>
  <c r="AB370" i="23"/>
  <c r="AB372" i="23"/>
  <c r="AB350" i="23"/>
  <c r="AB337" i="23"/>
  <c r="AB356" i="23"/>
  <c r="AB362" i="23"/>
  <c r="AB333" i="23"/>
  <c r="AB351" i="23"/>
  <c r="AB359" i="23"/>
  <c r="AB334" i="23"/>
  <c r="AB354" i="23"/>
  <c r="AB338" i="23"/>
  <c r="AB358" i="23"/>
  <c r="AB361" i="23"/>
  <c r="AB355" i="23"/>
  <c r="AB330" i="23"/>
  <c r="AB335" i="23"/>
  <c r="AB344" i="23"/>
  <c r="AB341" i="23"/>
  <c r="AB353" i="23"/>
  <c r="AB331" i="23"/>
  <c r="AB340" i="23"/>
  <c r="AB345" i="23"/>
  <c r="AB349" i="23"/>
  <c r="AB346" i="23"/>
  <c r="AB343" i="23"/>
  <c r="AB360" i="23"/>
  <c r="AB357" i="23"/>
  <c r="AB348" i="23"/>
  <c r="AB347" i="23"/>
  <c r="AB336" i="23"/>
  <c r="AB342" i="23"/>
  <c r="AB339" i="23"/>
  <c r="AB332" i="23"/>
  <c r="AB352" i="23"/>
  <c r="AB323" i="23"/>
  <c r="AB321" i="23"/>
  <c r="AB297" i="23"/>
  <c r="AB296" i="23"/>
  <c r="AB301" i="23"/>
  <c r="AB319" i="23"/>
  <c r="AB327" i="23"/>
  <c r="AB316" i="23"/>
  <c r="AB299" i="23"/>
  <c r="AB305" i="23"/>
  <c r="AB310" i="23"/>
  <c r="AB325" i="23"/>
  <c r="AB324" i="23"/>
  <c r="AB311" i="23"/>
  <c r="AB326" i="23"/>
  <c r="AB317" i="23"/>
  <c r="AB295" i="23"/>
  <c r="AB308" i="23"/>
  <c r="AB300" i="23"/>
  <c r="AB304" i="23"/>
  <c r="AB312" i="23"/>
  <c r="AB302" i="23"/>
  <c r="AB306" i="23"/>
  <c r="AB318" i="23"/>
  <c r="AB298" i="23"/>
  <c r="AB313" i="23"/>
  <c r="AB322" i="23"/>
  <c r="AB315" i="23"/>
  <c r="AB309" i="23"/>
  <c r="AB320" i="23"/>
  <c r="AB307" i="23"/>
  <c r="AB303" i="23"/>
  <c r="AB314" i="23"/>
  <c r="AB291" i="23"/>
  <c r="AB274" i="23"/>
  <c r="AB288" i="23"/>
  <c r="AB283" i="23"/>
  <c r="AB286" i="23"/>
  <c r="AB282" i="23"/>
  <c r="AB265" i="23"/>
  <c r="AB264" i="23"/>
  <c r="AB290" i="23"/>
  <c r="AB261" i="23"/>
  <c r="AB289" i="23"/>
  <c r="AB263" i="23"/>
  <c r="AB262" i="23"/>
  <c r="AB270" i="23"/>
  <c r="AB278" i="23"/>
  <c r="AB273" i="23"/>
  <c r="AB292" i="23"/>
  <c r="AB285" i="23"/>
  <c r="AB266" i="23"/>
  <c r="AB276" i="23"/>
  <c r="AB272" i="23"/>
  <c r="AB279" i="23"/>
  <c r="AB277" i="23"/>
  <c r="AB281" i="23"/>
  <c r="AB267" i="23"/>
  <c r="AB269" i="23"/>
  <c r="AB271" i="23"/>
  <c r="AB287" i="23"/>
  <c r="AB284" i="23"/>
  <c r="AB280" i="23"/>
  <c r="AB275" i="23"/>
  <c r="AB268" i="23"/>
  <c r="AB260" i="23"/>
  <c r="AB237" i="23"/>
  <c r="AB252" i="23"/>
  <c r="AB225" i="23"/>
  <c r="AB242" i="23"/>
  <c r="AB245" i="23"/>
  <c r="AB228" i="23"/>
  <c r="AB227" i="23"/>
  <c r="AB255" i="23"/>
  <c r="AB250" i="23"/>
  <c r="AB236" i="23"/>
  <c r="AB240" i="23"/>
  <c r="AB238" i="23"/>
  <c r="AB230" i="23"/>
  <c r="AB256" i="23"/>
  <c r="AB241" i="23"/>
  <c r="AB234" i="23"/>
  <c r="AB229" i="23"/>
  <c r="AB257" i="23"/>
  <c r="AB249" i="23"/>
  <c r="AB244" i="23"/>
  <c r="AB248" i="23"/>
  <c r="AB226" i="23"/>
  <c r="AB253" i="23"/>
  <c r="AB239" i="23"/>
  <c r="AB231" i="23"/>
  <c r="AB247" i="23"/>
  <c r="AB233" i="23"/>
  <c r="AB232" i="23"/>
  <c r="AB235" i="23"/>
  <c r="AB243" i="23"/>
  <c r="AB251" i="23"/>
  <c r="AB246" i="23"/>
  <c r="AB254" i="23"/>
  <c r="AB217" i="23"/>
  <c r="AB191" i="23"/>
  <c r="AB197" i="23"/>
  <c r="AB190" i="23"/>
  <c r="AB194" i="23"/>
  <c r="AB209" i="23"/>
  <c r="AB210" i="23"/>
  <c r="AB213" i="23"/>
  <c r="AB216" i="23"/>
  <c r="AB219" i="23"/>
  <c r="AB198" i="23"/>
  <c r="AB203" i="23"/>
  <c r="AB207" i="23"/>
  <c r="AB192" i="23"/>
  <c r="AB205" i="23"/>
  <c r="AB222" i="23"/>
  <c r="AB208" i="23"/>
  <c r="AB201" i="23"/>
  <c r="AB199" i="23"/>
  <c r="AB221" i="23"/>
  <c r="AB212" i="23"/>
  <c r="AB204" i="23"/>
  <c r="AB215" i="23"/>
  <c r="AB196" i="23"/>
  <c r="AB220" i="23"/>
  <c r="AB218" i="23"/>
  <c r="AB200" i="23"/>
  <c r="AB195" i="23"/>
  <c r="AB211" i="23"/>
  <c r="AB193" i="23"/>
  <c r="AB214" i="23"/>
  <c r="AB206" i="23"/>
  <c r="AB202" i="23"/>
  <c r="AB161" i="23"/>
  <c r="AB183" i="23"/>
  <c r="AB172" i="23"/>
  <c r="AB165" i="23"/>
  <c r="AB166" i="23"/>
  <c r="AB187" i="23"/>
  <c r="AB169" i="23"/>
  <c r="AB157" i="23"/>
  <c r="AB178" i="23"/>
  <c r="AB171" i="23"/>
  <c r="AB181" i="23"/>
  <c r="AB176" i="23"/>
  <c r="AB173" i="23"/>
  <c r="AB164" i="23"/>
  <c r="AB162" i="23"/>
  <c r="AB186" i="23"/>
  <c r="AB155" i="23"/>
  <c r="AB159" i="23"/>
  <c r="AB170" i="23"/>
  <c r="AB184" i="23"/>
  <c r="AB175" i="23"/>
  <c r="AB177" i="23"/>
  <c r="AB182" i="23"/>
  <c r="AB156" i="23"/>
  <c r="AB174" i="23"/>
  <c r="AB185" i="23"/>
  <c r="AB158" i="23"/>
  <c r="AB167" i="23"/>
  <c r="AB180" i="23"/>
  <c r="AB163" i="23"/>
  <c r="AB160" i="23"/>
  <c r="AB168" i="23"/>
  <c r="AB179" i="23"/>
  <c r="AB139" i="23"/>
  <c r="AB121" i="23"/>
  <c r="AB141" i="23"/>
  <c r="AB123" i="23"/>
  <c r="AB127" i="23"/>
  <c r="AB130" i="23"/>
  <c r="AB138" i="23"/>
  <c r="AB149" i="23"/>
  <c r="AB120" i="23"/>
  <c r="AB145" i="23"/>
  <c r="AB143" i="23"/>
  <c r="AB122" i="23"/>
  <c r="AB136" i="23"/>
  <c r="AB148" i="23"/>
  <c r="AB126" i="23"/>
  <c r="AB142" i="23"/>
  <c r="AB137" i="23"/>
  <c r="AB129" i="23"/>
  <c r="AB151" i="23"/>
  <c r="AB150" i="23"/>
  <c r="AB140" i="23"/>
  <c r="AB132" i="23"/>
  <c r="AB135" i="23"/>
  <c r="AB128" i="23"/>
  <c r="AB133" i="23"/>
  <c r="AB152" i="23"/>
  <c r="AB144" i="23"/>
  <c r="AB146" i="23"/>
  <c r="AB147" i="23"/>
  <c r="AB124" i="23"/>
  <c r="AB131" i="23"/>
  <c r="AB134" i="23"/>
  <c r="AB125" i="23"/>
  <c r="AB105" i="23"/>
  <c r="AB109" i="23"/>
  <c r="AB114" i="23"/>
  <c r="AB85" i="23"/>
  <c r="AB100" i="23"/>
  <c r="AB96" i="23"/>
  <c r="AB90" i="23"/>
  <c r="AB91" i="23"/>
  <c r="AB102" i="23"/>
  <c r="AB113" i="23"/>
  <c r="AB117" i="23"/>
  <c r="AB104" i="23"/>
  <c r="AB95" i="23"/>
  <c r="AB112" i="23"/>
  <c r="AB88" i="23"/>
  <c r="AB110" i="23"/>
  <c r="AB106" i="23"/>
  <c r="AB93" i="23"/>
  <c r="AB87" i="23"/>
  <c r="AB108" i="23"/>
  <c r="AB86" i="23"/>
  <c r="AB89" i="23"/>
  <c r="AB101" i="23"/>
  <c r="AB97" i="23"/>
  <c r="AB92" i="23"/>
  <c r="AB111" i="23"/>
  <c r="AB116" i="23"/>
  <c r="AB94" i="23"/>
  <c r="AB103" i="23"/>
  <c r="AB98" i="23"/>
  <c r="AB99" i="23"/>
  <c r="AB107" i="23"/>
  <c r="AB115" i="23"/>
  <c r="AB81" i="23"/>
  <c r="AB78" i="23"/>
  <c r="AB72" i="23"/>
  <c r="AB79" i="23"/>
  <c r="AB64" i="23"/>
  <c r="AB50" i="23"/>
  <c r="AB59" i="23"/>
  <c r="AB56" i="23"/>
  <c r="AB62" i="23"/>
  <c r="AB65" i="23"/>
  <c r="AB68" i="23"/>
  <c r="AB60" i="23"/>
  <c r="AB80" i="23"/>
  <c r="AB57" i="23"/>
  <c r="AB58" i="23"/>
  <c r="AB63" i="23"/>
  <c r="AB71" i="23"/>
  <c r="AB55" i="23"/>
  <c r="AB77" i="23"/>
  <c r="AB76" i="23"/>
  <c r="AB75" i="23"/>
  <c r="AB67" i="23"/>
  <c r="AB74" i="23"/>
  <c r="AB54" i="23"/>
  <c r="AB52" i="23"/>
  <c r="AB70" i="23"/>
  <c r="AB51" i="23"/>
  <c r="AB82" i="23"/>
  <c r="AB66" i="23"/>
  <c r="AB73" i="23"/>
  <c r="AB61" i="23"/>
  <c r="AB69" i="23"/>
  <c r="AB53" i="23"/>
  <c r="AB39" i="23"/>
  <c r="AB41" i="23"/>
  <c r="AB35" i="23"/>
  <c r="AB43" i="23"/>
  <c r="AB46" i="23"/>
  <c r="AB36" i="23"/>
  <c r="AB47" i="23"/>
  <c r="AB38" i="23"/>
  <c r="AB40" i="23"/>
  <c r="AB42" i="23"/>
  <c r="AB37" i="23"/>
  <c r="AB45" i="23"/>
  <c r="AB44" i="23"/>
  <c r="N7" i="36"/>
  <c r="B79" i="36"/>
  <c r="N6" i="36"/>
  <c r="T47" i="23" s="1"/>
  <c r="W47" i="23" s="1"/>
  <c r="N15" i="36"/>
  <c r="N14" i="36"/>
  <c r="N13" i="36"/>
  <c r="N12" i="36"/>
  <c r="N11" i="36"/>
  <c r="N10" i="36"/>
  <c r="N9" i="36"/>
  <c r="N8" i="36"/>
  <c r="AH572" i="23"/>
  <c r="AH537" i="23"/>
  <c r="AH502" i="23"/>
  <c r="AH467" i="23"/>
  <c r="AH432" i="23"/>
  <c r="AH397" i="23"/>
  <c r="AH362" i="23"/>
  <c r="AH327" i="23"/>
  <c r="AH292" i="23"/>
  <c r="AH257" i="23"/>
  <c r="AH222" i="23"/>
  <c r="AH187" i="23"/>
  <c r="AH152" i="23"/>
  <c r="AH117" i="23"/>
  <c r="AH82" i="23"/>
  <c r="I17" i="23"/>
  <c r="C16" i="23"/>
  <c r="C17" i="23"/>
  <c r="C15" i="23"/>
  <c r="AH47" i="23"/>
  <c r="H48" i="23" a="1"/>
  <c r="H48" i="23" s="1"/>
  <c r="H83" i="23" a="1"/>
  <c r="H83" i="23" s="1"/>
  <c r="H118" i="23" a="1"/>
  <c r="H118" i="23" s="1"/>
  <c r="H153" i="23" a="1"/>
  <c r="H153" i="23" s="1"/>
  <c r="H188" i="23" a="1"/>
  <c r="H188" i="23" s="1"/>
  <c r="H223" i="23" a="1"/>
  <c r="H223" i="23" s="1"/>
  <c r="H258" i="23" a="1"/>
  <c r="H258" i="23" s="1"/>
  <c r="H293" i="23" a="1"/>
  <c r="H293" i="23" s="1"/>
  <c r="H328" i="23" a="1"/>
  <c r="H328" i="23" s="1"/>
  <c r="H363" i="23" a="1"/>
  <c r="H363" i="23" s="1"/>
  <c r="H398" i="23" a="1"/>
  <c r="H398" i="23" s="1"/>
  <c r="H433" i="23" a="1"/>
  <c r="H433" i="23" s="1"/>
  <c r="H468" i="23" a="1"/>
  <c r="H468" i="23" s="1"/>
  <c r="H503" i="23" a="1"/>
  <c r="H503" i="23" s="1"/>
  <c r="H538" i="23" a="1"/>
  <c r="H538" i="23" s="1"/>
  <c r="H573" i="23" a="1"/>
  <c r="H573" i="23" s="1"/>
  <c r="L5" i="10"/>
  <c r="T25" i="23" l="1"/>
  <c r="W25" i="23" s="1"/>
  <c r="X25" i="23" s="1"/>
  <c r="U25" i="23" s="1"/>
  <c r="T33" i="23"/>
  <c r="W33" i="23" s="1"/>
  <c r="X33" i="23" s="1"/>
  <c r="U33" i="23" s="1"/>
  <c r="T39" i="23"/>
  <c r="W39" i="23" s="1"/>
  <c r="T40" i="23"/>
  <c r="W40" i="23" s="1"/>
  <c r="T41" i="23"/>
  <c r="W41" i="23" s="1"/>
  <c r="T42" i="23"/>
  <c r="W42" i="23" s="1"/>
  <c r="T35" i="23"/>
  <c r="W35" i="23" s="1"/>
  <c r="T43" i="23"/>
  <c r="W43" i="23" s="1"/>
  <c r="T36" i="23"/>
  <c r="W36" i="23" s="1"/>
  <c r="T44" i="23"/>
  <c r="W44" i="23" s="1"/>
  <c r="T37" i="23"/>
  <c r="W37" i="23" s="1"/>
  <c r="T45" i="23"/>
  <c r="W45" i="23" s="1"/>
  <c r="T38" i="23"/>
  <c r="W38" i="23" s="1"/>
  <c r="T46" i="23"/>
  <c r="W46" i="23" s="1"/>
  <c r="T34" i="23"/>
  <c r="W34" i="23" s="1"/>
  <c r="X34" i="23" s="1"/>
  <c r="U34" i="23" s="1"/>
  <c r="T18" i="23"/>
  <c r="W18" i="23" s="1"/>
  <c r="X18" i="23" s="1"/>
  <c r="U18" i="23" s="1"/>
  <c r="B61" i="36" a="1"/>
  <c r="B61" i="36" s="1"/>
  <c r="T31" i="23"/>
  <c r="W31" i="23" s="1"/>
  <c r="X31" i="23" s="1"/>
  <c r="U31" i="23" s="1"/>
  <c r="T32" i="23"/>
  <c r="W32" i="23" s="1"/>
  <c r="X32" i="23" s="1"/>
  <c r="U32" i="23" s="1"/>
  <c r="T29" i="23"/>
  <c r="W29" i="23" s="1"/>
  <c r="X29" i="23" s="1"/>
  <c r="U29" i="23" s="1"/>
  <c r="T30" i="23"/>
  <c r="W30" i="23" s="1"/>
  <c r="X30" i="23" s="1"/>
  <c r="U30" i="23" s="1"/>
  <c r="T27" i="23"/>
  <c r="W27" i="23" s="1"/>
  <c r="X27" i="23" s="1"/>
  <c r="U27" i="23" s="1"/>
  <c r="T28" i="23"/>
  <c r="W28" i="23" s="1"/>
  <c r="X28" i="23" s="1"/>
  <c r="U28" i="23" s="1"/>
  <c r="T24" i="23"/>
  <c r="W24" i="23" s="1"/>
  <c r="X24" i="23" s="1"/>
  <c r="U24" i="23" s="1"/>
  <c r="T26" i="23"/>
  <c r="W26" i="23" s="1"/>
  <c r="X26" i="23" s="1"/>
  <c r="U26" i="23" s="1"/>
  <c r="T22" i="23"/>
  <c r="W22" i="23" s="1"/>
  <c r="X22" i="23" s="1"/>
  <c r="U22" i="23" s="1"/>
  <c r="T23" i="23"/>
  <c r="W23" i="23" s="1"/>
  <c r="X23" i="23" s="1"/>
  <c r="U23" i="23" s="1"/>
  <c r="T20" i="23"/>
  <c r="W20" i="23" s="1"/>
  <c r="X20" i="23" s="1"/>
  <c r="U20" i="23" s="1"/>
  <c r="T21" i="23"/>
  <c r="W21" i="23" s="1"/>
  <c r="X21" i="23" s="1"/>
  <c r="U21" i="23" s="1"/>
  <c r="T17" i="23"/>
  <c r="W17" i="23" s="1"/>
  <c r="X17" i="23" s="1"/>
  <c r="U17" i="23" s="1"/>
  <c r="T19" i="23"/>
  <c r="W19" i="23" s="1"/>
  <c r="X19" i="23" s="1"/>
  <c r="U19" i="23" s="1"/>
  <c r="T16" i="23"/>
  <c r="W16" i="23" s="1"/>
  <c r="X16" i="23" s="1"/>
  <c r="U16" i="23" s="1"/>
  <c r="T15" i="23"/>
  <c r="W15" i="23" s="1"/>
  <c r="H574" i="23"/>
  <c r="C572"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7"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2"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7"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2"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7"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2"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7"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2"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7"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2"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7"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2"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7"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2"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X15" i="23" l="1"/>
  <c r="U15" i="23" s="1"/>
  <c r="D19" i="36"/>
  <c r="B30" i="36" s="1" a="1"/>
  <c r="B30" i="36" s="1"/>
  <c r="K6" i="36"/>
  <c r="I16" i="23"/>
  <c r="B28" i="36" l="1" a="1"/>
  <c r="B28" i="36" s="1"/>
  <c r="B29" i="36" a="1"/>
  <c r="B29" i="36" s="1"/>
  <c r="B27" i="36" a="1"/>
  <c r="B27" i="36" s="1"/>
  <c r="F20" i="36"/>
  <c r="K9" i="36"/>
  <c r="K7" i="36"/>
  <c r="K14" i="36"/>
  <c r="K8" i="36"/>
  <c r="K13" i="36"/>
  <c r="K15" i="36"/>
  <c r="K12" i="36"/>
  <c r="K11" i="36"/>
  <c r="K10" i="36"/>
  <c r="A32" i="23" l="1"/>
  <c r="A23" i="23"/>
  <c r="A22" i="23"/>
  <c r="I22" i="23" l="1"/>
  <c r="I23" i="23"/>
  <c r="B32" i="23"/>
  <c r="B23" i="23"/>
  <c r="B22" i="23"/>
  <c r="A572"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7"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2"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7"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2"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7"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2"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7"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2"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7"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17" i="23"/>
  <c r="A18" i="23"/>
  <c r="A19" i="23"/>
  <c r="A20" i="23"/>
  <c r="A21" i="23"/>
  <c r="A24" i="23"/>
  <c r="A25" i="23"/>
  <c r="A26" i="23"/>
  <c r="A27" i="23"/>
  <c r="A28" i="23"/>
  <c r="A29" i="23"/>
  <c r="A30" i="23"/>
  <c r="A31" i="23"/>
  <c r="A33" i="23"/>
  <c r="A34" i="23"/>
  <c r="A35" i="23"/>
  <c r="A36" i="23"/>
  <c r="A37" i="23"/>
  <c r="A38" i="23"/>
  <c r="A39" i="23"/>
  <c r="A40" i="23"/>
  <c r="A41" i="23"/>
  <c r="A42" i="23"/>
  <c r="A43" i="23"/>
  <c r="A44" i="23"/>
  <c r="A45" i="23"/>
  <c r="A46" i="23"/>
  <c r="A47" i="23"/>
  <c r="A15" i="23"/>
  <c r="B91" i="23" l="1"/>
  <c r="B141" i="23"/>
  <c r="B175" i="23"/>
  <c r="B227" i="23"/>
  <c r="B269" i="23"/>
  <c r="B327" i="23"/>
  <c r="B361" i="23"/>
  <c r="B395" i="23"/>
  <c r="B421" i="23"/>
  <c r="B455" i="23"/>
  <c r="B473" i="23"/>
  <c r="B497" i="23"/>
  <c r="B531" i="23"/>
  <c r="B557" i="23"/>
  <c r="B100" i="23"/>
  <c r="B134" i="23"/>
  <c r="B168" i="23"/>
  <c r="B202" i="23"/>
  <c r="B236" i="23"/>
  <c r="B270" i="23"/>
  <c r="B320" i="23"/>
  <c r="B354" i="23"/>
  <c r="B388" i="23"/>
  <c r="B422" i="23"/>
  <c r="B448" i="23"/>
  <c r="B482" i="23"/>
  <c r="B542" i="23"/>
  <c r="B93" i="23"/>
  <c r="B127" i="23"/>
  <c r="B161" i="23"/>
  <c r="B195" i="23"/>
  <c r="B229" i="23"/>
  <c r="B245" i="23"/>
  <c r="B279" i="23"/>
  <c r="B313" i="23"/>
  <c r="B347" i="23"/>
  <c r="B381" i="23"/>
  <c r="B423" i="23"/>
  <c r="B457" i="23"/>
  <c r="B491" i="23"/>
  <c r="B517" i="23"/>
  <c r="B543" i="23"/>
  <c r="B86" i="23"/>
  <c r="B120" i="23"/>
  <c r="B152" i="23"/>
  <c r="B196" i="23"/>
  <c r="B230" i="23"/>
  <c r="B264" i="23"/>
  <c r="B306" i="23"/>
  <c r="B348" i="23"/>
  <c r="B382" i="23"/>
  <c r="B416" i="23"/>
  <c r="B458" i="23"/>
  <c r="B476" i="23"/>
  <c r="B500" i="23"/>
  <c r="B526" i="23"/>
  <c r="B90" i="23"/>
  <c r="B98" i="23"/>
  <c r="B106" i="23"/>
  <c r="B114" i="23"/>
  <c r="B124" i="23"/>
  <c r="B132" i="23"/>
  <c r="B140" i="23"/>
  <c r="B148" i="23"/>
  <c r="B158" i="23"/>
  <c r="B166" i="23"/>
  <c r="B174" i="23"/>
  <c r="B182" i="23"/>
  <c r="B192" i="23"/>
  <c r="B200" i="23"/>
  <c r="B208" i="23"/>
  <c r="B216" i="23"/>
  <c r="B226" i="23"/>
  <c r="B234" i="23"/>
  <c r="B242" i="23"/>
  <c r="B250" i="23"/>
  <c r="B260" i="23"/>
  <c r="B268" i="23"/>
  <c r="B276" i="23"/>
  <c r="B284" i="23"/>
  <c r="B292" i="23"/>
  <c r="B302" i="23"/>
  <c r="B310" i="23"/>
  <c r="B318" i="23"/>
  <c r="B326" i="23"/>
  <c r="B336" i="23"/>
  <c r="B344" i="23"/>
  <c r="B352" i="23"/>
  <c r="B360" i="23"/>
  <c r="B370" i="23"/>
  <c r="B378" i="23"/>
  <c r="B386" i="23"/>
  <c r="B394" i="23"/>
  <c r="B404" i="23"/>
  <c r="B412" i="23"/>
  <c r="B420" i="23"/>
  <c r="B428" i="23"/>
  <c r="B438" i="23"/>
  <c r="B446" i="23"/>
  <c r="B454" i="23"/>
  <c r="B462" i="23"/>
  <c r="B472" i="23"/>
  <c r="B480" i="23"/>
  <c r="B488" i="23"/>
  <c r="B496" i="23"/>
  <c r="B506" i="23"/>
  <c r="B514" i="23"/>
  <c r="B522" i="23"/>
  <c r="B530" i="23"/>
  <c r="B540" i="23"/>
  <c r="B548" i="23"/>
  <c r="B556" i="23"/>
  <c r="B564" i="23"/>
  <c r="B572" i="23"/>
  <c r="B295" i="23"/>
  <c r="B115" i="23"/>
  <c r="B311" i="23"/>
  <c r="B424" i="23"/>
  <c r="B534" i="23"/>
  <c r="B568" i="23"/>
  <c r="B99" i="23"/>
  <c r="B159" i="23"/>
  <c r="B183" i="23"/>
  <c r="B217" i="23"/>
  <c r="B251" i="23"/>
  <c r="B285" i="23"/>
  <c r="B319" i="23"/>
  <c r="B353" i="23"/>
  <c r="B387" i="23"/>
  <c r="B429" i="23"/>
  <c r="B463" i="23"/>
  <c r="B507" i="23"/>
  <c r="B541" i="23"/>
  <c r="B92" i="23"/>
  <c r="B126" i="23"/>
  <c r="B142" i="23"/>
  <c r="B176" i="23"/>
  <c r="B210" i="23"/>
  <c r="B244" i="23"/>
  <c r="B278" i="23"/>
  <c r="B304" i="23"/>
  <c r="B346" i="23"/>
  <c r="B380" i="23"/>
  <c r="B414" i="23"/>
  <c r="B456" i="23"/>
  <c r="B490" i="23"/>
  <c r="B524" i="23"/>
  <c r="B566" i="23"/>
  <c r="B85" i="23"/>
  <c r="B109" i="23"/>
  <c r="B135" i="23"/>
  <c r="B169" i="23"/>
  <c r="B211" i="23"/>
  <c r="B263" i="23"/>
  <c r="B287" i="23"/>
  <c r="B321" i="23"/>
  <c r="B355" i="23"/>
  <c r="B389" i="23"/>
  <c r="B415" i="23"/>
  <c r="B449" i="23"/>
  <c r="B483" i="23"/>
  <c r="B525" i="23"/>
  <c r="B551" i="23"/>
  <c r="B110" i="23"/>
  <c r="B144" i="23"/>
  <c r="B178" i="23"/>
  <c r="B220" i="23"/>
  <c r="B254" i="23"/>
  <c r="B280" i="23"/>
  <c r="B298" i="23"/>
  <c r="B332" i="23"/>
  <c r="B366" i="23"/>
  <c r="B408" i="23"/>
  <c r="B450" i="23"/>
  <c r="B492" i="23"/>
  <c r="B552" i="23"/>
  <c r="B103" i="23"/>
  <c r="B111" i="23"/>
  <c r="B121" i="23"/>
  <c r="B129" i="23"/>
  <c r="B137" i="23"/>
  <c r="B145" i="23"/>
  <c r="B155" i="23"/>
  <c r="B163" i="23"/>
  <c r="B171" i="23"/>
  <c r="B179" i="23"/>
  <c r="B187"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7" i="23"/>
  <c r="B477" i="23"/>
  <c r="B485" i="23"/>
  <c r="B493" i="23"/>
  <c r="B501" i="23"/>
  <c r="B511" i="23"/>
  <c r="B519" i="23"/>
  <c r="B527" i="23"/>
  <c r="B535" i="23"/>
  <c r="B545" i="23"/>
  <c r="B553" i="23"/>
  <c r="B561" i="23"/>
  <c r="B569" i="23"/>
  <c r="B107" i="23"/>
  <c r="B149" i="23"/>
  <c r="B193" i="23"/>
  <c r="B209" i="23"/>
  <c r="B243" i="23"/>
  <c r="B261" i="23"/>
  <c r="B303" i="23"/>
  <c r="B345" i="23"/>
  <c r="B379" i="23"/>
  <c r="B413" i="23"/>
  <c r="B447" i="23"/>
  <c r="B489" i="23"/>
  <c r="B523" i="23"/>
  <c r="B565" i="23"/>
  <c r="B108" i="23"/>
  <c r="B150" i="23"/>
  <c r="B184" i="23"/>
  <c r="B228" i="23"/>
  <c r="B262" i="23"/>
  <c r="B286" i="23"/>
  <c r="B312" i="23"/>
  <c r="B338" i="23"/>
  <c r="B372" i="23"/>
  <c r="B406" i="23"/>
  <c r="B440" i="23"/>
  <c r="B474" i="23"/>
  <c r="B498" i="23"/>
  <c r="B516" i="23"/>
  <c r="B532" i="23"/>
  <c r="B558" i="23"/>
  <c r="B101" i="23"/>
  <c r="B143" i="23"/>
  <c r="B177" i="23"/>
  <c r="B203" i="23"/>
  <c r="B219" i="23"/>
  <c r="B253" i="23"/>
  <c r="B297" i="23"/>
  <c r="B331" i="23"/>
  <c r="B365" i="23"/>
  <c r="B397" i="23"/>
  <c r="B431" i="23"/>
  <c r="B465" i="23"/>
  <c r="B499" i="23"/>
  <c r="B533" i="23"/>
  <c r="B567" i="23"/>
  <c r="B94" i="23"/>
  <c r="B128" i="23"/>
  <c r="B170" i="23"/>
  <c r="B204" i="23"/>
  <c r="B246" i="23"/>
  <c r="B288" i="23"/>
  <c r="B322" i="23"/>
  <c r="B356" i="23"/>
  <c r="B390" i="23"/>
  <c r="B442" i="23"/>
  <c r="B544" i="23"/>
  <c r="B138" i="23"/>
  <c r="B172" i="23"/>
  <c r="B190" i="23"/>
  <c r="B198" i="23"/>
  <c r="B206" i="23"/>
  <c r="B214" i="23"/>
  <c r="B222"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2" i="23"/>
  <c r="B512" i="23"/>
  <c r="B520" i="23"/>
  <c r="B528" i="23"/>
  <c r="B536" i="23"/>
  <c r="B546" i="23"/>
  <c r="B554" i="23"/>
  <c r="B562" i="23"/>
  <c r="B570" i="23"/>
  <c r="B125" i="23"/>
  <c r="B133" i="23"/>
  <c r="B167" i="23"/>
  <c r="B201" i="23"/>
  <c r="B235" i="23"/>
  <c r="B277" i="23"/>
  <c r="B337" i="23"/>
  <c r="B371" i="23"/>
  <c r="B405" i="23"/>
  <c r="B439" i="23"/>
  <c r="B481" i="23"/>
  <c r="B515" i="23"/>
  <c r="B549" i="23"/>
  <c r="B116" i="23"/>
  <c r="B160" i="23"/>
  <c r="B194" i="23"/>
  <c r="B218" i="23"/>
  <c r="B252" i="23"/>
  <c r="B296" i="23"/>
  <c r="B330" i="23"/>
  <c r="B362" i="23"/>
  <c r="B396" i="23"/>
  <c r="B430" i="23"/>
  <c r="B464" i="23"/>
  <c r="B508" i="23"/>
  <c r="B550" i="23"/>
  <c r="B117" i="23"/>
  <c r="B151" i="23"/>
  <c r="B185" i="23"/>
  <c r="B237" i="23"/>
  <c r="B271" i="23"/>
  <c r="B305" i="23"/>
  <c r="B339" i="23"/>
  <c r="B373" i="23"/>
  <c r="B407" i="23"/>
  <c r="B441" i="23"/>
  <c r="B475" i="23"/>
  <c r="B509" i="23"/>
  <c r="B559" i="23"/>
  <c r="B102" i="23"/>
  <c r="B136" i="23"/>
  <c r="B162" i="23"/>
  <c r="B186" i="23"/>
  <c r="B212" i="23"/>
  <c r="B238" i="23"/>
  <c r="B272" i="23"/>
  <c r="B314" i="23"/>
  <c r="B340" i="23"/>
  <c r="B374" i="23"/>
  <c r="B400" i="23"/>
  <c r="B432" i="23"/>
  <c r="B466" i="23"/>
  <c r="B484" i="23"/>
  <c r="B510" i="23"/>
  <c r="B518" i="23"/>
  <c r="B560" i="23"/>
  <c r="B87" i="23"/>
  <c r="B95" i="23"/>
  <c r="B88" i="23"/>
  <c r="B96" i="23"/>
  <c r="B104" i="23"/>
  <c r="B112" i="23"/>
  <c r="B122" i="23"/>
  <c r="B130" i="23"/>
  <c r="B146" i="23"/>
  <c r="B156" i="23"/>
  <c r="B164" i="23"/>
  <c r="B180" i="23"/>
  <c r="B89" i="23"/>
  <c r="B97" i="23"/>
  <c r="B105" i="23"/>
  <c r="B113" i="23"/>
  <c r="B123" i="23"/>
  <c r="B131" i="23"/>
  <c r="B139" i="23"/>
  <c r="B147" i="23"/>
  <c r="B157" i="23"/>
  <c r="B165" i="23"/>
  <c r="B173" i="23"/>
  <c r="B181" i="23"/>
  <c r="B191" i="23"/>
  <c r="B199" i="23"/>
  <c r="B207" i="23"/>
  <c r="B215" i="23"/>
  <c r="B225" i="23"/>
  <c r="B233" i="23"/>
  <c r="B241" i="23"/>
  <c r="B249" i="23"/>
  <c r="B257"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7" i="23"/>
  <c r="B547" i="23"/>
  <c r="B555" i="23"/>
  <c r="B563" i="23"/>
  <c r="B571" i="23"/>
  <c r="B60" i="23"/>
  <c r="B74" i="23"/>
  <c r="B82" i="23"/>
  <c r="B81" i="23"/>
  <c r="B80" i="23"/>
  <c r="B79" i="23"/>
  <c r="B78" i="23"/>
  <c r="B77" i="23"/>
  <c r="B76" i="23"/>
  <c r="B75" i="23"/>
  <c r="B73" i="23"/>
  <c r="B72" i="23"/>
  <c r="B71" i="23"/>
  <c r="B70" i="23"/>
  <c r="B69" i="23"/>
  <c r="B68" i="23"/>
  <c r="B67" i="23"/>
  <c r="B66" i="23"/>
  <c r="B65" i="23"/>
  <c r="B64" i="23"/>
  <c r="B63" i="23"/>
  <c r="B62" i="23"/>
  <c r="B61" i="23"/>
  <c r="B59" i="23"/>
  <c r="B58" i="23"/>
  <c r="B57" i="23"/>
  <c r="B56" i="23"/>
  <c r="B55" i="23"/>
  <c r="B54" i="23"/>
  <c r="B53" i="23"/>
  <c r="B52" i="23"/>
  <c r="B51" i="23"/>
  <c r="B50" i="23"/>
  <c r="B16" i="23"/>
  <c r="B17" i="23"/>
  <c r="B18" i="23"/>
  <c r="B19" i="23"/>
  <c r="B20" i="23"/>
  <c r="B21" i="23"/>
  <c r="B24" i="23"/>
  <c r="B25" i="23"/>
  <c r="B26" i="23"/>
  <c r="B27" i="23"/>
  <c r="B28" i="23"/>
  <c r="B29" i="23"/>
  <c r="B30" i="23"/>
  <c r="B31" i="23"/>
  <c r="B33" i="23"/>
  <c r="B34" i="23"/>
  <c r="B35" i="23"/>
  <c r="B36" i="23"/>
  <c r="B37" i="23"/>
  <c r="B38" i="23"/>
  <c r="B39" i="23"/>
  <c r="B40" i="23"/>
  <c r="B41" i="23"/>
  <c r="B42" i="23"/>
  <c r="B43" i="23"/>
  <c r="B44" i="23"/>
  <c r="B45" i="23"/>
  <c r="B46" i="23"/>
  <c r="B47" i="23"/>
  <c r="Q118" i="23" l="1" a="1"/>
  <c r="Q118" i="23" s="1"/>
  <c r="Q258" i="23" a="1"/>
  <c r="Q258" i="23" s="1"/>
  <c r="Q573" i="23" a="1"/>
  <c r="Q573" i="23" s="1"/>
  <c r="Q153" i="23" a="1"/>
  <c r="Q153" i="23" s="1"/>
  <c r="Q433" i="23" a="1"/>
  <c r="Q433" i="23" s="1"/>
  <c r="Q328" i="23" a="1"/>
  <c r="Q328" i="23" s="1"/>
  <c r="Q188" i="23" a="1"/>
  <c r="Q188" i="23" s="1"/>
  <c r="Q468" i="23" a="1"/>
  <c r="Q468" i="23" s="1"/>
  <c r="Q293" i="23" a="1"/>
  <c r="Q293" i="23" s="1"/>
  <c r="Q363" i="23" a="1"/>
  <c r="Q363" i="23" s="1"/>
  <c r="Q398" i="23" a="1"/>
  <c r="Q398" i="23" s="1"/>
  <c r="Q223" i="23" a="1"/>
  <c r="Q223" i="23" s="1"/>
  <c r="Q503" i="23" a="1"/>
  <c r="Q503" i="23" s="1"/>
  <c r="Q538" i="23" a="1"/>
  <c r="Q538" i="23" s="1"/>
  <c r="B67" i="36" l="1"/>
  <c r="Q83" i="23" a="1"/>
  <c r="Q83" i="23" s="1"/>
  <c r="Q48" i="23" a="1"/>
  <c r="Q48" i="23" s="1"/>
  <c r="B15" i="23"/>
  <c r="P574" i="23" l="1"/>
  <c r="O71" i="36"/>
  <c r="P71" i="36" s="1"/>
  <c r="Q71" i="36" s="1"/>
  <c r="R71" i="36" s="1"/>
  <c r="N30" i="23"/>
  <c r="O78" i="36"/>
  <c r="P78" i="36" s="1"/>
  <c r="Q78" i="36" s="1"/>
  <c r="R78" i="36" s="1"/>
  <c r="N16" i="23"/>
  <c r="O89" i="36"/>
  <c r="P89" i="36" s="1"/>
  <c r="Q89" i="36" s="1"/>
  <c r="R89" i="36" s="1"/>
  <c r="O90" i="36"/>
  <c r="P90" i="36" s="1"/>
  <c r="Q90" i="36" s="1"/>
  <c r="R90" i="36" s="1"/>
  <c r="N17" i="23"/>
  <c r="N33" i="23"/>
  <c r="O82" i="36"/>
  <c r="P82" i="36" s="1"/>
  <c r="Q82" i="36" s="1"/>
  <c r="R82" i="36" s="1"/>
  <c r="O73" i="36"/>
  <c r="P73" i="36" s="1"/>
  <c r="Q73" i="36" s="1"/>
  <c r="R73" i="36" s="1"/>
  <c r="O91" i="36"/>
  <c r="P91" i="36" s="1"/>
  <c r="Q91" i="36" s="1"/>
  <c r="R91" i="36" s="1"/>
  <c r="N34" i="23"/>
  <c r="N19" i="23"/>
  <c r="O80" i="36"/>
  <c r="P80" i="36" s="1"/>
  <c r="Q80" i="36" s="1"/>
  <c r="R80" i="36" s="1"/>
  <c r="F55" i="2"/>
  <c r="O85" i="36"/>
  <c r="P85" i="36" s="1"/>
  <c r="Q85" i="36" s="1"/>
  <c r="R85" i="36" s="1"/>
  <c r="N23" i="23"/>
  <c r="N26" i="23"/>
  <c r="O74" i="36"/>
  <c r="P74" i="36" s="1"/>
  <c r="Q74" i="36" s="1"/>
  <c r="R74" i="36" s="1"/>
  <c r="N32" i="23"/>
  <c r="O81" i="36"/>
  <c r="P81" i="36" s="1"/>
  <c r="Q81" i="36" s="1"/>
  <c r="R81" i="36" s="1"/>
  <c r="O72" i="36"/>
  <c r="P72" i="36" s="1"/>
  <c r="Q72" i="36" s="1"/>
  <c r="R72" i="36" s="1"/>
  <c r="N29" i="23"/>
  <c r="N24" i="23"/>
  <c r="N21" i="23"/>
  <c r="O77" i="36"/>
  <c r="P77" i="36" s="1"/>
  <c r="Q77" i="36" s="1"/>
  <c r="R77" i="36" s="1"/>
  <c r="O83" i="36"/>
  <c r="P83" i="36" s="1"/>
  <c r="Q83" i="36" s="1"/>
  <c r="R83" i="36" s="1"/>
  <c r="O76" i="36"/>
  <c r="P76" i="36" s="1"/>
  <c r="Q76" i="36" s="1"/>
  <c r="R76" i="36" s="1"/>
  <c r="O88" i="36"/>
  <c r="P88" i="36" s="1"/>
  <c r="Q88" i="36" s="1"/>
  <c r="R88" i="36" s="1"/>
  <c r="N18" i="23"/>
  <c r="N27" i="23"/>
  <c r="O75" i="36"/>
  <c r="P75" i="36" s="1"/>
  <c r="Q75" i="36" s="1"/>
  <c r="R75" i="36" s="1"/>
  <c r="O79" i="36"/>
  <c r="P79" i="36" s="1"/>
  <c r="Q79" i="36" s="1"/>
  <c r="R79" i="36" s="1"/>
  <c r="N28" i="23"/>
  <c r="N31" i="23"/>
  <c r="N20" i="23"/>
  <c r="N15" i="23"/>
  <c r="O84" i="36"/>
  <c r="P84" i="36" s="1"/>
  <c r="Q84" i="36" s="1"/>
  <c r="R84" i="36" s="1"/>
  <c r="O86" i="36"/>
  <c r="P86" i="36" s="1"/>
  <c r="Q86" i="36" s="1"/>
  <c r="R86" i="36" s="1"/>
  <c r="O87" i="36"/>
  <c r="P87" i="36" s="1"/>
  <c r="Q87" i="36" s="1"/>
  <c r="R87" i="36" s="1"/>
  <c r="N22" i="23"/>
  <c r="N25"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B64" i="36" l="1"/>
  <c r="R570" i="23"/>
  <c r="R562" i="23"/>
  <c r="R554" i="23"/>
  <c r="R546" i="23"/>
  <c r="R568" i="23"/>
  <c r="R560" i="23"/>
  <c r="R552" i="23"/>
  <c r="R544" i="23"/>
  <c r="R566" i="23"/>
  <c r="R558" i="23"/>
  <c r="R550" i="23"/>
  <c r="R542" i="23"/>
  <c r="R543" i="23"/>
  <c r="R553" i="23"/>
  <c r="R564" i="23"/>
  <c r="R540" i="23"/>
  <c r="R563" i="23"/>
  <c r="R569" i="23"/>
  <c r="R551" i="23"/>
  <c r="R548" i="23"/>
  <c r="R549" i="23"/>
  <c r="R545" i="23"/>
  <c r="R572" i="23"/>
  <c r="R571" i="23"/>
  <c r="R559" i="23"/>
  <c r="R541" i="23"/>
  <c r="R557" i="23"/>
  <c r="R567" i="23"/>
  <c r="R547" i="23"/>
  <c r="R565" i="23"/>
  <c r="R556" i="23"/>
  <c r="R561" i="23"/>
  <c r="R555" i="23"/>
  <c r="R506" i="23"/>
  <c r="R535" i="23"/>
  <c r="R527" i="23"/>
  <c r="R519" i="23"/>
  <c r="R511" i="23"/>
  <c r="R514" i="23"/>
  <c r="R533" i="23"/>
  <c r="R525" i="23"/>
  <c r="R517" i="23"/>
  <c r="R509" i="23"/>
  <c r="R531" i="23"/>
  <c r="R523" i="23"/>
  <c r="R515" i="23"/>
  <c r="R507" i="23"/>
  <c r="R505" i="23"/>
  <c r="R513" i="23"/>
  <c r="R532" i="23"/>
  <c r="R529" i="23"/>
  <c r="R537" i="23"/>
  <c r="R508" i="23"/>
  <c r="R510" i="23"/>
  <c r="R512" i="23"/>
  <c r="R518" i="23"/>
  <c r="R516" i="23"/>
  <c r="R520" i="23"/>
  <c r="R534" i="23"/>
  <c r="R530" i="23"/>
  <c r="R524" i="23"/>
  <c r="R521" i="23"/>
  <c r="R528" i="23"/>
  <c r="R522" i="23"/>
  <c r="R526" i="23"/>
  <c r="R536" i="23"/>
  <c r="R500" i="23"/>
  <c r="R492" i="23"/>
  <c r="R484" i="23"/>
  <c r="R476" i="23"/>
  <c r="R498" i="23"/>
  <c r="R490" i="23"/>
  <c r="R482" i="23"/>
  <c r="R474" i="23"/>
  <c r="R501" i="23"/>
  <c r="R493" i="23"/>
  <c r="R485" i="23"/>
  <c r="R477" i="23"/>
  <c r="R496" i="23"/>
  <c r="R488" i="23"/>
  <c r="R480" i="23"/>
  <c r="R472" i="23"/>
  <c r="R487" i="23"/>
  <c r="R502" i="23"/>
  <c r="R491" i="23"/>
  <c r="R471" i="23"/>
  <c r="R497" i="23"/>
  <c r="R483" i="23"/>
  <c r="R470" i="23"/>
  <c r="R489" i="23"/>
  <c r="R473" i="23"/>
  <c r="R495" i="23"/>
  <c r="R479" i="23"/>
  <c r="R486" i="23"/>
  <c r="R499" i="23"/>
  <c r="R475" i="23"/>
  <c r="R481" i="23"/>
  <c r="R494" i="23"/>
  <c r="R478" i="23"/>
  <c r="R436" i="23"/>
  <c r="R444" i="23"/>
  <c r="R460" i="23"/>
  <c r="R463" i="23"/>
  <c r="R455" i="23"/>
  <c r="R447" i="23"/>
  <c r="R439" i="23"/>
  <c r="R466" i="23"/>
  <c r="R458" i="23"/>
  <c r="R450" i="23"/>
  <c r="R442" i="23"/>
  <c r="R452" i="23"/>
  <c r="R457" i="23"/>
  <c r="R441" i="23"/>
  <c r="R448" i="23"/>
  <c r="R437" i="23"/>
  <c r="R465" i="23"/>
  <c r="R462" i="23"/>
  <c r="R454" i="23"/>
  <c r="R445" i="23"/>
  <c r="R440" i="23"/>
  <c r="R461" i="23"/>
  <c r="R456" i="23"/>
  <c r="R446" i="23"/>
  <c r="R435" i="23"/>
  <c r="R464" i="23"/>
  <c r="R453" i="23"/>
  <c r="R467" i="23"/>
  <c r="R443" i="23"/>
  <c r="R438" i="23"/>
  <c r="R459" i="23"/>
  <c r="R449" i="23"/>
  <c r="R451" i="23"/>
  <c r="R430" i="23"/>
  <c r="R422" i="23"/>
  <c r="R414" i="23"/>
  <c r="R406" i="23"/>
  <c r="R425" i="23"/>
  <c r="R417" i="23"/>
  <c r="R409" i="23"/>
  <c r="R401" i="23"/>
  <c r="R428" i="23"/>
  <c r="R420" i="23"/>
  <c r="R412" i="23"/>
  <c r="R404" i="23"/>
  <c r="R426" i="23"/>
  <c r="R418" i="23"/>
  <c r="R410" i="23"/>
  <c r="R402" i="23"/>
  <c r="R419" i="23"/>
  <c r="R411" i="23"/>
  <c r="R416" i="23"/>
  <c r="R400" i="23"/>
  <c r="R424" i="23"/>
  <c r="R421" i="23"/>
  <c r="R429" i="23"/>
  <c r="R427" i="23"/>
  <c r="R432" i="23"/>
  <c r="R403" i="23"/>
  <c r="R407" i="23"/>
  <c r="R415" i="23"/>
  <c r="R413" i="23"/>
  <c r="R423" i="23"/>
  <c r="R405" i="23"/>
  <c r="R431" i="23"/>
  <c r="R408" i="23"/>
  <c r="R366" i="23"/>
  <c r="R390" i="23"/>
  <c r="R382" i="23"/>
  <c r="R393" i="23"/>
  <c r="R385" i="23"/>
  <c r="R369" i="23"/>
  <c r="R396" i="23"/>
  <c r="R388" i="23"/>
  <c r="R380" i="23"/>
  <c r="R372" i="23"/>
  <c r="R383" i="23"/>
  <c r="R375" i="23"/>
  <c r="R367" i="23"/>
  <c r="R374" i="23"/>
  <c r="R377" i="23"/>
  <c r="R370" i="23"/>
  <c r="R389" i="23"/>
  <c r="R387" i="23"/>
  <c r="R391" i="23"/>
  <c r="R397" i="23"/>
  <c r="R365" i="23"/>
  <c r="R386" i="23"/>
  <c r="R368" i="23"/>
  <c r="R395" i="23"/>
  <c r="R392" i="23"/>
  <c r="R394" i="23"/>
  <c r="R378" i="23"/>
  <c r="R371" i="23"/>
  <c r="R381" i="23"/>
  <c r="R373" i="23"/>
  <c r="R376" i="23"/>
  <c r="R379" i="23"/>
  <c r="R384" i="23"/>
  <c r="R355" i="23"/>
  <c r="R347" i="23"/>
  <c r="R339" i="23"/>
  <c r="R331" i="23"/>
  <c r="R358" i="23"/>
  <c r="R350" i="23"/>
  <c r="R342" i="23"/>
  <c r="R334" i="23"/>
  <c r="R361" i="23"/>
  <c r="R353" i="23"/>
  <c r="R345" i="23"/>
  <c r="R337" i="23"/>
  <c r="R348" i="23"/>
  <c r="R340" i="23"/>
  <c r="R332" i="23"/>
  <c r="R343" i="23"/>
  <c r="R330" i="23"/>
  <c r="R346" i="23"/>
  <c r="R336" i="23"/>
  <c r="R338" i="23"/>
  <c r="R349" i="23"/>
  <c r="R356" i="23"/>
  <c r="R352" i="23"/>
  <c r="R354" i="23"/>
  <c r="R362" i="23"/>
  <c r="R359" i="23"/>
  <c r="R333" i="23"/>
  <c r="R344" i="23"/>
  <c r="R351" i="23"/>
  <c r="R335" i="23"/>
  <c r="R357" i="23"/>
  <c r="R360" i="23"/>
  <c r="R341" i="23"/>
  <c r="R321" i="23"/>
  <c r="R297" i="23"/>
  <c r="R305" i="23"/>
  <c r="R326" i="23"/>
  <c r="R318" i="23"/>
  <c r="R310" i="23"/>
  <c r="R302" i="23"/>
  <c r="R313" i="23"/>
  <c r="R322" i="23"/>
  <c r="R300" i="23"/>
  <c r="R316" i="23"/>
  <c r="R307" i="23"/>
  <c r="R327" i="23"/>
  <c r="R299" i="23"/>
  <c r="R308" i="23"/>
  <c r="R319" i="23"/>
  <c r="R303" i="23"/>
  <c r="R314" i="23"/>
  <c r="R298" i="23"/>
  <c r="R306" i="23"/>
  <c r="R320" i="23"/>
  <c r="R311" i="23"/>
  <c r="R304" i="23"/>
  <c r="R312" i="23"/>
  <c r="R325" i="23"/>
  <c r="R295" i="23"/>
  <c r="R309" i="23"/>
  <c r="R317" i="23"/>
  <c r="R324" i="23"/>
  <c r="R296" i="23"/>
  <c r="R315" i="23"/>
  <c r="R323" i="23"/>
  <c r="R301" i="23"/>
  <c r="R286" i="23"/>
  <c r="R278" i="23"/>
  <c r="R262" i="23"/>
  <c r="R270" i="23"/>
  <c r="R291" i="23"/>
  <c r="R283" i="23"/>
  <c r="R275" i="23"/>
  <c r="R267" i="23"/>
  <c r="R290" i="23"/>
  <c r="R292" i="23"/>
  <c r="R260" i="23"/>
  <c r="R265" i="23"/>
  <c r="R266" i="23"/>
  <c r="R261" i="23"/>
  <c r="R272" i="23"/>
  <c r="R287" i="23"/>
  <c r="R271" i="23"/>
  <c r="R289" i="23"/>
  <c r="R284" i="23"/>
  <c r="R264" i="23"/>
  <c r="R277" i="23"/>
  <c r="R263" i="23"/>
  <c r="R269" i="23"/>
  <c r="R282" i="23"/>
  <c r="R268" i="23"/>
  <c r="R274" i="23"/>
  <c r="R276" i="23"/>
  <c r="R288" i="23"/>
  <c r="R279" i="23"/>
  <c r="R273" i="23"/>
  <c r="R280" i="23"/>
  <c r="R281" i="23"/>
  <c r="R285" i="23"/>
  <c r="R251" i="23"/>
  <c r="R227" i="23"/>
  <c r="R243" i="23"/>
  <c r="R235" i="23"/>
  <c r="R256" i="23"/>
  <c r="R248" i="23"/>
  <c r="R240" i="23"/>
  <c r="R232" i="23"/>
  <c r="R252" i="23"/>
  <c r="R225" i="23"/>
  <c r="R231" i="23"/>
  <c r="R257" i="23"/>
  <c r="R229" i="23"/>
  <c r="R230" i="23"/>
  <c r="R226" i="23"/>
  <c r="R237" i="23"/>
  <c r="R233" i="23"/>
  <c r="R241" i="23"/>
  <c r="R249" i="23"/>
  <c r="R238" i="23"/>
  <c r="R228" i="23"/>
  <c r="R236" i="23"/>
  <c r="R244" i="23"/>
  <c r="R234" i="23"/>
  <c r="R242" i="23"/>
  <c r="R250" i="23"/>
  <c r="R239" i="23"/>
  <c r="R247" i="23"/>
  <c r="R254" i="23"/>
  <c r="R255" i="23"/>
  <c r="R245" i="23"/>
  <c r="R253" i="23"/>
  <c r="R246" i="23"/>
  <c r="R212" i="23"/>
  <c r="R204" i="23"/>
  <c r="R220" i="23"/>
  <c r="R196" i="23"/>
  <c r="R207" i="23"/>
  <c r="R199" i="23"/>
  <c r="R191" i="23"/>
  <c r="R215" i="23"/>
  <c r="R218" i="23"/>
  <c r="R210" i="23"/>
  <c r="R202" i="23"/>
  <c r="R194" i="23"/>
  <c r="R216" i="23"/>
  <c r="R208" i="23"/>
  <c r="R200" i="23"/>
  <c r="R192" i="23"/>
  <c r="R195" i="23"/>
  <c r="R219" i="23"/>
  <c r="R201" i="23"/>
  <c r="R214" i="23"/>
  <c r="R222" i="23"/>
  <c r="R203" i="23"/>
  <c r="R197" i="23"/>
  <c r="R209" i="23"/>
  <c r="R205" i="23"/>
  <c r="R190" i="23"/>
  <c r="R198" i="23"/>
  <c r="R213" i="23"/>
  <c r="R221" i="23"/>
  <c r="R211" i="23"/>
  <c r="R193" i="23"/>
  <c r="R217" i="23"/>
  <c r="R206" i="23"/>
  <c r="R169" i="23"/>
  <c r="R161" i="23"/>
  <c r="R164" i="23"/>
  <c r="R156" i="23"/>
  <c r="R177" i="23"/>
  <c r="R172" i="23"/>
  <c r="R185" i="23"/>
  <c r="R180" i="23"/>
  <c r="R183" i="23"/>
  <c r="R175" i="23"/>
  <c r="R167" i="23"/>
  <c r="R159" i="23"/>
  <c r="R181" i="23"/>
  <c r="R173" i="23"/>
  <c r="R165" i="23"/>
  <c r="R157" i="23"/>
  <c r="R155" i="23"/>
  <c r="R187" i="23"/>
  <c r="R158" i="23"/>
  <c r="R163" i="23"/>
  <c r="R162" i="23"/>
  <c r="R171" i="23"/>
  <c r="R184" i="23"/>
  <c r="R170" i="23"/>
  <c r="R160" i="23"/>
  <c r="R168" i="23"/>
  <c r="R178" i="23"/>
  <c r="R166" i="23"/>
  <c r="R174" i="23"/>
  <c r="R186" i="23"/>
  <c r="R182" i="23"/>
  <c r="R179" i="23"/>
  <c r="R176" i="23"/>
  <c r="R145" i="23"/>
  <c r="R137" i="23"/>
  <c r="R121" i="23"/>
  <c r="R148" i="23"/>
  <c r="R140" i="23"/>
  <c r="R132" i="23"/>
  <c r="R124" i="23"/>
  <c r="R151" i="23"/>
  <c r="R143" i="23"/>
  <c r="R135" i="23"/>
  <c r="R127" i="23"/>
  <c r="R129" i="23"/>
  <c r="R141" i="23"/>
  <c r="R120" i="23"/>
  <c r="R147" i="23"/>
  <c r="R150" i="23"/>
  <c r="R138" i="23"/>
  <c r="R126" i="23"/>
  <c r="R128" i="23"/>
  <c r="R122" i="23"/>
  <c r="R142" i="23"/>
  <c r="R133" i="23"/>
  <c r="R134" i="23"/>
  <c r="R123" i="23"/>
  <c r="R149" i="23"/>
  <c r="R139" i="23"/>
  <c r="R144" i="23"/>
  <c r="R130" i="23"/>
  <c r="R125" i="23"/>
  <c r="R146" i="23"/>
  <c r="R136" i="23"/>
  <c r="R131" i="23"/>
  <c r="R152" i="23"/>
  <c r="R110" i="23"/>
  <c r="R102" i="23"/>
  <c r="R94" i="23"/>
  <c r="R86" i="23"/>
  <c r="R113" i="23"/>
  <c r="R105" i="23"/>
  <c r="R97" i="23"/>
  <c r="R89" i="23"/>
  <c r="R116" i="23"/>
  <c r="R108" i="23"/>
  <c r="R100" i="23"/>
  <c r="R92" i="23"/>
  <c r="R103" i="23"/>
  <c r="R95" i="23"/>
  <c r="R87" i="23"/>
  <c r="R112" i="23"/>
  <c r="R98" i="23"/>
  <c r="R104" i="23"/>
  <c r="R115" i="23"/>
  <c r="R91" i="23"/>
  <c r="R107" i="23"/>
  <c r="R109" i="23"/>
  <c r="R101" i="23"/>
  <c r="R114" i="23"/>
  <c r="R90" i="23"/>
  <c r="R111" i="23"/>
  <c r="R88" i="23"/>
  <c r="R85" i="23"/>
  <c r="R96" i="23"/>
  <c r="R117" i="23"/>
  <c r="R93" i="23"/>
  <c r="R106" i="23"/>
  <c r="R99" i="23"/>
  <c r="R75" i="23"/>
  <c r="R67" i="23"/>
  <c r="R59" i="23"/>
  <c r="R51" i="23"/>
  <c r="R78" i="23"/>
  <c r="R70" i="23"/>
  <c r="R62" i="23"/>
  <c r="R54" i="23"/>
  <c r="R81" i="23"/>
  <c r="R73" i="23"/>
  <c r="R65" i="23"/>
  <c r="R57" i="23"/>
  <c r="R71" i="23"/>
  <c r="R56" i="23"/>
  <c r="R55" i="23"/>
  <c r="R77" i="23"/>
  <c r="R79" i="23"/>
  <c r="R74" i="23"/>
  <c r="R61" i="23"/>
  <c r="R68" i="23"/>
  <c r="R72" i="23"/>
  <c r="R58" i="23"/>
  <c r="R52" i="23"/>
  <c r="R63" i="23"/>
  <c r="R64" i="23"/>
  <c r="R53" i="23"/>
  <c r="R80" i="23"/>
  <c r="R69" i="23"/>
  <c r="R60" i="23"/>
  <c r="R50" i="23"/>
  <c r="R76" i="23"/>
  <c r="R66" i="23"/>
  <c r="R82" i="2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B63" i="36" l="1"/>
  <c r="B62" i="36"/>
  <c r="H71" i="30"/>
  <c r="E61" i="36" l="1"/>
  <c r="E62" i="36" s="1"/>
  <c r="B66" i="36" s="1"/>
  <c r="B68" i="36"/>
  <c r="F56" i="2"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L31" i="23" l="1"/>
  <c r="M31" i="23" l="1"/>
  <c r="O31" i="23" s="1"/>
  <c r="L33" i="23"/>
  <c r="L26" i="23"/>
  <c r="L23" i="23"/>
  <c r="L15" i="23"/>
  <c r="M15" i="23" s="1"/>
  <c r="O15" i="23" s="1"/>
  <c r="L34" i="23"/>
  <c r="L21" i="23"/>
  <c r="L20" i="23"/>
  <c r="L28" i="23"/>
  <c r="L22" i="23"/>
  <c r="L30" i="23"/>
  <c r="L18" i="23"/>
  <c r="L29" i="23"/>
  <c r="L32" i="23"/>
  <c r="L19" i="23"/>
  <c r="L25" i="23"/>
  <c r="M25" i="23" s="1"/>
  <c r="O25" i="23" s="1"/>
  <c r="L27" i="23"/>
  <c r="L24" i="23"/>
  <c r="F58" i="2"/>
  <c r="L16" i="23"/>
  <c r="M16" i="23" s="1"/>
  <c r="O16" i="23" s="1"/>
  <c r="L17" i="23"/>
  <c r="M17" i="23" s="1"/>
  <c r="O17" i="23" s="1"/>
  <c r="I45" i="23"/>
  <c r="R16" i="23" l="1"/>
  <c r="R31" i="23"/>
  <c r="M30" i="23"/>
  <c r="O30" i="23" s="1"/>
  <c r="M23" i="23"/>
  <c r="O23" i="23" s="1"/>
  <c r="M26" i="23"/>
  <c r="O26" i="23" s="1"/>
  <c r="M21" i="23"/>
  <c r="O21" i="23" s="1"/>
  <c r="M33" i="23"/>
  <c r="O33" i="23" s="1"/>
  <c r="M18" i="23"/>
  <c r="O18" i="23" s="1"/>
  <c r="M24" i="23"/>
  <c r="O24" i="23" s="1"/>
  <c r="M22" i="23"/>
  <c r="O22" i="23" s="1"/>
  <c r="M27" i="23"/>
  <c r="O27" i="23" s="1"/>
  <c r="M28" i="23"/>
  <c r="O28" i="23" s="1"/>
  <c r="M20" i="23"/>
  <c r="O20" i="23" s="1"/>
  <c r="M19" i="23"/>
  <c r="O19" i="23" s="1"/>
  <c r="M32" i="23"/>
  <c r="O32" i="23" s="1"/>
  <c r="M29" i="23"/>
  <c r="O29" i="23" s="1"/>
  <c r="M34" i="23"/>
  <c r="O34" i="23" s="1"/>
  <c r="I25" i="23"/>
  <c r="AA19" i="23" l="1"/>
  <c r="R19" i="23"/>
  <c r="AA21" i="23"/>
  <c r="R21" i="23"/>
  <c r="R22" i="23"/>
  <c r="AA22" i="23"/>
  <c r="R28" i="23"/>
  <c r="R33" i="23"/>
  <c r="AA20" i="23"/>
  <c r="R20" i="23"/>
  <c r="R30" i="23"/>
  <c r="AA30" i="23"/>
  <c r="R26" i="23"/>
  <c r="R34" i="23"/>
  <c r="AA24" i="23"/>
  <c r="R24" i="23"/>
  <c r="R27" i="23"/>
  <c r="R23" i="23"/>
  <c r="AA23" i="23"/>
  <c r="R29" i="23"/>
  <c r="R32" i="23"/>
  <c r="R18" i="23"/>
  <c r="AA18" i="23"/>
  <c r="AA31" i="23"/>
  <c r="R25" i="23"/>
  <c r="AA25" i="23"/>
  <c r="AA34" i="23"/>
  <c r="R15" i="23"/>
  <c r="AA15" i="23"/>
  <c r="F17" i="1" s="1"/>
  <c r="R17" i="23"/>
  <c r="I42" i="23"/>
  <c r="I34" i="23"/>
  <c r="I21" i="23"/>
  <c r="I41" i="23"/>
  <c r="I33" i="23"/>
  <c r="I20" i="23"/>
  <c r="I40" i="23"/>
  <c r="I31" i="23"/>
  <c r="I19" i="23"/>
  <c r="I39" i="23"/>
  <c r="I30" i="23"/>
  <c r="I18" i="23"/>
  <c r="I47" i="23"/>
  <c r="I38" i="23"/>
  <c r="I29" i="23"/>
  <c r="I26" i="23"/>
  <c r="I46" i="23"/>
  <c r="I37" i="23"/>
  <c r="I28" i="23"/>
  <c r="I44" i="23"/>
  <c r="I36" i="23"/>
  <c r="I27" i="23"/>
  <c r="I43" i="23"/>
  <c r="I35" i="23"/>
  <c r="I24" i="23"/>
  <c r="I431" i="23"/>
  <c r="I439" i="23"/>
  <c r="I446" i="23"/>
  <c r="I452" i="23"/>
  <c r="I465" i="23"/>
  <c r="I473" i="23"/>
  <c r="I480" i="23"/>
  <c r="I486" i="23"/>
  <c r="I499" i="23"/>
  <c r="I507" i="23"/>
  <c r="I514" i="23"/>
  <c r="I520" i="23"/>
  <c r="I541" i="23"/>
  <c r="I85" i="23"/>
  <c r="I180" i="23"/>
  <c r="I275" i="23"/>
  <c r="I322" i="23"/>
  <c r="I383" i="23"/>
  <c r="I451" i="23"/>
  <c r="I553" i="23"/>
  <c r="I132" i="23"/>
  <c r="I152" i="23"/>
  <c r="I209" i="23"/>
  <c r="I263" i="23"/>
  <c r="I331" i="23"/>
  <c r="I98" i="23"/>
  <c r="I176" i="23"/>
  <c r="I221" i="23"/>
  <c r="I249" i="23"/>
  <c r="I264" i="23"/>
  <c r="I270" i="23"/>
  <c r="I283" i="23"/>
  <c r="I289" i="23"/>
  <c r="I298" i="23"/>
  <c r="I304" i="23"/>
  <c r="I317" i="23"/>
  <c r="I323" i="23"/>
  <c r="I332" i="23"/>
  <c r="I338" i="23"/>
  <c r="I351" i="23"/>
  <c r="I357" i="23"/>
  <c r="I366" i="23"/>
  <c r="I372" i="23"/>
  <c r="I385" i="23"/>
  <c r="I391" i="23"/>
  <c r="I400" i="23"/>
  <c r="I406" i="23"/>
  <c r="I419" i="23"/>
  <c r="I425" i="23"/>
  <c r="I432" i="23"/>
  <c r="I440" i="23"/>
  <c r="I453" i="23"/>
  <c r="I459" i="23"/>
  <c r="I466" i="23"/>
  <c r="I474" i="23"/>
  <c r="I487" i="23"/>
  <c r="I493" i="23"/>
  <c r="I500" i="23"/>
  <c r="I508" i="23"/>
  <c r="I527" i="23"/>
  <c r="I561" i="23"/>
  <c r="I107" i="23"/>
  <c r="I228" i="23"/>
  <c r="I315" i="23"/>
  <c r="I417" i="23"/>
  <c r="I464" i="23"/>
  <c r="I513" i="23"/>
  <c r="I97" i="23"/>
  <c r="I128" i="23"/>
  <c r="I148" i="23"/>
  <c r="I204" i="23"/>
  <c r="I248" i="23"/>
  <c r="I297" i="23"/>
  <c r="I250" i="23"/>
  <c r="I311" i="23"/>
  <c r="I339" i="23"/>
  <c r="I345" i="23"/>
  <c r="I352" i="23"/>
  <c r="I358" i="23"/>
  <c r="I373" i="23"/>
  <c r="I379" i="23"/>
  <c r="I386" i="23"/>
  <c r="I392" i="23"/>
  <c r="I407" i="23"/>
  <c r="I413" i="23"/>
  <c r="I420" i="23"/>
  <c r="I426" i="23"/>
  <c r="I441" i="23"/>
  <c r="I447" i="23"/>
  <c r="I454" i="23"/>
  <c r="I460" i="23"/>
  <c r="I475" i="23"/>
  <c r="I481" i="23"/>
  <c r="I488" i="23"/>
  <c r="I494" i="23"/>
  <c r="I509" i="23"/>
  <c r="I515" i="23"/>
  <c r="I522" i="23"/>
  <c r="I549" i="23"/>
  <c r="I442" i="23"/>
  <c r="I448" i="23"/>
  <c r="I461" i="23"/>
  <c r="I467" i="23"/>
  <c r="I476" i="23"/>
  <c r="I482" i="23"/>
  <c r="I495" i="23"/>
  <c r="I501" i="23"/>
  <c r="I510" i="23"/>
  <c r="I516" i="23"/>
  <c r="I535" i="23"/>
  <c r="I569" i="23"/>
  <c r="I67" i="23"/>
  <c r="I78" i="23"/>
  <c r="I120" i="23"/>
  <c r="I198" i="23"/>
  <c r="I241" i="23"/>
  <c r="I254" i="23"/>
  <c r="I309" i="23"/>
  <c r="I349" i="23"/>
  <c r="I362" i="23"/>
  <c r="I390" i="23"/>
  <c r="I445" i="23"/>
  <c r="I479" i="23"/>
  <c r="I519" i="23"/>
  <c r="I55" i="23"/>
  <c r="I73" i="23"/>
  <c r="I121" i="23"/>
  <c r="I159" i="23"/>
  <c r="I175" i="23"/>
  <c r="I242" i="23"/>
  <c r="I282" i="23"/>
  <c r="I310" i="23"/>
  <c r="I344" i="23"/>
  <c r="I378" i="23"/>
  <c r="I418" i="23"/>
  <c r="I56" i="23"/>
  <c r="I74" i="23"/>
  <c r="I79" i="23"/>
  <c r="I160" i="23"/>
  <c r="I181" i="23"/>
  <c r="I210" i="23"/>
  <c r="I215" i="23"/>
  <c r="I69" i="23"/>
  <c r="I104" i="23"/>
  <c r="I109" i="23"/>
  <c r="I200" i="23"/>
  <c r="I243" i="23"/>
  <c r="I256" i="23"/>
  <c r="I305" i="23"/>
  <c r="I58" i="23"/>
  <c r="I99" i="23"/>
  <c r="I177" i="23"/>
  <c r="I195" i="23"/>
  <c r="I225" i="23"/>
  <c r="I244" i="23"/>
  <c r="I265" i="23"/>
  <c r="I291" i="23"/>
  <c r="I312" i="23"/>
  <c r="I325" i="23"/>
  <c r="I346" i="23"/>
  <c r="I359" i="23"/>
  <c r="I367" i="23"/>
  <c r="I393" i="23"/>
  <c r="I401" i="23"/>
  <c r="I65" i="23"/>
  <c r="I81" i="23"/>
  <c r="I100" i="23"/>
  <c r="I105" i="23"/>
  <c r="I116" i="23"/>
  <c r="I124" i="23"/>
  <c r="I130" i="23"/>
  <c r="I134" i="23"/>
  <c r="I138" i="23"/>
  <c r="I142" i="23"/>
  <c r="I146" i="23"/>
  <c r="I150" i="23"/>
  <c r="I156" i="23"/>
  <c r="I162" i="23"/>
  <c r="I167" i="23"/>
  <c r="I178" i="23"/>
  <c r="I183" i="23"/>
  <c r="I196" i="23"/>
  <c r="I201" i="23"/>
  <c r="I212" i="23"/>
  <c r="I217" i="23"/>
  <c r="I226" i="23"/>
  <c r="I232" i="23"/>
  <c r="I245" i="23"/>
  <c r="I251" i="23"/>
  <c r="I260" i="23"/>
  <c r="I266" i="23"/>
  <c r="I279" i="23"/>
  <c r="I285" i="23"/>
  <c r="I292" i="23"/>
  <c r="I300" i="23"/>
  <c r="I313" i="23"/>
  <c r="I319" i="23"/>
  <c r="I326" i="23"/>
  <c r="I334" i="23"/>
  <c r="I347" i="23"/>
  <c r="I353" i="23"/>
  <c r="I360" i="23"/>
  <c r="I368" i="23"/>
  <c r="I381" i="23"/>
  <c r="I387" i="23"/>
  <c r="I394" i="23"/>
  <c r="I402" i="23"/>
  <c r="I415" i="23"/>
  <c r="I421" i="23"/>
  <c r="I428" i="23"/>
  <c r="I436" i="23"/>
  <c r="I449" i="23"/>
  <c r="I455" i="23"/>
  <c r="I462" i="23"/>
  <c r="I470" i="23"/>
  <c r="I483" i="23"/>
  <c r="I489" i="23"/>
  <c r="I496" i="23"/>
  <c r="I502" i="23"/>
  <c r="I523" i="23"/>
  <c r="I557" i="23"/>
  <c r="I62" i="23"/>
  <c r="I102" i="23"/>
  <c r="I164" i="23"/>
  <c r="I203" i="23"/>
  <c r="I247" i="23"/>
  <c r="I262" i="23"/>
  <c r="I288" i="23"/>
  <c r="I330" i="23"/>
  <c r="I377" i="23"/>
  <c r="I396" i="23"/>
  <c r="I430" i="23"/>
  <c r="I458" i="23"/>
  <c r="I492" i="23"/>
  <c r="I498" i="23"/>
  <c r="I68" i="23"/>
  <c r="I108" i="23"/>
  <c r="I136" i="23"/>
  <c r="I144" i="23"/>
  <c r="I193" i="23"/>
  <c r="I235" i="23"/>
  <c r="I276" i="23"/>
  <c r="I303" i="23"/>
  <c r="I337" i="23"/>
  <c r="I365" i="23"/>
  <c r="I384" i="23"/>
  <c r="I405" i="23"/>
  <c r="I103" i="23"/>
  <c r="I122" i="23"/>
  <c r="I194" i="23"/>
  <c r="I236" i="23"/>
  <c r="I64" i="23"/>
  <c r="I80" i="23"/>
  <c r="I88" i="23"/>
  <c r="I171" i="23"/>
  <c r="I182" i="23"/>
  <c r="I187" i="23"/>
  <c r="I237" i="23"/>
  <c r="I277" i="23"/>
  <c r="I290" i="23"/>
  <c r="I324" i="23"/>
  <c r="I70" i="23"/>
  <c r="I75" i="23"/>
  <c r="I110" i="23"/>
  <c r="I172" i="23"/>
  <c r="I206" i="23"/>
  <c r="I238" i="23"/>
  <c r="I272" i="23"/>
  <c r="I306" i="23"/>
  <c r="I333" i="23"/>
  <c r="I374" i="23"/>
  <c r="I408" i="23"/>
  <c r="I427" i="23"/>
  <c r="I52" i="23"/>
  <c r="I66" i="23"/>
  <c r="I82" i="23"/>
  <c r="I95" i="23"/>
  <c r="I125" i="23"/>
  <c r="I157" i="23"/>
  <c r="I168" i="23"/>
  <c r="I173" i="23"/>
  <c r="I184" i="23"/>
  <c r="I191" i="23"/>
  <c r="I202" i="23"/>
  <c r="I207" i="23"/>
  <c r="I218" i="23"/>
  <c r="I233" i="23"/>
  <c r="I239" i="23"/>
  <c r="I246" i="23"/>
  <c r="I252" i="23"/>
  <c r="I267" i="23"/>
  <c r="I273" i="23"/>
  <c r="I280" i="23"/>
  <c r="I286" i="23"/>
  <c r="I301" i="23"/>
  <c r="I307" i="23"/>
  <c r="I314" i="23"/>
  <c r="I320" i="23"/>
  <c r="I335" i="23"/>
  <c r="I341" i="23"/>
  <c r="I348" i="23"/>
  <c r="I354" i="23"/>
  <c r="I369" i="23"/>
  <c r="I375" i="23"/>
  <c r="I382" i="23"/>
  <c r="I388" i="23"/>
  <c r="I403" i="23"/>
  <c r="I409" i="23"/>
  <c r="I416" i="23"/>
  <c r="I422" i="23"/>
  <c r="I437" i="23"/>
  <c r="I443" i="23"/>
  <c r="I450" i="23"/>
  <c r="I456" i="23"/>
  <c r="I471" i="23"/>
  <c r="I477" i="23"/>
  <c r="I484" i="23"/>
  <c r="I490" i="23"/>
  <c r="I505" i="23"/>
  <c r="I511" i="23"/>
  <c r="I518" i="23"/>
  <c r="I545" i="23"/>
  <c r="I54" i="23"/>
  <c r="I91" i="23"/>
  <c r="I127" i="23"/>
  <c r="I169" i="23"/>
  <c r="I185" i="23"/>
  <c r="I214" i="23"/>
  <c r="I220" i="23"/>
  <c r="I281" i="23"/>
  <c r="I296" i="23"/>
  <c r="I343" i="23"/>
  <c r="I356" i="23"/>
  <c r="I411" i="23"/>
  <c r="I424" i="23"/>
  <c r="I485" i="23"/>
  <c r="I526" i="23"/>
  <c r="I92" i="23"/>
  <c r="I113" i="23"/>
  <c r="I140" i="23"/>
  <c r="I170" i="23"/>
  <c r="I186" i="23"/>
  <c r="I229" i="23"/>
  <c r="I269" i="23"/>
  <c r="I316" i="23"/>
  <c r="I350" i="23"/>
  <c r="I371" i="23"/>
  <c r="I397" i="23"/>
  <c r="I412" i="23"/>
  <c r="I63" i="23"/>
  <c r="I87" i="23"/>
  <c r="I114" i="23"/>
  <c r="I165" i="23"/>
  <c r="I199" i="23"/>
  <c r="I230" i="23"/>
  <c r="I255" i="23"/>
  <c r="I93" i="23"/>
  <c r="I166" i="23"/>
  <c r="I205" i="23"/>
  <c r="I216" i="23"/>
  <c r="I222" i="23"/>
  <c r="I271" i="23"/>
  <c r="I284" i="23"/>
  <c r="I318" i="23"/>
  <c r="I50" i="23"/>
  <c r="I94" i="23"/>
  <c r="I115" i="23"/>
  <c r="I161" i="23"/>
  <c r="I190" i="23"/>
  <c r="I211" i="23"/>
  <c r="I231" i="23"/>
  <c r="I257" i="23"/>
  <c r="I278" i="23"/>
  <c r="I299" i="23"/>
  <c r="I340" i="23"/>
  <c r="I380" i="23"/>
  <c r="I414" i="23"/>
  <c r="I435" i="23"/>
  <c r="I51" i="23"/>
  <c r="I59" i="23"/>
  <c r="I76" i="23"/>
  <c r="I60" i="23"/>
  <c r="I71" i="23"/>
  <c r="I90" i="23"/>
  <c r="I106" i="23"/>
  <c r="I111" i="23"/>
  <c r="I72" i="23"/>
  <c r="I77" i="23"/>
  <c r="I96" i="23"/>
  <c r="I101" i="23"/>
  <c r="I112" i="23"/>
  <c r="I117" i="23"/>
  <c r="I158" i="23"/>
  <c r="I163" i="23"/>
  <c r="I174" i="23"/>
  <c r="I179" i="23"/>
  <c r="I192" i="23"/>
  <c r="I197" i="23"/>
  <c r="I208" i="23"/>
  <c r="I213" i="23"/>
  <c r="I219" i="23"/>
  <c r="I227" i="23"/>
  <c r="I234" i="23"/>
  <c r="I240" i="23"/>
  <c r="I253" i="23"/>
  <c r="I261" i="23"/>
  <c r="I268" i="23"/>
  <c r="I274" i="23"/>
  <c r="I287" i="23"/>
  <c r="I295" i="23"/>
  <c r="I302" i="23"/>
  <c r="I308" i="23"/>
  <c r="I321" i="23"/>
  <c r="I327" i="23"/>
  <c r="I336" i="23"/>
  <c r="I342" i="23"/>
  <c r="I355" i="23"/>
  <c r="I361" i="23"/>
  <c r="I370" i="23"/>
  <c r="I376" i="23"/>
  <c r="I389" i="23"/>
  <c r="I395" i="23"/>
  <c r="I404" i="23"/>
  <c r="I410" i="23"/>
  <c r="I423" i="23"/>
  <c r="I429" i="23"/>
  <c r="I438" i="23"/>
  <c r="I444" i="23"/>
  <c r="I457" i="23"/>
  <c r="I463" i="23"/>
  <c r="I472" i="23"/>
  <c r="I478" i="23"/>
  <c r="I491" i="23"/>
  <c r="I497" i="23"/>
  <c r="I506" i="23"/>
  <c r="I512" i="23"/>
  <c r="I531" i="23"/>
  <c r="I565" i="23"/>
  <c r="I57" i="23"/>
  <c r="I86" i="23"/>
  <c r="I123" i="23"/>
  <c r="I129" i="23"/>
  <c r="I133" i="23"/>
  <c r="I137" i="23"/>
  <c r="I141" i="23"/>
  <c r="I145" i="23"/>
  <c r="I149" i="23"/>
  <c r="I155" i="23"/>
  <c r="I524" i="23"/>
  <c r="I528" i="23"/>
  <c r="I532" i="23"/>
  <c r="I536" i="23"/>
  <c r="I542" i="23"/>
  <c r="I546" i="23"/>
  <c r="I550" i="23"/>
  <c r="I554" i="23"/>
  <c r="I558" i="23"/>
  <c r="I562" i="23"/>
  <c r="I566" i="23"/>
  <c r="I570" i="23"/>
  <c r="I525" i="23"/>
  <c r="I529" i="23"/>
  <c r="I533" i="23"/>
  <c r="I537" i="23"/>
  <c r="I543" i="23"/>
  <c r="I547" i="23"/>
  <c r="I551" i="23"/>
  <c r="I555" i="23"/>
  <c r="I559" i="23"/>
  <c r="I563" i="23"/>
  <c r="I567" i="23"/>
  <c r="I571" i="23"/>
  <c r="I517" i="23"/>
  <c r="I521" i="23"/>
  <c r="I53" i="23"/>
  <c r="I61" i="23"/>
  <c r="I89" i="23"/>
  <c r="I126" i="23"/>
  <c r="I131" i="23"/>
  <c r="I135" i="23"/>
  <c r="I139" i="23"/>
  <c r="I143" i="23"/>
  <c r="I147" i="23"/>
  <c r="I151" i="23"/>
  <c r="I530" i="23"/>
  <c r="I534" i="23"/>
  <c r="I540" i="23"/>
  <c r="I544" i="23"/>
  <c r="I548" i="23"/>
  <c r="I552" i="23"/>
  <c r="I556" i="23"/>
  <c r="I560" i="23"/>
  <c r="I564" i="23"/>
  <c r="I568" i="23"/>
  <c r="I572" i="23"/>
  <c r="I15" i="23"/>
  <c r="AB34" i="23" l="1"/>
  <c r="F36" i="1"/>
  <c r="AB25" i="23"/>
  <c r="F27" i="1"/>
  <c r="AB31" i="23"/>
  <c r="F33" i="1"/>
  <c r="AB18" i="23"/>
  <c r="F20" i="1"/>
  <c r="AB23" i="23"/>
  <c r="F25" i="1"/>
  <c r="AB24" i="23"/>
  <c r="F26" i="1"/>
  <c r="AB30" i="23"/>
  <c r="F32" i="1"/>
  <c r="AB20" i="23"/>
  <c r="F22" i="1"/>
  <c r="AB22" i="23"/>
  <c r="F24" i="1"/>
  <c r="AB21" i="23"/>
  <c r="F23" i="1"/>
  <c r="AB19" i="23"/>
  <c r="F21" i="1"/>
  <c r="AA29" i="23"/>
  <c r="AA27" i="23"/>
  <c r="AA28" i="23"/>
  <c r="AA32" i="23"/>
  <c r="AA33" i="23"/>
  <c r="AA26" i="23"/>
  <c r="AA17" i="23"/>
  <c r="AB15" i="23"/>
  <c r="AA16" i="23"/>
  <c r="AZ12" i="23"/>
  <c r="AB16" i="23" l="1"/>
  <c r="F18" i="1"/>
  <c r="AB17" i="23"/>
  <c r="F19" i="1"/>
  <c r="AB26" i="23"/>
  <c r="F28" i="1"/>
  <c r="AB33" i="23"/>
  <c r="F35" i="1"/>
  <c r="AB32" i="23"/>
  <c r="F34" i="1"/>
  <c r="AB28" i="23"/>
  <c r="F30" i="1"/>
  <c r="AB27" i="23"/>
  <c r="F29" i="1"/>
  <c r="AB29" i="23"/>
  <c r="F31" i="1"/>
  <c r="AB503" i="23" a="1"/>
  <c r="AB503" i="23" s="1"/>
  <c r="AB293" i="23" a="1"/>
  <c r="AB293" i="23" s="1"/>
  <c r="AB363" i="23" a="1"/>
  <c r="AB363" i="23" s="1"/>
  <c r="AB538" i="23" a="1"/>
  <c r="AB538" i="23" s="1"/>
  <c r="AB188" i="23" a="1"/>
  <c r="AB188" i="23" s="1"/>
  <c r="AB118" i="23" a="1"/>
  <c r="AB118" i="23" s="1"/>
  <c r="AB223" i="23" a="1"/>
  <c r="AB223" i="23" s="1"/>
  <c r="AB328" i="23" a="1"/>
  <c r="AB328" i="23" s="1"/>
  <c r="AB398" i="23" a="1"/>
  <c r="AB398" i="23" s="1"/>
  <c r="AB258" i="23" a="1"/>
  <c r="AB258" i="23" s="1"/>
  <c r="AB433" i="23" a="1"/>
  <c r="AB433" i="23" s="1"/>
  <c r="AB468" i="23" a="1"/>
  <c r="AB468" i="23" s="1"/>
  <c r="R573" i="23" a="1"/>
  <c r="R573" i="23" s="1"/>
  <c r="R118" i="23" a="1"/>
  <c r="R118" i="23" s="1"/>
  <c r="R433" i="23" a="1"/>
  <c r="R433" i="23" s="1"/>
  <c r="R293" i="23" a="1"/>
  <c r="R293" i="23" s="1"/>
  <c r="R363" i="23" a="1"/>
  <c r="R363" i="23" s="1"/>
  <c r="R188" i="23" a="1"/>
  <c r="R188" i="23" s="1"/>
  <c r="R398" i="23" a="1"/>
  <c r="R398" i="23" s="1"/>
  <c r="R328" i="23" a="1"/>
  <c r="R328" i="23" s="1"/>
  <c r="R223" i="23" a="1"/>
  <c r="R223" i="23" s="1"/>
  <c r="R83" i="23" a="1"/>
  <c r="R83" i="23" s="1"/>
  <c r="R258" i="23" a="1"/>
  <c r="R258" i="23" s="1"/>
  <c r="R503" i="23" a="1"/>
  <c r="R503" i="23" s="1"/>
  <c r="R538" i="23" a="1"/>
  <c r="R538" i="23" s="1"/>
  <c r="R468" i="23" a="1"/>
  <c r="R468" i="23" s="1"/>
  <c r="R153" i="23" a="1"/>
  <c r="R153" i="23" s="1"/>
  <c r="AB83" i="23" l="1" a="1"/>
  <c r="AB83" i="23" s="1"/>
  <c r="AB153" i="23" a="1"/>
  <c r="AB153" i="23" s="1"/>
  <c r="AB573" i="23" a="1"/>
  <c r="AB573" i="23" s="1"/>
  <c r="R48" i="23" a="1"/>
  <c r="R48" i="23" s="1"/>
  <c r="R574"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l="1"/>
  <c r="F30" i="15" l="1"/>
  <c r="F13" i="15"/>
  <c r="A4" i="1"/>
  <c r="B4" i="37" s="1"/>
  <c r="C48" i="2"/>
  <c r="A91" i="2"/>
  <c r="B55" i="2"/>
  <c r="B56"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B9" i="15" l="1"/>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B48" i="23" l="1" a="1"/>
  <c r="AB48" i="23" s="1"/>
  <c r="E6" i="23" s="1" a="1"/>
  <c r="E6" i="23" s="1"/>
  <c r="AB574" i="23" l="1"/>
  <c r="E4" i="23" s="1"/>
  <c r="AE516" i="23" l="1"/>
  <c r="AE117" i="23"/>
  <c r="AE297" i="23"/>
  <c r="AE475" i="23"/>
  <c r="AE87" i="23"/>
  <c r="AE443" i="23"/>
  <c r="AE112" i="23"/>
  <c r="AE316" i="23"/>
  <c r="AE127" i="23"/>
  <c r="AE313" i="23"/>
  <c r="AE397" i="23"/>
  <c r="AE483" i="23"/>
  <c r="AE466" i="23"/>
  <c r="AE568" i="23"/>
  <c r="AE95" i="23"/>
  <c r="AE569" i="23"/>
  <c r="AE130" i="23"/>
  <c r="AE222" i="23"/>
  <c r="AE334" i="23"/>
  <c r="AE133" i="23"/>
  <c r="AE108" i="23"/>
  <c r="AE51" i="23"/>
  <c r="AE135" i="23"/>
  <c r="AE229" i="23"/>
  <c r="AE212" i="23"/>
  <c r="AE306" i="23"/>
  <c r="AE390" i="23"/>
  <c r="AE375" i="23"/>
  <c r="AE485" i="23"/>
  <c r="AE216" i="23"/>
  <c r="AE201" i="23"/>
  <c r="AE176" i="23"/>
  <c r="AE415" i="23"/>
  <c r="AE517" i="23"/>
  <c r="AE128" i="23"/>
  <c r="AE111" i="23"/>
  <c r="AE213" i="23"/>
  <c r="AE299" i="23"/>
  <c r="AE146" i="23"/>
  <c r="AE350" i="23"/>
  <c r="AE301" i="23"/>
  <c r="AE67" i="23"/>
  <c r="AE161" i="23"/>
  <c r="AE253" i="23"/>
  <c r="AE339" i="23"/>
  <c r="AE431" i="23"/>
  <c r="AE238" i="23"/>
  <c r="AE322" i="23"/>
  <c r="AE416" i="23"/>
  <c r="AE510" i="23"/>
  <c r="AE401" i="23"/>
  <c r="AE501" i="23"/>
  <c r="AE62" i="23"/>
  <c r="AE156" i="23"/>
  <c r="AE266" i="23"/>
  <c r="AE352" i="23"/>
  <c r="AE312" i="23"/>
  <c r="AE75" i="23"/>
  <c r="AE177" i="23"/>
  <c r="AE533" i="23"/>
  <c r="AE60" i="23"/>
  <c r="AE162" i="23"/>
  <c r="AE246" i="23"/>
  <c r="AE332" i="23"/>
  <c r="AE145" i="23"/>
  <c r="AE315" i="23"/>
  <c r="AE417" i="23"/>
  <c r="AE511" i="23"/>
  <c r="AE384" i="23"/>
  <c r="AE97" i="23"/>
  <c r="AE437" i="23"/>
  <c r="AE420" i="23"/>
  <c r="AE405" i="23"/>
  <c r="AE389" i="23"/>
  <c r="AE567" i="23"/>
  <c r="AE186" i="23"/>
  <c r="AE374" i="23"/>
  <c r="AE552" i="23"/>
  <c r="AE561" i="23"/>
  <c r="AE65" i="23"/>
  <c r="AE170" i="23"/>
  <c r="AE365" i="23"/>
  <c r="AE457" i="23"/>
  <c r="AE543" i="23"/>
  <c r="AE76" i="23"/>
  <c r="AE526" i="23"/>
  <c r="AE61" i="23"/>
  <c r="AE155" i="23"/>
  <c r="AE239" i="23"/>
  <c r="AE402" i="23"/>
  <c r="AE113" i="23"/>
  <c r="AE505" i="23"/>
  <c r="AE195" i="23"/>
  <c r="AE381" i="23"/>
  <c r="AE465" i="23"/>
  <c r="AE551" i="23"/>
  <c r="AE366" i="23"/>
  <c r="AE450" i="23"/>
  <c r="AE534" i="23"/>
  <c r="AE77" i="23"/>
  <c r="AE553" i="23"/>
  <c r="AE88" i="23"/>
  <c r="AE206" i="23"/>
  <c r="AE290" i="23"/>
  <c r="AE571" i="23"/>
  <c r="AE556" i="23"/>
  <c r="AE541" i="23"/>
  <c r="AE456" i="23"/>
  <c r="AE388" i="23"/>
  <c r="AE50" i="23"/>
  <c r="AE549" i="23"/>
  <c r="AE481" i="23"/>
  <c r="AE413" i="23"/>
  <c r="AE73" i="23"/>
  <c r="AE564" i="23"/>
  <c r="AE496" i="23"/>
  <c r="AE428" i="23"/>
  <c r="AE360" i="23"/>
  <c r="AE90" i="23"/>
  <c r="AE513" i="23"/>
  <c r="AE445" i="23"/>
  <c r="AE105" i="23"/>
  <c r="AE528" i="23"/>
  <c r="AE460" i="23"/>
  <c r="AE122" i="23"/>
  <c r="AE54" i="23"/>
  <c r="AE545" i="23"/>
  <c r="AE477" i="23"/>
  <c r="AE409" i="23"/>
  <c r="AE137" i="23"/>
  <c r="AE560" i="23"/>
  <c r="AE492" i="23"/>
  <c r="AE86" i="23"/>
  <c r="AE509" i="23"/>
  <c r="AE101" i="23"/>
  <c r="AE168" i="23"/>
  <c r="AE100" i="23"/>
  <c r="AE193" i="23"/>
  <c r="AE125" i="23"/>
  <c r="AE57" i="23"/>
  <c r="AE548" i="23"/>
  <c r="AE208" i="23"/>
  <c r="AE140" i="23"/>
  <c r="AE72" i="23"/>
  <c r="AE563" i="23"/>
  <c r="AE225" i="23"/>
  <c r="AE157" i="23"/>
  <c r="AE89" i="23"/>
  <c r="AE172" i="23"/>
  <c r="AE104" i="23"/>
  <c r="AE187" i="23"/>
  <c r="AE121" i="23"/>
  <c r="AE544" i="23"/>
  <c r="AE204" i="23"/>
  <c r="AE136" i="23"/>
  <c r="AE559" i="23"/>
  <c r="AE219" i="23"/>
  <c r="AE151" i="23"/>
  <c r="AE555" i="23"/>
  <c r="AE351" i="23"/>
  <c r="AE283" i="23"/>
  <c r="AE570" i="23"/>
  <c r="AE368" i="23"/>
  <c r="AE300" i="23"/>
  <c r="AE164" i="23"/>
  <c r="AE566" i="23"/>
  <c r="AE430" i="23"/>
  <c r="AE362" i="23"/>
  <c r="AE296" i="23"/>
  <c r="AE523" i="23"/>
  <c r="AE455" i="23"/>
  <c r="AE387" i="23"/>
  <c r="AE540" i="23"/>
  <c r="AE472" i="23"/>
  <c r="AE404" i="23"/>
  <c r="AE558" i="23"/>
  <c r="AE490" i="23"/>
  <c r="AE422" i="23"/>
  <c r="AE82" i="23"/>
  <c r="AE515" i="23"/>
  <c r="AE447" i="23"/>
  <c r="AE107" i="23"/>
  <c r="AE530" i="23"/>
  <c r="AE462" i="23"/>
  <c r="AE124" i="23"/>
  <c r="AE56" i="23"/>
  <c r="AE547" i="23"/>
  <c r="AE479" i="23"/>
  <c r="AE139" i="23"/>
  <c r="AE71" i="23"/>
  <c r="AE562" i="23"/>
  <c r="AE494" i="23"/>
  <c r="AE550" i="23"/>
  <c r="AE346" i="23"/>
  <c r="AE210" i="23"/>
  <c r="AE142" i="23"/>
  <c r="AE303" i="23"/>
  <c r="AE235" i="23"/>
  <c r="AE167" i="23"/>
  <c r="AE318" i="23"/>
  <c r="AE250" i="23"/>
  <c r="AE182" i="23"/>
  <c r="AE403" i="23"/>
  <c r="AE267" i="23"/>
  <c r="AE199" i="23"/>
  <c r="AE554" i="23"/>
  <c r="AE542" i="23"/>
  <c r="AE474" i="23"/>
  <c r="AE406" i="23"/>
  <c r="AE66" i="23"/>
  <c r="AE565" i="23"/>
  <c r="AE497" i="23"/>
  <c r="AE429" i="23"/>
  <c r="AE91" i="23"/>
  <c r="AE514" i="23"/>
  <c r="AE106" i="23"/>
  <c r="AE529" i="23"/>
  <c r="AE123" i="23"/>
  <c r="AE546" i="23"/>
  <c r="AE262" i="23"/>
  <c r="AE194" i="23"/>
  <c r="AE557" i="23"/>
  <c r="AE285" i="23"/>
  <c r="AE217" i="23"/>
  <c r="AE149" i="23"/>
  <c r="AE572" i="23"/>
  <c r="AE302" i="23"/>
  <c r="AE234" i="23"/>
  <c r="AE166" i="23"/>
  <c r="AE317" i="23"/>
  <c r="AE524" i="23" l="1"/>
  <c r="AE536" i="23"/>
  <c r="AE521" i="23"/>
  <c r="AE506" i="23"/>
  <c r="AE537" i="23"/>
  <c r="AE522" i="23"/>
  <c r="AE507" i="23"/>
  <c r="AE519" i="23"/>
  <c r="AE535" i="23"/>
  <c r="AE518" i="23"/>
  <c r="AE532" i="23"/>
  <c r="AE527" i="23"/>
  <c r="AE512" i="23"/>
  <c r="AE525" i="23"/>
  <c r="AE520" i="23"/>
  <c r="AE531" i="23"/>
  <c r="AE508" i="23"/>
  <c r="AE498" i="23"/>
  <c r="AE487" i="23"/>
  <c r="AE470" i="23"/>
  <c r="AE500" i="23"/>
  <c r="AE486" i="23"/>
  <c r="AE471" i="23"/>
  <c r="AE502" i="23"/>
  <c r="AE499" i="23"/>
  <c r="AE476" i="23"/>
  <c r="AE473" i="23"/>
  <c r="AE493" i="23"/>
  <c r="AE488" i="23"/>
  <c r="AE484" i="23"/>
  <c r="AE489" i="23"/>
  <c r="AE491" i="23"/>
  <c r="AE480" i="23"/>
  <c r="AE495" i="23"/>
  <c r="AE478" i="23"/>
  <c r="AE482" i="23"/>
  <c r="AE436" i="23"/>
  <c r="AE467" i="23"/>
  <c r="AE453" i="23"/>
  <c r="AE438" i="23"/>
  <c r="AE454" i="23"/>
  <c r="AE439" i="23"/>
  <c r="AE451" i="23"/>
  <c r="AE435" i="23"/>
  <c r="AE442" i="23"/>
  <c r="AE449" i="23"/>
  <c r="AE458" i="23"/>
  <c r="AE459" i="23"/>
  <c r="AE444" i="23"/>
  <c r="AE448" i="23"/>
  <c r="AE464" i="23"/>
  <c r="AE441" i="23"/>
  <c r="AE452" i="23"/>
  <c r="AE461" i="23"/>
  <c r="AE446" i="23"/>
  <c r="AE463" i="23"/>
  <c r="AE440" i="23"/>
  <c r="AE418" i="23"/>
  <c r="AE414" i="23"/>
  <c r="AE419" i="23"/>
  <c r="AE423" i="23"/>
  <c r="AE408" i="23"/>
  <c r="AE400" i="23"/>
  <c r="AE427" i="23"/>
  <c r="AE412" i="23"/>
  <c r="AE407" i="23"/>
  <c r="AE425" i="23"/>
  <c r="AE432" i="23"/>
  <c r="AE421" i="23"/>
  <c r="AE410" i="23"/>
  <c r="AE426" i="23"/>
  <c r="AE411" i="23"/>
  <c r="AE424" i="23"/>
  <c r="AE382" i="23"/>
  <c r="AE370" i="23"/>
  <c r="AE386" i="23"/>
  <c r="AE371" i="23"/>
  <c r="AE385" i="23"/>
  <c r="AE396" i="23"/>
  <c r="AE391" i="23"/>
  <c r="AE376" i="23"/>
  <c r="AE369" i="23"/>
  <c r="AE367" i="23"/>
  <c r="AE395" i="23"/>
  <c r="AE372" i="23"/>
  <c r="AE373" i="23"/>
  <c r="AE380" i="23"/>
  <c r="AE383" i="23"/>
  <c r="AE393" i="23"/>
  <c r="AE378" i="23"/>
  <c r="AE394" i="23"/>
  <c r="AE379" i="23"/>
  <c r="AE392" i="23"/>
  <c r="AE377" i="23"/>
  <c r="AE337" i="23"/>
  <c r="AE335" i="23"/>
  <c r="AE353" i="23"/>
  <c r="AE330" i="23"/>
  <c r="AE355" i="23"/>
  <c r="AE340" i="23"/>
  <c r="AE331" i="23"/>
  <c r="AE359" i="23"/>
  <c r="AE344" i="23"/>
  <c r="AE342" i="23"/>
  <c r="AE336" i="23"/>
  <c r="AE349" i="23"/>
  <c r="AE348" i="23"/>
  <c r="AE357" i="23"/>
  <c r="AE347" i="23"/>
  <c r="AE341" i="23"/>
  <c r="AE358" i="23"/>
  <c r="AE343" i="23"/>
  <c r="AE361" i="23"/>
  <c r="AE338" i="23"/>
  <c r="AE354" i="23"/>
  <c r="AE345" i="23"/>
  <c r="AE333" i="23"/>
  <c r="AE356" i="23"/>
  <c r="AE323" i="23"/>
  <c r="AE308" i="23"/>
  <c r="AE298" i="23"/>
  <c r="AE327" i="23"/>
  <c r="AE304" i="23"/>
  <c r="AE307" i="23"/>
  <c r="AE305" i="23"/>
  <c r="AE314" i="23"/>
  <c r="AE311" i="23"/>
  <c r="AE324" i="23"/>
  <c r="AE309" i="23"/>
  <c r="AE321" i="23"/>
  <c r="AE319" i="23"/>
  <c r="AE320" i="23"/>
  <c r="AE325" i="23"/>
  <c r="AE310" i="23"/>
  <c r="AE295" i="23"/>
  <c r="AE326" i="23"/>
  <c r="AE278" i="23"/>
  <c r="AE279" i="23"/>
  <c r="AE282" i="23"/>
  <c r="AE289" i="23"/>
  <c r="AE265" i="23"/>
  <c r="AE287" i="23"/>
  <c r="AE291" i="23"/>
  <c r="AE276" i="23"/>
  <c r="AE261" i="23"/>
  <c r="AE271" i="23"/>
  <c r="AE264" i="23"/>
  <c r="AE274" i="23"/>
  <c r="AE275" i="23"/>
  <c r="AE260" i="23"/>
  <c r="AE288" i="23"/>
  <c r="AE273" i="23"/>
  <c r="AE269" i="23"/>
  <c r="AE281" i="23"/>
  <c r="AE280" i="23"/>
  <c r="AE292" i="23"/>
  <c r="AE277" i="23"/>
  <c r="AE263" i="23"/>
  <c r="AE284" i="23"/>
  <c r="AE286" i="23"/>
  <c r="AE268" i="23"/>
  <c r="AE272" i="23"/>
  <c r="AE270" i="23"/>
  <c r="AE255" i="23"/>
  <c r="AE240" i="23"/>
  <c r="AE231" i="23"/>
  <c r="AE248" i="23"/>
  <c r="AE249" i="23"/>
  <c r="AE236" i="23"/>
  <c r="AE237" i="23"/>
  <c r="AE244" i="23"/>
  <c r="AE245" i="23"/>
  <c r="AE256" i="23"/>
  <c r="AE241" i="23"/>
  <c r="AE226" i="23"/>
  <c r="AE232" i="23"/>
  <c r="AE233" i="23"/>
  <c r="AE252" i="23"/>
  <c r="AE247" i="23"/>
  <c r="AE254" i="23"/>
  <c r="AE230" i="23"/>
  <c r="AE257" i="23"/>
  <c r="AE251" i="23"/>
  <c r="AE242" i="23"/>
  <c r="AE227" i="23"/>
  <c r="AE243" i="23"/>
  <c r="AE228" i="23"/>
  <c r="AE211" i="23"/>
  <c r="AE191" i="23"/>
  <c r="AE220" i="23"/>
  <c r="AE196" i="23"/>
  <c r="AE214" i="23"/>
  <c r="AE207" i="23"/>
  <c r="AE192" i="23"/>
  <c r="AE205" i="23"/>
  <c r="AE209" i="23"/>
  <c r="AE221" i="23"/>
  <c r="AE200" i="23"/>
  <c r="AE215" i="23"/>
  <c r="AE198" i="23"/>
  <c r="AE197" i="23"/>
  <c r="AE190" i="23"/>
  <c r="AE203" i="23"/>
  <c r="AE202" i="23"/>
  <c r="AE218" i="23"/>
  <c r="AE169" i="23"/>
  <c r="AE174" i="23"/>
  <c r="AE159" i="23"/>
  <c r="AE175" i="23"/>
  <c r="AE173" i="23"/>
  <c r="AE158" i="23"/>
  <c r="AE185" i="23"/>
  <c r="AE184" i="23"/>
  <c r="AE178" i="23"/>
  <c r="AE180" i="23"/>
  <c r="AE165" i="23"/>
  <c r="AE171" i="23"/>
  <c r="AE179" i="23"/>
  <c r="AE181" i="23"/>
  <c r="AE163" i="23"/>
  <c r="AE183" i="23"/>
  <c r="AE160" i="23"/>
  <c r="AE147" i="23"/>
  <c r="AE152" i="23"/>
  <c r="AE134" i="23"/>
  <c r="AE150" i="23"/>
  <c r="AE132" i="23"/>
  <c r="AE141" i="23"/>
  <c r="AE144" i="23"/>
  <c r="AE148" i="23"/>
  <c r="AE143" i="23"/>
  <c r="AE129" i="23"/>
  <c r="AE138" i="23"/>
  <c r="AE131" i="23"/>
  <c r="AE120" i="23"/>
  <c r="AE126" i="23"/>
  <c r="AE115" i="23"/>
  <c r="AE92" i="23"/>
  <c r="AE116" i="23"/>
  <c r="AE109" i="23"/>
  <c r="AE103" i="23"/>
  <c r="AE93" i="23"/>
  <c r="AE110" i="23"/>
  <c r="AE94" i="23"/>
  <c r="AE102" i="23"/>
  <c r="AE98" i="23"/>
  <c r="AE114" i="23"/>
  <c r="AE99" i="23"/>
  <c r="AE96" i="23"/>
  <c r="AE85" i="23"/>
  <c r="AE55" i="23"/>
  <c r="AE69" i="23"/>
  <c r="AE78" i="23"/>
  <c r="AE64" i="23"/>
  <c r="AE52" i="23"/>
  <c r="AE80" i="23"/>
  <c r="AE63" i="23"/>
  <c r="AE70" i="23"/>
  <c r="AE59" i="23"/>
  <c r="AE81" i="23"/>
  <c r="AE58" i="23"/>
  <c r="AE74" i="23"/>
  <c r="AE68" i="23"/>
  <c r="AE53" i="23"/>
  <c r="AE79" i="23"/>
  <c r="C75" i="2" l="1"/>
  <c r="C77" i="2"/>
  <c r="H5" i="37" l="1"/>
  <c r="G22" i="1"/>
  <c r="H22" i="1" s="1"/>
  <c r="I22" i="1" s="1"/>
  <c r="J22" i="1" s="1"/>
  <c r="G29" i="1" l="1"/>
  <c r="H29" i="1" s="1"/>
  <c r="I29" i="1" s="1"/>
  <c r="J29" i="1" s="1"/>
  <c r="G35" i="1"/>
  <c r="H35" i="1" s="1"/>
  <c r="I35" i="1" s="1"/>
  <c r="J35" i="1" s="1"/>
  <c r="G25" i="1"/>
  <c r="H25" i="1" s="1"/>
  <c r="I25" i="1" s="1"/>
  <c r="J25" i="1" s="1"/>
  <c r="G17" i="1"/>
  <c r="H17" i="1" s="1"/>
  <c r="I17" i="1" s="1"/>
  <c r="J17" i="1" s="1"/>
  <c r="G36" i="1"/>
  <c r="H36" i="1" s="1"/>
  <c r="I36" i="1" s="1"/>
  <c r="J36" i="1" s="1"/>
  <c r="G24" i="1"/>
  <c r="H24" i="1" s="1"/>
  <c r="I24" i="1" s="1"/>
  <c r="J24" i="1" s="1"/>
  <c r="G20" i="1"/>
  <c r="H20" i="1" s="1"/>
  <c r="I20" i="1" s="1"/>
  <c r="J20" i="1" s="1"/>
  <c r="G28" i="1"/>
  <c r="H28" i="1" s="1"/>
  <c r="I28" i="1" s="1"/>
  <c r="J28" i="1" s="1"/>
  <c r="G23" i="1"/>
  <c r="H23" i="1" s="1"/>
  <c r="I23" i="1" s="1"/>
  <c r="J23" i="1" s="1"/>
  <c r="G21" i="1"/>
  <c r="H21" i="1" s="1"/>
  <c r="I21" i="1" s="1"/>
  <c r="J21" i="1" s="1"/>
  <c r="G18" i="1"/>
  <c r="H18" i="1" s="1"/>
  <c r="I18" i="1" s="1"/>
  <c r="J18" i="1" s="1"/>
  <c r="G34" i="1"/>
  <c r="H34" i="1" s="1"/>
  <c r="I34" i="1" s="1"/>
  <c r="J34" i="1" s="1"/>
  <c r="G27" i="1"/>
  <c r="H27" i="1" s="1"/>
  <c r="I27" i="1" s="1"/>
  <c r="J27" i="1" s="1"/>
  <c r="G31" i="1"/>
  <c r="H31" i="1" s="1"/>
  <c r="I31" i="1" s="1"/>
  <c r="J31" i="1" s="1"/>
  <c r="G19" i="1"/>
  <c r="H19" i="1" s="1"/>
  <c r="I19" i="1" s="1"/>
  <c r="J19" i="1" s="1"/>
  <c r="E5" i="23"/>
  <c r="AD15" i="23" s="1"/>
  <c r="G30" i="1"/>
  <c r="H30" i="1" s="1"/>
  <c r="I30" i="1" s="1"/>
  <c r="J30" i="1" s="1"/>
  <c r="G26" i="1"/>
  <c r="H26" i="1" s="1"/>
  <c r="I26" i="1" s="1"/>
  <c r="J26" i="1" s="1"/>
  <c r="G32" i="1"/>
  <c r="H32" i="1" s="1"/>
  <c r="I32" i="1" s="1"/>
  <c r="J32" i="1" s="1"/>
  <c r="G33" i="1"/>
  <c r="H33" i="1" s="1"/>
  <c r="I33" i="1" s="1"/>
  <c r="J33" i="1" s="1"/>
  <c r="AD16" i="23" l="1"/>
  <c r="AD24" i="23"/>
  <c r="AE24" i="23" s="1"/>
  <c r="AF24" i="23" s="1"/>
  <c r="AD32" i="23"/>
  <c r="AE32" i="23" s="1"/>
  <c r="AF32" i="23" s="1"/>
  <c r="AD40" i="23"/>
  <c r="AE40" i="23" s="1"/>
  <c r="AF40" i="23" s="1"/>
  <c r="AD17" i="23"/>
  <c r="AE17" i="23" s="1"/>
  <c r="AF17" i="23" s="1"/>
  <c r="AD25" i="23"/>
  <c r="AE25" i="23" s="1"/>
  <c r="AF25" i="23" s="1"/>
  <c r="AD33" i="23"/>
  <c r="AE33" i="23" s="1"/>
  <c r="AF33" i="23" s="1"/>
  <c r="AD41" i="23"/>
  <c r="AE41" i="23" s="1"/>
  <c r="AF41" i="23" s="1"/>
  <c r="AD18" i="23"/>
  <c r="AD26" i="23"/>
  <c r="AD34" i="23"/>
  <c r="AE34" i="23" s="1"/>
  <c r="AF34" i="23" s="1"/>
  <c r="AD42" i="23"/>
  <c r="AE42" i="23" s="1"/>
  <c r="AF42" i="23" s="1"/>
  <c r="AD19" i="23"/>
  <c r="AE19" i="23" s="1"/>
  <c r="AF19" i="23" s="1"/>
  <c r="AD27" i="23"/>
  <c r="AE27" i="23" s="1"/>
  <c r="AF27" i="23" s="1"/>
  <c r="AD35" i="23"/>
  <c r="AE35" i="23" s="1"/>
  <c r="AF35" i="23" s="1"/>
  <c r="AD43" i="23"/>
  <c r="AE43" i="23" s="1"/>
  <c r="AF43" i="23" s="1"/>
  <c r="AD20" i="23"/>
  <c r="AE20" i="23" s="1"/>
  <c r="AF20" i="23" s="1"/>
  <c r="AD28" i="23"/>
  <c r="AE28" i="23" s="1"/>
  <c r="AF28" i="23" s="1"/>
  <c r="AD36" i="23"/>
  <c r="AE36" i="23" s="1"/>
  <c r="AF36" i="23" s="1"/>
  <c r="AD44" i="23"/>
  <c r="AE44" i="23" s="1"/>
  <c r="AF44" i="23" s="1"/>
  <c r="AD21" i="23"/>
  <c r="AE21" i="23" s="1"/>
  <c r="AF21" i="23" s="1"/>
  <c r="AD29" i="23"/>
  <c r="AE29" i="23" s="1"/>
  <c r="AF29" i="23" s="1"/>
  <c r="AD37" i="23"/>
  <c r="AE37" i="23" s="1"/>
  <c r="AF37" i="23" s="1"/>
  <c r="AD45" i="23"/>
  <c r="AE45" i="23" s="1"/>
  <c r="AF45" i="23" s="1"/>
  <c r="AD22" i="23"/>
  <c r="AD30" i="23"/>
  <c r="AE30" i="23" s="1"/>
  <c r="AF30" i="23" s="1"/>
  <c r="AD38" i="23"/>
  <c r="AE38" i="23" s="1"/>
  <c r="AF38" i="23" s="1"/>
  <c r="AD46" i="23"/>
  <c r="AE46" i="23" s="1"/>
  <c r="AF46" i="23" s="1"/>
  <c r="AD23" i="23"/>
  <c r="AE23" i="23" s="1"/>
  <c r="AF23" i="23" s="1"/>
  <c r="AD31" i="23"/>
  <c r="AE31" i="23" s="1"/>
  <c r="AF31" i="23" s="1"/>
  <c r="AD39" i="23"/>
  <c r="AE39" i="23" s="1"/>
  <c r="AF39" i="23" s="1"/>
  <c r="AD47" i="23"/>
  <c r="AE47" i="23" s="1"/>
  <c r="AF47" i="23" s="1"/>
  <c r="AE18" i="23"/>
  <c r="AF18" i="23" s="1"/>
  <c r="AE15" i="23"/>
  <c r="AF15" i="23" s="1"/>
  <c r="AE26" i="23"/>
  <c r="AF26" i="23" s="1"/>
  <c r="AE22" i="23"/>
  <c r="AF22" i="23" s="1"/>
  <c r="AE16" i="23"/>
  <c r="AF16" i="23" s="1"/>
  <c r="B9" i="37"/>
  <c r="AF435" i="23"/>
  <c r="AF365" i="23"/>
  <c r="AF400" i="23"/>
  <c r="AF295" i="23"/>
  <c r="AF50" i="23"/>
  <c r="AF120" i="23"/>
  <c r="AF260" i="23"/>
  <c r="AF470" i="23"/>
  <c r="AF85" i="23"/>
  <c r="AF155" i="23"/>
  <c r="AF505" i="23"/>
  <c r="AF540" i="23"/>
  <c r="AF330" i="23"/>
  <c r="AF491" i="23"/>
  <c r="AF133" i="23"/>
  <c r="AF76" i="23"/>
  <c r="AF422" i="23"/>
  <c r="AF199" i="23"/>
  <c r="AF437" i="23"/>
  <c r="AF472" i="23"/>
  <c r="AF502" i="23"/>
  <c r="AF174" i="23"/>
  <c r="AF357" i="23"/>
  <c r="AF543" i="23"/>
  <c r="AF68" i="23"/>
  <c r="AF351" i="23"/>
  <c r="AF341" i="23"/>
  <c r="AF149" i="23"/>
  <c r="AF529" i="23"/>
  <c r="AF446" i="23"/>
  <c r="AF185" i="23"/>
  <c r="AF62" i="23"/>
  <c r="AF561" i="23"/>
  <c r="AF256" i="23"/>
  <c r="AF225" i="23"/>
  <c r="AF430" i="23"/>
  <c r="AF61" i="23"/>
  <c r="AF109" i="23"/>
  <c r="AF218" i="23"/>
  <c r="AF165" i="23"/>
  <c r="AF236" i="23"/>
  <c r="AF569" i="23"/>
  <c r="AF406" i="23"/>
  <c r="AF350" i="23"/>
  <c r="AF463" i="23"/>
  <c r="AF321" i="23"/>
  <c r="AF405" i="23"/>
  <c r="AF178" i="23"/>
  <c r="AF82" i="23"/>
  <c r="AF125" i="23"/>
  <c r="AF332" i="23"/>
  <c r="AF426" i="23"/>
  <c r="AF169" i="23"/>
  <c r="AF315" i="23"/>
  <c r="AF213" i="23"/>
  <c r="AF190" i="23"/>
  <c r="AF276" i="23"/>
  <c r="AF481" i="23"/>
  <c r="AF128" i="23"/>
  <c r="AF542" i="23"/>
  <c r="AF56" i="23"/>
  <c r="AF476" i="23"/>
  <c r="AF237" i="23"/>
  <c r="AF207" i="23"/>
  <c r="AF375" i="23"/>
  <c r="AF378" i="23"/>
  <c r="AF264" i="23"/>
  <c r="AF180" i="23"/>
  <c r="AF467" i="23"/>
  <c r="AF242" i="23"/>
  <c r="AF247" i="23"/>
  <c r="AF220" i="23"/>
  <c r="AF452" i="23"/>
  <c r="AF138" i="23"/>
  <c r="AF140" i="23"/>
  <c r="AF500" i="23"/>
  <c r="AF387" i="23"/>
  <c r="AF354" i="23"/>
  <c r="AF541" i="23"/>
  <c r="AF159" i="23"/>
  <c r="AF195" i="23"/>
  <c r="AF145" i="23"/>
  <c r="AF230" i="23"/>
  <c r="AF474" i="23"/>
  <c r="AF113" i="23"/>
  <c r="AF53" i="23"/>
  <c r="AF384" i="23"/>
  <c r="AF65" i="23"/>
  <c r="AF284" i="23"/>
  <c r="AF391" i="23"/>
  <c r="AF532" i="23"/>
  <c r="AF531" i="23"/>
  <c r="AF564" i="23"/>
  <c r="AF176" i="23"/>
  <c r="AF111" i="23"/>
  <c r="AF172" i="23"/>
  <c r="AF292" i="23"/>
  <c r="AF441" i="23"/>
  <c r="AF71" i="23"/>
  <c r="AF534" i="23"/>
  <c r="AF408" i="23"/>
  <c r="AF115" i="23"/>
  <c r="AF268" i="23"/>
  <c r="AF477" i="23"/>
  <c r="AF297" i="23"/>
  <c r="AF420" i="23"/>
  <c r="AF283" i="23"/>
  <c r="AF410" i="23"/>
  <c r="AF404" i="23"/>
  <c r="AF173" i="23"/>
  <c r="AF88" i="23"/>
  <c r="AF557" i="23"/>
  <c r="AF103" i="23"/>
  <c r="AF486" i="23"/>
  <c r="AF263" i="23"/>
  <c r="AF240" i="23"/>
  <c r="AF445" i="23"/>
  <c r="AF478" i="23"/>
  <c r="AF396" i="23"/>
  <c r="AF101" i="23"/>
  <c r="AF275" i="23"/>
  <c r="AF279" i="23"/>
  <c r="AF366" i="23"/>
  <c r="AF278" i="23"/>
  <c r="AF382" i="23"/>
  <c r="AF243" i="23"/>
  <c r="AF233" i="23"/>
  <c r="AF267" i="23"/>
  <c r="AF355" i="23"/>
  <c r="AF157" i="23"/>
  <c r="AF535" i="23"/>
  <c r="AF428" i="23"/>
  <c r="AF567" i="23"/>
  <c r="AF144" i="23"/>
  <c r="AF107" i="23"/>
  <c r="AF526" i="23"/>
  <c r="AF143" i="23"/>
  <c r="AF331" i="23"/>
  <c r="AF506" i="23"/>
  <c r="AF98" i="23"/>
  <c r="AF72" i="23"/>
  <c r="AF494" i="23"/>
  <c r="AF117" i="23"/>
  <c r="AF170" i="23"/>
  <c r="AF423" i="23"/>
  <c r="AF86" i="23"/>
  <c r="AF216" i="23"/>
  <c r="AF521" i="23"/>
  <c r="AF287" i="23"/>
  <c r="AF311" i="23"/>
  <c r="AF148" i="23"/>
  <c r="AF97" i="23"/>
  <c r="AF270" i="23"/>
  <c r="AF211" i="23"/>
  <c r="AF309" i="23"/>
  <c r="AF550" i="23"/>
  <c r="AF239" i="23"/>
  <c r="AF108" i="23"/>
  <c r="AF285" i="23"/>
  <c r="AF226" i="23"/>
  <c r="AF291" i="23"/>
  <c r="AF96" i="23"/>
  <c r="AF63" i="23"/>
  <c r="AF320" i="23"/>
  <c r="AF160" i="23"/>
  <c r="AF229" i="23"/>
  <c r="AF525" i="23"/>
  <c r="AF349" i="23"/>
  <c r="AF451" i="23"/>
  <c r="AF163" i="23"/>
  <c r="AF482" i="23"/>
  <c r="AF485" i="23"/>
  <c r="AF286" i="23"/>
  <c r="AF374" i="23"/>
  <c r="AF413" i="23"/>
  <c r="AF277" i="23"/>
  <c r="AF530" i="23"/>
  <c r="AF307" i="23"/>
  <c r="AF241" i="23"/>
  <c r="AF565" i="23"/>
  <c r="AF306" i="23"/>
  <c r="AF212" i="23"/>
  <c r="AF570" i="23"/>
  <c r="AF187" i="23"/>
  <c r="AF142" i="23"/>
  <c r="AF99" i="23"/>
  <c r="AF78" i="23"/>
  <c r="AF381" i="23"/>
  <c r="AF466" i="23"/>
  <c r="AF444" i="23"/>
  <c r="AF489" i="23"/>
  <c r="AF131" i="23"/>
  <c r="AF556" i="23"/>
  <c r="AF166" i="23"/>
  <c r="AF124" i="23"/>
  <c r="AF522" i="23"/>
  <c r="AF74" i="23"/>
  <c r="AF280" i="23"/>
  <c r="AF60" i="23"/>
  <c r="AF219" i="23"/>
  <c r="AF202" i="23"/>
  <c r="AF439" i="23"/>
  <c r="AF197" i="23"/>
  <c r="AF316" i="23"/>
  <c r="AF127" i="23"/>
  <c r="AF150" i="23"/>
  <c r="AF518" i="23"/>
  <c r="AF200" i="23"/>
  <c r="AF496" i="23"/>
  <c r="AF186" i="23"/>
  <c r="AF397" i="23"/>
  <c r="AF436" i="23"/>
  <c r="AF370" i="23"/>
  <c r="AF380" i="23"/>
  <c r="AF67" i="23"/>
  <c r="AF334" i="23"/>
  <c r="AF91" i="23"/>
  <c r="AF196" i="23"/>
  <c r="AF512" i="23"/>
  <c r="AF339" i="23"/>
  <c r="AF464" i="23"/>
  <c r="AF507" i="23"/>
  <c r="AF327" i="23"/>
  <c r="AF54" i="23"/>
  <c r="AF123" i="23"/>
  <c r="AF333" i="23"/>
  <c r="AF497" i="23"/>
  <c r="AF563" i="23"/>
  <c r="AF254" i="23"/>
  <c r="AF102" i="23"/>
  <c r="AF450" i="23"/>
  <c r="AF75" i="23"/>
  <c r="AF572" i="23"/>
  <c r="AF301" i="23"/>
  <c r="AF272" i="23"/>
  <c r="AF549" i="23"/>
  <c r="AF214" i="23"/>
  <c r="AF302" i="23"/>
  <c r="AF151" i="23"/>
  <c r="AF168" i="23"/>
  <c r="AF471" i="23"/>
  <c r="AF116" i="23"/>
  <c r="AF442" i="23"/>
  <c r="AF69" i="23"/>
  <c r="AF513" i="23"/>
  <c r="AF360" i="23"/>
  <c r="AF438" i="23"/>
  <c r="AF427" i="23"/>
  <c r="AF227" i="23"/>
  <c r="AF544" i="23"/>
  <c r="AF566" i="23"/>
  <c r="AF208" i="23"/>
  <c r="AF201" i="23"/>
  <c r="AF346" i="23"/>
  <c r="AF312" i="23"/>
  <c r="AF536" i="23"/>
  <c r="AF181" i="23"/>
  <c r="AF425" i="23"/>
  <c r="AF64" i="23"/>
  <c r="AF126" i="23"/>
  <c r="AF395" i="23"/>
  <c r="AF209" i="23"/>
  <c r="AF167" i="23"/>
  <c r="AF289" i="23"/>
  <c r="AF248" i="23"/>
  <c r="AF372" i="23"/>
  <c r="AF352" i="23"/>
  <c r="AF135" i="23"/>
  <c r="AF161" i="23"/>
  <c r="AF359" i="23"/>
  <c r="AF348" i="23"/>
  <c r="AF89" i="23"/>
  <c r="AF520" i="23"/>
  <c r="AF162" i="23"/>
  <c r="AF377" i="23"/>
  <c r="AF547" i="23"/>
  <c r="AF303" i="23"/>
  <c r="AF281" i="23"/>
  <c r="AF560" i="23"/>
  <c r="AF262" i="23"/>
  <c r="AF480" i="23"/>
  <c r="AF461" i="23"/>
  <c r="AF484" i="23"/>
  <c r="AF440" i="23"/>
  <c r="AF94" i="23"/>
  <c r="AF261" i="23"/>
  <c r="AF198" i="23"/>
  <c r="AF344" i="23"/>
  <c r="AF288" i="23"/>
  <c r="AF221" i="23"/>
  <c r="AF562" i="23"/>
  <c r="AF318" i="23"/>
  <c r="AF105" i="23"/>
  <c r="AF244" i="23"/>
  <c r="AF177" i="23"/>
  <c r="AF77" i="23"/>
  <c r="AF175" i="23"/>
  <c r="AF192" i="23"/>
  <c r="AF418" i="23"/>
  <c r="AF217" i="23"/>
  <c r="AF304" i="23"/>
  <c r="AF551" i="23"/>
  <c r="AF73" i="23"/>
  <c r="AF255" i="23"/>
  <c r="AF246" i="23"/>
  <c r="AF499" i="23"/>
  <c r="AF191" i="23"/>
  <c r="AF508" i="23"/>
  <c r="AF310" i="23"/>
  <c r="AF305" i="23"/>
  <c r="AF235" i="23"/>
  <c r="AF459" i="23"/>
  <c r="AF447" i="23"/>
  <c r="AF257" i="23"/>
  <c r="AF52" i="23"/>
  <c r="AF488" i="23"/>
  <c r="AF70" i="23"/>
  <c r="AF79" i="23"/>
  <c r="AF337" i="23"/>
  <c r="AF356" i="23"/>
  <c r="AF325" i="23"/>
  <c r="AF458" i="23"/>
  <c r="AF342" i="23"/>
  <c r="AF453" i="23"/>
  <c r="AF90" i="23"/>
  <c r="AF156" i="23"/>
  <c r="AF379" i="23"/>
  <c r="AF271" i="23"/>
  <c r="AF462" i="23"/>
  <c r="AF92" i="23"/>
  <c r="AF317" i="23"/>
  <c r="AF104" i="23"/>
  <c r="AF383" i="23"/>
  <c r="AF495" i="23"/>
  <c r="AF114" i="23"/>
  <c r="AF553" i="23"/>
  <c r="AF141" i="23"/>
  <c r="AF465" i="23"/>
  <c r="AF548" i="23"/>
  <c r="AF139" i="23"/>
  <c r="AF298" i="23"/>
  <c r="AF392" i="23"/>
  <c r="AF319" i="23"/>
  <c r="AF250" i="23"/>
  <c r="AF510" i="23"/>
  <c r="AF443" i="23"/>
  <c r="AF299" i="23"/>
  <c r="AF253" i="23"/>
  <c r="AF498" i="23"/>
  <c r="AF269" i="23"/>
  <c r="AF417" i="23"/>
  <c r="AF528" i="23"/>
  <c r="AF487" i="23"/>
  <c r="AF394" i="23"/>
  <c r="AF146" i="23"/>
  <c r="AF112" i="23"/>
  <c r="AF492" i="23"/>
  <c r="AF266" i="23"/>
  <c r="AF215" i="23"/>
  <c r="AF475" i="23"/>
  <c r="AF313" i="23"/>
  <c r="AF80" i="23"/>
  <c r="AF403" i="23"/>
  <c r="AF252" i="23"/>
  <c r="AF308" i="23"/>
  <c r="AF460" i="23"/>
  <c r="AF347" i="23"/>
  <c r="AF429" i="23"/>
  <c r="AF511" i="23"/>
  <c r="AF245" i="23"/>
  <c r="AF152" i="23"/>
  <c r="AF323" i="23"/>
  <c r="AF274" i="23"/>
  <c r="AF455" i="23"/>
  <c r="AF343" i="23"/>
  <c r="AF552" i="23"/>
  <c r="AF273" i="23"/>
  <c r="AF554" i="23"/>
  <c r="AF519" i="23"/>
  <c r="AF81" i="23"/>
  <c r="AF59" i="23"/>
  <c r="AF314" i="23"/>
  <c r="AF367" i="23"/>
  <c r="AF546" i="23"/>
  <c r="AF515" i="23"/>
  <c r="AF516" i="23"/>
  <c r="AF57" i="23"/>
  <c r="AF204" i="23"/>
  <c r="AF164" i="23"/>
  <c r="AF100" i="23"/>
  <c r="AF193" i="23"/>
  <c r="AF388" i="23"/>
  <c r="AF300" i="23"/>
  <c r="AF249" i="23"/>
  <c r="AF386" i="23"/>
  <c r="AF368" i="23"/>
  <c r="AF121" i="23"/>
  <c r="AF523" i="23"/>
  <c r="AF158" i="23"/>
  <c r="AF361" i="23"/>
  <c r="AF58" i="23"/>
  <c r="AF231" i="23"/>
  <c r="AF407" i="23"/>
  <c r="AF524" i="23"/>
  <c r="AF409" i="23"/>
  <c r="AF326" i="23"/>
  <c r="AF559" i="23"/>
  <c r="AF132" i="23"/>
  <c r="AF509" i="23"/>
  <c r="AF533" i="23"/>
  <c r="AF129" i="23"/>
  <c r="AF390" i="23"/>
  <c r="AF449" i="23"/>
  <c r="AF376" i="23"/>
  <c r="AF184" i="23"/>
  <c r="AF479" i="23"/>
  <c r="AF296" i="23"/>
  <c r="AF106" i="23"/>
  <c r="AF527" i="23"/>
  <c r="AF110" i="23"/>
  <c r="AF457" i="23"/>
  <c r="AF66" i="23"/>
  <c r="AF448" i="23"/>
  <c r="AF137" i="23"/>
  <c r="AF412" i="23"/>
  <c r="AF238" i="23"/>
  <c r="AF182" i="23"/>
  <c r="AF411" i="23"/>
  <c r="AF401" i="23"/>
  <c r="AF385" i="23"/>
  <c r="AF393" i="23"/>
  <c r="AF265" i="23"/>
  <c r="AF179" i="23"/>
  <c r="AF419" i="23"/>
  <c r="AF55" i="23"/>
  <c r="AF338" i="23"/>
  <c r="AF93" i="23"/>
  <c r="AF362" i="23"/>
  <c r="AF571" i="23"/>
  <c r="AF206" i="23"/>
  <c r="AF371" i="23"/>
  <c r="AF473" i="23"/>
  <c r="AF555" i="23"/>
  <c r="AF483" i="23"/>
  <c r="AF493" i="23"/>
  <c r="AF490" i="23"/>
  <c r="AF369" i="23"/>
  <c r="AF290" i="23"/>
  <c r="AF194" i="23"/>
  <c r="AF340" i="23"/>
  <c r="AF558" i="23"/>
  <c r="AF322" i="23"/>
  <c r="AF205" i="23"/>
  <c r="AF421" i="23"/>
  <c r="AF501" i="23"/>
  <c r="AF358" i="23"/>
  <c r="AF87" i="23"/>
  <c r="AF228" i="23"/>
  <c r="AF389" i="23"/>
  <c r="AF456" i="23"/>
  <c r="AF416" i="23"/>
  <c r="AF414" i="23"/>
  <c r="AF134" i="23"/>
  <c r="AF130" i="23"/>
  <c r="AF183" i="23"/>
  <c r="AF282" i="23"/>
  <c r="AF335" i="23"/>
  <c r="AF251" i="23"/>
  <c r="AF454" i="23"/>
  <c r="AF537" i="23"/>
  <c r="AF353" i="23"/>
  <c r="AF373" i="23"/>
  <c r="AF415" i="23"/>
  <c r="H4" i="37"/>
  <c r="AF203" i="23"/>
  <c r="AF402" i="23"/>
  <c r="AF147" i="23"/>
  <c r="AF51" i="23"/>
  <c r="AF514" i="23"/>
  <c r="AF545" i="23"/>
  <c r="AF222" i="23"/>
  <c r="AF95" i="23"/>
  <c r="AF171" i="23"/>
  <c r="AF234" i="23"/>
  <c r="AF136" i="23"/>
  <c r="AF431" i="23"/>
  <c r="AF324" i="23"/>
  <c r="AF336" i="23"/>
  <c r="AF517" i="23"/>
  <c r="AF210" i="23"/>
  <c r="AF568" i="23"/>
  <c r="AF232" i="23"/>
  <c r="AF345" i="23"/>
  <c r="AF424" i="23"/>
  <c r="AF122" i="23"/>
  <c r="AF432" i="23"/>
  <c r="H37" i="1" a="1"/>
  <c r="H37" i="1" s="1"/>
  <c r="AI147" i="23" l="1"/>
  <c r="AG147" i="23"/>
  <c r="AK147" i="23" s="1"/>
  <c r="AN147" i="23" s="1"/>
  <c r="AI393" i="23"/>
  <c r="AG393" i="23"/>
  <c r="AK393" i="23" s="1"/>
  <c r="AN393" i="23" s="1"/>
  <c r="AI57" i="23"/>
  <c r="AG57" i="23"/>
  <c r="AK57" i="23" s="1"/>
  <c r="AN57" i="23" s="1"/>
  <c r="AI299" i="23"/>
  <c r="AG299" i="23"/>
  <c r="AK299" i="23" s="1"/>
  <c r="AN299" i="23" s="1"/>
  <c r="AI305" i="23"/>
  <c r="AG305" i="23"/>
  <c r="AK305" i="23" s="1"/>
  <c r="AN305" i="23" s="1"/>
  <c r="AI480" i="23"/>
  <c r="AG480" i="23"/>
  <c r="AK480" i="23" s="1"/>
  <c r="AN480" i="23" s="1"/>
  <c r="AI181" i="23"/>
  <c r="AG181" i="23"/>
  <c r="AK181" i="23" s="1"/>
  <c r="AN181" i="23" s="1"/>
  <c r="AI497" i="23"/>
  <c r="AG497" i="23"/>
  <c r="AK497" i="23" s="1"/>
  <c r="AN497" i="23" s="1"/>
  <c r="AI522" i="23"/>
  <c r="AG522" i="23"/>
  <c r="AK522" i="23" s="1"/>
  <c r="AN522" i="23" s="1"/>
  <c r="AI29" i="23"/>
  <c r="AG29" i="23"/>
  <c r="AK29" i="23" s="1"/>
  <c r="AN29" i="23" s="1"/>
  <c r="AI98" i="23"/>
  <c r="AG98" i="23"/>
  <c r="AK98" i="23" s="1"/>
  <c r="AN98" i="23" s="1"/>
  <c r="AI268" i="23"/>
  <c r="AG268" i="23"/>
  <c r="AK268" i="23" s="1"/>
  <c r="AN268" i="23" s="1"/>
  <c r="AI375" i="23"/>
  <c r="AG375" i="23"/>
  <c r="AK375" i="23" s="1"/>
  <c r="AN375" i="23" s="1"/>
  <c r="AI15" i="23"/>
  <c r="AG15" i="23"/>
  <c r="AI402" i="23"/>
  <c r="AG402" i="23"/>
  <c r="AK402" i="23" s="1"/>
  <c r="AN402" i="23" s="1"/>
  <c r="AI490" i="23"/>
  <c r="AG490" i="23"/>
  <c r="AK490" i="23" s="1"/>
  <c r="AN490" i="23" s="1"/>
  <c r="AI479" i="23"/>
  <c r="AG479" i="23"/>
  <c r="AK479" i="23" s="1"/>
  <c r="AN479" i="23" s="1"/>
  <c r="AI516" i="23"/>
  <c r="AG516" i="23"/>
  <c r="AK516" i="23" s="1"/>
  <c r="AN516" i="23" s="1"/>
  <c r="AI443" i="23"/>
  <c r="AG443" i="23"/>
  <c r="AK443" i="23" s="1"/>
  <c r="AN443" i="23" s="1"/>
  <c r="AI344" i="23"/>
  <c r="AG344" i="23"/>
  <c r="AK344" i="23" s="1"/>
  <c r="AN344" i="23" s="1"/>
  <c r="AI89" i="23"/>
  <c r="AG89" i="23"/>
  <c r="AK89" i="23" s="1"/>
  <c r="AN89" i="23" s="1"/>
  <c r="AI168" i="23"/>
  <c r="AG168" i="23"/>
  <c r="AK168" i="23" s="1"/>
  <c r="AN168" i="23" s="1"/>
  <c r="AG397" i="23"/>
  <c r="AK397" i="23" s="1"/>
  <c r="AN397" i="23" s="1"/>
  <c r="AI397" i="23"/>
  <c r="AJ397" i="23" s="1"/>
  <c r="AI286" i="23"/>
  <c r="AG286" i="23"/>
  <c r="AK286" i="23" s="1"/>
  <c r="AN286" i="23" s="1"/>
  <c r="AI86" i="23"/>
  <c r="AG86" i="23"/>
  <c r="AK86" i="23" s="1"/>
  <c r="AN86" i="23" s="1"/>
  <c r="AI445" i="23"/>
  <c r="AG445" i="23"/>
  <c r="AK445" i="23" s="1"/>
  <c r="AN445" i="23" s="1"/>
  <c r="AI36" i="23"/>
  <c r="AG36" i="23"/>
  <c r="AK36" i="23" s="1"/>
  <c r="AN36" i="23" s="1"/>
  <c r="AI220" i="23"/>
  <c r="AG220" i="23"/>
  <c r="AK220" i="23" s="1"/>
  <c r="AN220" i="23" s="1"/>
  <c r="AI125" i="23"/>
  <c r="AG125" i="23"/>
  <c r="AK125" i="23" s="1"/>
  <c r="AN125" i="23" s="1"/>
  <c r="AI225" i="23"/>
  <c r="AG225" i="23"/>
  <c r="AG341" i="23"/>
  <c r="AK341" i="23" s="1"/>
  <c r="AN341" i="23" s="1"/>
  <c r="AI341" i="23"/>
  <c r="AI171" i="23"/>
  <c r="AG171" i="23"/>
  <c r="AK171" i="23" s="1"/>
  <c r="AN171" i="23" s="1"/>
  <c r="AI205" i="23"/>
  <c r="AG205" i="23"/>
  <c r="AK205" i="23" s="1"/>
  <c r="AN205" i="23" s="1"/>
  <c r="AI457" i="23"/>
  <c r="AG457" i="23"/>
  <c r="AK457" i="23" s="1"/>
  <c r="AN457" i="23" s="1"/>
  <c r="AI300" i="23"/>
  <c r="AG300" i="23"/>
  <c r="AK300" i="23" s="1"/>
  <c r="AN300" i="23" s="1"/>
  <c r="AI313" i="23"/>
  <c r="AG313" i="23"/>
  <c r="AK313" i="23" s="1"/>
  <c r="AN313" i="23" s="1"/>
  <c r="AI317" i="23"/>
  <c r="AG317" i="23"/>
  <c r="AK317" i="23" s="1"/>
  <c r="AN317" i="23" s="1"/>
  <c r="AI304" i="23"/>
  <c r="AG304" i="23"/>
  <c r="AK304" i="23" s="1"/>
  <c r="AN304" i="23" s="1"/>
  <c r="AI348" i="23"/>
  <c r="AG348" i="23"/>
  <c r="AK348" i="23" s="1"/>
  <c r="AN348" i="23" s="1"/>
  <c r="AI438" i="23"/>
  <c r="AG438" i="23"/>
  <c r="AK438" i="23" s="1"/>
  <c r="AN438" i="23" s="1"/>
  <c r="AI196" i="23"/>
  <c r="AG196" i="23"/>
  <c r="AK196" i="23" s="1"/>
  <c r="AN196" i="23" s="1"/>
  <c r="AI166" i="23"/>
  <c r="AG166" i="23"/>
  <c r="AK166" i="23" s="1"/>
  <c r="AN166" i="23" s="1"/>
  <c r="AI229" i="23"/>
  <c r="AG229" i="23"/>
  <c r="AK229" i="23" s="1"/>
  <c r="AN229" i="23" s="1"/>
  <c r="AI506" i="23"/>
  <c r="AG506" i="23"/>
  <c r="AK506" i="23" s="1"/>
  <c r="AN506" i="23" s="1"/>
  <c r="AI564" i="23"/>
  <c r="AG564" i="23"/>
  <c r="AK564" i="23" s="1"/>
  <c r="AN564" i="23" s="1"/>
  <c r="AI351" i="23"/>
  <c r="AG351" i="23"/>
  <c r="AK351" i="23" s="1"/>
  <c r="AN351" i="23" s="1"/>
  <c r="AI389" i="23"/>
  <c r="AG389" i="23"/>
  <c r="AK389" i="23" s="1"/>
  <c r="AN389" i="23" s="1"/>
  <c r="AI411" i="23"/>
  <c r="AG411" i="23"/>
  <c r="AK411" i="23" s="1"/>
  <c r="AN411" i="23" s="1"/>
  <c r="AI361" i="23"/>
  <c r="AG361" i="23"/>
  <c r="AK361" i="23" s="1"/>
  <c r="AN361" i="23" s="1"/>
  <c r="AI429" i="23"/>
  <c r="AG429" i="23"/>
  <c r="AK429" i="23" s="1"/>
  <c r="AN429" i="23" s="1"/>
  <c r="AI465" i="23"/>
  <c r="AG465" i="23"/>
  <c r="AK465" i="23" s="1"/>
  <c r="AN465" i="23" s="1"/>
  <c r="AI217" i="23"/>
  <c r="AG217" i="23"/>
  <c r="AK217" i="23" s="1"/>
  <c r="AN217" i="23" s="1"/>
  <c r="AI281" i="23"/>
  <c r="AG281" i="23"/>
  <c r="AK281" i="23" s="1"/>
  <c r="AN281" i="23" s="1"/>
  <c r="AI346" i="23"/>
  <c r="AG346" i="23"/>
  <c r="AK346" i="23" s="1"/>
  <c r="AN346" i="23" s="1"/>
  <c r="AI54" i="23"/>
  <c r="AG54" i="23"/>
  <c r="AK54" i="23" s="1"/>
  <c r="AN54" i="23" s="1"/>
  <c r="AI17" i="23"/>
  <c r="AG17" i="23"/>
  <c r="AI485" i="23"/>
  <c r="AG485" i="23"/>
  <c r="AK485" i="23" s="1"/>
  <c r="AN485" i="23" s="1"/>
  <c r="AI45" i="23"/>
  <c r="AG45" i="23"/>
  <c r="AK45" i="23" s="1"/>
  <c r="AN45" i="23" s="1"/>
  <c r="AI283" i="23"/>
  <c r="AG283" i="23"/>
  <c r="AK283" i="23" s="1"/>
  <c r="AN283" i="23" s="1"/>
  <c r="AI400" i="23"/>
  <c r="AG400" i="23"/>
  <c r="AI517" i="23"/>
  <c r="AG517" i="23"/>
  <c r="AK517" i="23" s="1"/>
  <c r="AN517" i="23" s="1"/>
  <c r="AG432" i="23"/>
  <c r="AK432" i="23" s="1"/>
  <c r="AN432" i="23" s="1"/>
  <c r="AI432" i="23"/>
  <c r="AJ432" i="23" s="1"/>
  <c r="AI336" i="23"/>
  <c r="AG336" i="23"/>
  <c r="AK336" i="23" s="1"/>
  <c r="AN336" i="23" s="1"/>
  <c r="AI545" i="23"/>
  <c r="AG545" i="23"/>
  <c r="AK545" i="23" s="1"/>
  <c r="AN545" i="23" s="1"/>
  <c r="AI183" i="23"/>
  <c r="AG183" i="23"/>
  <c r="AK183" i="23" s="1"/>
  <c r="AN183" i="23" s="1"/>
  <c r="AI87" i="23"/>
  <c r="AG87" i="23"/>
  <c r="AK87" i="23" s="1"/>
  <c r="AN87" i="23" s="1"/>
  <c r="AI473" i="23"/>
  <c r="AG473" i="23"/>
  <c r="AK473" i="23" s="1"/>
  <c r="AN473" i="23" s="1"/>
  <c r="AI122" i="23"/>
  <c r="AG122" i="23"/>
  <c r="AK122" i="23" s="1"/>
  <c r="AN122" i="23" s="1"/>
  <c r="AI324" i="23"/>
  <c r="AG324" i="23"/>
  <c r="AK324" i="23" s="1"/>
  <c r="AN324" i="23" s="1"/>
  <c r="AI514" i="23"/>
  <c r="AG514" i="23"/>
  <c r="AK514" i="23" s="1"/>
  <c r="AN514" i="23" s="1"/>
  <c r="AI353" i="23"/>
  <c r="AG353" i="23"/>
  <c r="AK353" i="23" s="1"/>
  <c r="AN353" i="23" s="1"/>
  <c r="AI130" i="23"/>
  <c r="AG130" i="23"/>
  <c r="AK130" i="23" s="1"/>
  <c r="AN130" i="23" s="1"/>
  <c r="AI358" i="23"/>
  <c r="AG358" i="23"/>
  <c r="AK358" i="23" s="1"/>
  <c r="AN358" i="23" s="1"/>
  <c r="AI194" i="23"/>
  <c r="AG194" i="23"/>
  <c r="AK194" i="23" s="1"/>
  <c r="AN194" i="23" s="1"/>
  <c r="AI179" i="23"/>
  <c r="AG179" i="23"/>
  <c r="AK179" i="23" s="1"/>
  <c r="AN179" i="23" s="1"/>
  <c r="AI412" i="23"/>
  <c r="AG412" i="23"/>
  <c r="AK412" i="23" s="1"/>
  <c r="AN412" i="23" s="1"/>
  <c r="AI42" i="23"/>
  <c r="AG42" i="23"/>
  <c r="AK42" i="23" s="1"/>
  <c r="AN42" i="23" s="1"/>
  <c r="AI129" i="23"/>
  <c r="AG129" i="23"/>
  <c r="AK129" i="23" s="1"/>
  <c r="AN129" i="23" s="1"/>
  <c r="AI409" i="23"/>
  <c r="AG409" i="23"/>
  <c r="AK409" i="23" s="1"/>
  <c r="AN409" i="23" s="1"/>
  <c r="AI164" i="23"/>
  <c r="AG164" i="23"/>
  <c r="AK164" i="23" s="1"/>
  <c r="AN164" i="23" s="1"/>
  <c r="AI59" i="23"/>
  <c r="AG59" i="23"/>
  <c r="AK59" i="23" s="1"/>
  <c r="AN59" i="23" s="1"/>
  <c r="AI308" i="23"/>
  <c r="AG308" i="23"/>
  <c r="AK308" i="23" s="1"/>
  <c r="AN308" i="23" s="1"/>
  <c r="AI424" i="23"/>
  <c r="AG424" i="23"/>
  <c r="AK424" i="23" s="1"/>
  <c r="AN424" i="23" s="1"/>
  <c r="AI431" i="23"/>
  <c r="AG431" i="23"/>
  <c r="AK431" i="23" s="1"/>
  <c r="AN431" i="23" s="1"/>
  <c r="AI51" i="23"/>
  <c r="AG51" i="23"/>
  <c r="AK51" i="23" s="1"/>
  <c r="AN51" i="23" s="1"/>
  <c r="AG537" i="23"/>
  <c r="AK537" i="23" s="1"/>
  <c r="AN537" i="23" s="1"/>
  <c r="AI537" i="23"/>
  <c r="AJ537" i="23" s="1"/>
  <c r="AI134" i="23"/>
  <c r="AG134" i="23"/>
  <c r="AK134" i="23" s="1"/>
  <c r="AN134" i="23" s="1"/>
  <c r="AI501" i="23"/>
  <c r="AG501" i="23"/>
  <c r="AK501" i="23" s="1"/>
  <c r="AN501" i="23" s="1"/>
  <c r="AI290" i="23"/>
  <c r="AG290" i="23"/>
  <c r="AK290" i="23" s="1"/>
  <c r="AN290" i="23" s="1"/>
  <c r="AI206" i="23"/>
  <c r="AG206" i="23"/>
  <c r="AK206" i="23" s="1"/>
  <c r="AN206" i="23" s="1"/>
  <c r="AI265" i="23"/>
  <c r="AG265" i="23"/>
  <c r="AK265" i="23" s="1"/>
  <c r="AN265" i="23" s="1"/>
  <c r="AI137" i="23"/>
  <c r="AG137" i="23"/>
  <c r="AK137" i="23" s="1"/>
  <c r="AN137" i="23" s="1"/>
  <c r="AI106" i="23"/>
  <c r="AG106" i="23"/>
  <c r="AK106" i="23" s="1"/>
  <c r="AN106" i="23" s="1"/>
  <c r="AI533" i="23"/>
  <c r="AG533" i="23"/>
  <c r="AK533" i="23" s="1"/>
  <c r="AN533" i="23" s="1"/>
  <c r="AI524" i="23"/>
  <c r="AG524" i="23"/>
  <c r="AK524" i="23" s="1"/>
  <c r="AN524" i="23" s="1"/>
  <c r="AI368" i="23"/>
  <c r="AG368" i="23"/>
  <c r="AK368" i="23" s="1"/>
  <c r="AN368" i="23" s="1"/>
  <c r="AI204" i="23"/>
  <c r="AG204" i="23"/>
  <c r="AK204" i="23" s="1"/>
  <c r="AN204" i="23" s="1"/>
  <c r="AI81" i="23"/>
  <c r="AG81" i="23"/>
  <c r="AK81" i="23" s="1"/>
  <c r="AN81" i="23" s="1"/>
  <c r="AI323" i="23"/>
  <c r="AG323" i="23"/>
  <c r="AK323" i="23" s="1"/>
  <c r="AN323" i="23" s="1"/>
  <c r="AI252" i="23"/>
  <c r="AG252" i="23"/>
  <c r="AK252" i="23" s="1"/>
  <c r="AN252" i="23" s="1"/>
  <c r="AI112" i="23"/>
  <c r="AG112" i="23"/>
  <c r="AK112" i="23" s="1"/>
  <c r="AN112" i="23" s="1"/>
  <c r="AI253" i="23"/>
  <c r="AG253" i="23"/>
  <c r="AK253" i="23" s="1"/>
  <c r="AN253" i="23" s="1"/>
  <c r="AI298" i="23"/>
  <c r="AG298" i="23"/>
  <c r="AK298" i="23" s="1"/>
  <c r="AN298" i="23" s="1"/>
  <c r="AI495" i="23"/>
  <c r="AG495" i="23"/>
  <c r="AK495" i="23" s="1"/>
  <c r="AN495" i="23" s="1"/>
  <c r="AI156" i="23"/>
  <c r="AG156" i="23"/>
  <c r="AK156" i="23" s="1"/>
  <c r="AN156" i="23" s="1"/>
  <c r="AI337" i="23"/>
  <c r="AG337" i="23"/>
  <c r="AK337" i="23" s="1"/>
  <c r="AN337" i="23" s="1"/>
  <c r="AI235" i="23"/>
  <c r="AG235" i="23"/>
  <c r="AK235" i="23" s="1"/>
  <c r="AN235" i="23" s="1"/>
  <c r="AI255" i="23"/>
  <c r="AG255" i="23"/>
  <c r="AK255" i="23" s="1"/>
  <c r="AN255" i="23" s="1"/>
  <c r="AI175" i="23"/>
  <c r="AG175" i="23"/>
  <c r="AK175" i="23" s="1"/>
  <c r="AN175" i="23" s="1"/>
  <c r="AI221" i="23"/>
  <c r="AG221" i="23"/>
  <c r="AK221" i="23" s="1"/>
  <c r="AN221" i="23" s="1"/>
  <c r="AI461" i="23"/>
  <c r="AG461" i="23"/>
  <c r="AK461" i="23" s="1"/>
  <c r="AN461" i="23" s="1"/>
  <c r="AI162" i="23"/>
  <c r="AG162" i="23"/>
  <c r="AK162" i="23" s="1"/>
  <c r="AN162" i="23" s="1"/>
  <c r="AI372" i="23"/>
  <c r="AG372" i="23"/>
  <c r="AK372" i="23" s="1"/>
  <c r="AN372" i="23" s="1"/>
  <c r="AG425" i="23"/>
  <c r="AK425" i="23" s="1"/>
  <c r="AN425" i="23" s="1"/>
  <c r="AI425" i="23"/>
  <c r="AI544" i="23"/>
  <c r="AG544" i="23"/>
  <c r="AK544" i="23" s="1"/>
  <c r="AN544" i="23" s="1"/>
  <c r="AI116" i="23"/>
  <c r="AG116" i="23"/>
  <c r="AK116" i="23" s="1"/>
  <c r="AN116" i="23" s="1"/>
  <c r="AI272" i="23"/>
  <c r="AG272" i="23"/>
  <c r="AK272" i="23" s="1"/>
  <c r="AN272" i="23" s="1"/>
  <c r="AI46" i="23"/>
  <c r="AG46" i="23"/>
  <c r="AK46" i="23" s="1"/>
  <c r="AN46" i="23" s="1"/>
  <c r="AI464" i="23"/>
  <c r="AG464" i="23"/>
  <c r="AK464" i="23" s="1"/>
  <c r="AN464" i="23" s="1"/>
  <c r="AI370" i="23"/>
  <c r="AG370" i="23"/>
  <c r="AK370" i="23" s="1"/>
  <c r="AN370" i="23" s="1"/>
  <c r="AI127" i="23"/>
  <c r="AG127" i="23"/>
  <c r="AK127" i="23" s="1"/>
  <c r="AN127" i="23" s="1"/>
  <c r="AI74" i="23"/>
  <c r="AG74" i="23"/>
  <c r="AK74" i="23" s="1"/>
  <c r="AN74" i="23" s="1"/>
  <c r="AI444" i="23"/>
  <c r="AG444" i="23"/>
  <c r="AK444" i="23" s="1"/>
  <c r="AN444" i="23" s="1"/>
  <c r="AI570" i="23"/>
  <c r="AG570" i="23"/>
  <c r="AK570" i="23" s="1"/>
  <c r="AN570" i="23" s="1"/>
  <c r="AI413" i="23"/>
  <c r="AG413" i="23"/>
  <c r="AK413" i="23" s="1"/>
  <c r="AN413" i="23" s="1"/>
  <c r="AG349" i="23"/>
  <c r="AK349" i="23" s="1"/>
  <c r="AN349" i="23" s="1"/>
  <c r="AI349" i="23"/>
  <c r="AI291" i="23"/>
  <c r="AG291" i="23"/>
  <c r="AK291" i="23" s="1"/>
  <c r="AN291" i="23" s="1"/>
  <c r="AI550" i="23"/>
  <c r="AG550" i="23"/>
  <c r="AK550" i="23" s="1"/>
  <c r="AN550" i="23" s="1"/>
  <c r="AI521" i="23"/>
  <c r="AG521" i="23"/>
  <c r="AK521" i="23" s="1"/>
  <c r="AN521" i="23" s="1"/>
  <c r="AI72" i="23"/>
  <c r="AG72" i="23"/>
  <c r="AK72" i="23" s="1"/>
  <c r="AN72" i="23" s="1"/>
  <c r="AG144" i="23"/>
  <c r="AK144" i="23" s="1"/>
  <c r="AN144" i="23" s="1"/>
  <c r="AI144" i="23"/>
  <c r="AI233" i="23"/>
  <c r="AG233" i="23"/>
  <c r="AK233" i="23" s="1"/>
  <c r="AN233" i="23" s="1"/>
  <c r="AI396" i="23"/>
  <c r="AG396" i="23"/>
  <c r="AK396" i="23" s="1"/>
  <c r="AN396" i="23" s="1"/>
  <c r="AI88" i="23"/>
  <c r="AG88" i="23"/>
  <c r="AK88" i="23" s="1"/>
  <c r="AN88" i="23" s="1"/>
  <c r="AI477" i="23"/>
  <c r="AG477" i="23"/>
  <c r="AK477" i="23" s="1"/>
  <c r="AN477" i="23" s="1"/>
  <c r="AI172" i="23"/>
  <c r="AG172" i="23"/>
  <c r="AK172" i="23" s="1"/>
  <c r="AN172" i="23" s="1"/>
  <c r="AI65" i="23"/>
  <c r="AG65" i="23"/>
  <c r="AK65" i="23" s="1"/>
  <c r="AN65" i="23" s="1"/>
  <c r="AI145" i="23"/>
  <c r="AG145" i="23"/>
  <c r="AK145" i="23" s="1"/>
  <c r="AN145" i="23" s="1"/>
  <c r="AI138" i="23"/>
  <c r="AG138" i="23"/>
  <c r="AK138" i="23" s="1"/>
  <c r="AN138" i="23" s="1"/>
  <c r="AG378" i="23"/>
  <c r="AK378" i="23" s="1"/>
  <c r="AN378" i="23" s="1"/>
  <c r="AI378" i="23"/>
  <c r="AI128" i="23"/>
  <c r="AG128" i="23"/>
  <c r="AK128" i="23" s="1"/>
  <c r="AN128" i="23" s="1"/>
  <c r="AI332" i="23"/>
  <c r="AG332" i="23"/>
  <c r="AK332" i="23" s="1"/>
  <c r="AN332" i="23" s="1"/>
  <c r="AI463" i="23"/>
  <c r="AG463" i="23"/>
  <c r="AK463" i="23" s="1"/>
  <c r="AN463" i="23" s="1"/>
  <c r="AI61" i="23"/>
  <c r="AG61" i="23"/>
  <c r="AK61" i="23" s="1"/>
  <c r="AN61" i="23" s="1"/>
  <c r="AG529" i="23"/>
  <c r="AK529" i="23" s="1"/>
  <c r="AN529" i="23" s="1"/>
  <c r="AI529" i="23"/>
  <c r="AG502" i="23"/>
  <c r="AK502" i="23" s="1"/>
  <c r="AN502" i="23" s="1"/>
  <c r="AI502" i="23"/>
  <c r="AJ502" i="23" s="1"/>
  <c r="AI491" i="23"/>
  <c r="AG491" i="23"/>
  <c r="AK491" i="23" s="1"/>
  <c r="AN491" i="23" s="1"/>
  <c r="AI260" i="23"/>
  <c r="AG260" i="23"/>
  <c r="AI345" i="23"/>
  <c r="AG345" i="23"/>
  <c r="AK345" i="23" s="1"/>
  <c r="AN345" i="23" s="1"/>
  <c r="AI414" i="23"/>
  <c r="AG414" i="23"/>
  <c r="AK414" i="23" s="1"/>
  <c r="AN414" i="23" s="1"/>
  <c r="AI571" i="23"/>
  <c r="AG571" i="23"/>
  <c r="AK571" i="23" s="1"/>
  <c r="AN571" i="23" s="1"/>
  <c r="AI296" i="23"/>
  <c r="AG296" i="23"/>
  <c r="AK296" i="23" s="1"/>
  <c r="AN296" i="23" s="1"/>
  <c r="AI407" i="23"/>
  <c r="AG407" i="23"/>
  <c r="AK407" i="23" s="1"/>
  <c r="AN407" i="23" s="1"/>
  <c r="AI519" i="23"/>
  <c r="AG519" i="23"/>
  <c r="AK519" i="23" s="1"/>
  <c r="AN519" i="23" s="1"/>
  <c r="AI146" i="23"/>
  <c r="AG146" i="23"/>
  <c r="AK146" i="23" s="1"/>
  <c r="AN146" i="23" s="1"/>
  <c r="AI79" i="23"/>
  <c r="AG79" i="23"/>
  <c r="AK79" i="23" s="1"/>
  <c r="AN79" i="23" s="1"/>
  <c r="AI288" i="23"/>
  <c r="AG288" i="23"/>
  <c r="AK288" i="23" s="1"/>
  <c r="AN288" i="23" s="1"/>
  <c r="AI227" i="23"/>
  <c r="AG227" i="23"/>
  <c r="AK227" i="23" s="1"/>
  <c r="AN227" i="23" s="1"/>
  <c r="AI339" i="23"/>
  <c r="AG339" i="23"/>
  <c r="AK339" i="23" s="1"/>
  <c r="AN339" i="23" s="1"/>
  <c r="AI40" i="23"/>
  <c r="AG40" i="23"/>
  <c r="AK40" i="23" s="1"/>
  <c r="AN40" i="23" s="1"/>
  <c r="AI23" i="23"/>
  <c r="AG23" i="23"/>
  <c r="AK23" i="23" s="1"/>
  <c r="AN23" i="23" s="1"/>
  <c r="AI216" i="23"/>
  <c r="AG216" i="23"/>
  <c r="AK216" i="23" s="1"/>
  <c r="AN216" i="23" s="1"/>
  <c r="AI478" i="23"/>
  <c r="AG478" i="23"/>
  <c r="AK478" i="23" s="1"/>
  <c r="AN478" i="23" s="1"/>
  <c r="AI384" i="23"/>
  <c r="AG384" i="23"/>
  <c r="AK384" i="23" s="1"/>
  <c r="AN384" i="23" s="1"/>
  <c r="AI34" i="23"/>
  <c r="AG34" i="23"/>
  <c r="AK34" i="23" s="1"/>
  <c r="AN34" i="23" s="1"/>
  <c r="AG149" i="23"/>
  <c r="AK149" i="23" s="1"/>
  <c r="AN149" i="23" s="1"/>
  <c r="AI149" i="23"/>
  <c r="AI232" i="23"/>
  <c r="AG232" i="23"/>
  <c r="AK232" i="23" s="1"/>
  <c r="AN232" i="23" s="1"/>
  <c r="AI416" i="23"/>
  <c r="AG416" i="23"/>
  <c r="AK416" i="23" s="1"/>
  <c r="AN416" i="23" s="1"/>
  <c r="AI385" i="23"/>
  <c r="AG385" i="23"/>
  <c r="AK385" i="23" s="1"/>
  <c r="AN385" i="23" s="1"/>
  <c r="AI32" i="23"/>
  <c r="AG32" i="23"/>
  <c r="AK32" i="23" s="1"/>
  <c r="AN32" i="23" s="1"/>
  <c r="AI554" i="23"/>
  <c r="AG554" i="23"/>
  <c r="AK554" i="23" s="1"/>
  <c r="AN554" i="23" s="1"/>
  <c r="AI394" i="23"/>
  <c r="AG394" i="23"/>
  <c r="AK394" i="23" s="1"/>
  <c r="AN394" i="23" s="1"/>
  <c r="AI453" i="23"/>
  <c r="AG453" i="23"/>
  <c r="AK453" i="23" s="1"/>
  <c r="AN453" i="23" s="1"/>
  <c r="AI310" i="23"/>
  <c r="AG310" i="23"/>
  <c r="AK310" i="23" s="1"/>
  <c r="AN310" i="23" s="1"/>
  <c r="AI262" i="23"/>
  <c r="AG262" i="23"/>
  <c r="AK262" i="23" s="1"/>
  <c r="AN262" i="23" s="1"/>
  <c r="AI536" i="23"/>
  <c r="AG536" i="23"/>
  <c r="AK536" i="23" s="1"/>
  <c r="AN536" i="23" s="1"/>
  <c r="AI572" i="23"/>
  <c r="AJ572" i="23" s="1"/>
  <c r="AG572" i="23"/>
  <c r="AK572" i="23" s="1"/>
  <c r="AN572" i="23" s="1"/>
  <c r="AI197" i="23"/>
  <c r="AG197" i="23"/>
  <c r="AK197" i="23" s="1"/>
  <c r="AN197" i="23" s="1"/>
  <c r="AI124" i="23"/>
  <c r="AG124" i="23"/>
  <c r="AK124" i="23" s="1"/>
  <c r="AN124" i="23" s="1"/>
  <c r="AI525" i="23"/>
  <c r="AG525" i="23"/>
  <c r="AK525" i="23" s="1"/>
  <c r="AN525" i="23" s="1"/>
  <c r="AI428" i="23"/>
  <c r="AG428" i="23"/>
  <c r="AK428" i="23" s="1"/>
  <c r="AN428" i="23" s="1"/>
  <c r="AI115" i="23"/>
  <c r="AG115" i="23"/>
  <c r="AK115" i="23" s="1"/>
  <c r="AN115" i="23" s="1"/>
  <c r="AI276" i="23"/>
  <c r="AG276" i="23"/>
  <c r="AK276" i="23" s="1"/>
  <c r="AN276" i="23" s="1"/>
  <c r="AG50" i="23"/>
  <c r="AI50" i="23"/>
  <c r="AI251" i="23"/>
  <c r="AG251" i="23"/>
  <c r="AK251" i="23" s="1"/>
  <c r="AN251" i="23" s="1"/>
  <c r="AI93" i="23"/>
  <c r="AG93" i="23"/>
  <c r="AK93" i="23" s="1"/>
  <c r="AN93" i="23" s="1"/>
  <c r="AI509" i="23"/>
  <c r="AG509" i="23"/>
  <c r="AK509" i="23" s="1"/>
  <c r="AN509" i="23" s="1"/>
  <c r="AI273" i="23"/>
  <c r="AG273" i="23"/>
  <c r="AK273" i="23" s="1"/>
  <c r="AN273" i="23" s="1"/>
  <c r="AI548" i="23"/>
  <c r="AG548" i="23"/>
  <c r="AK548" i="23" s="1"/>
  <c r="AN548" i="23" s="1"/>
  <c r="AI508" i="23"/>
  <c r="AG508" i="23"/>
  <c r="AK508" i="23" s="1"/>
  <c r="AN508" i="23" s="1"/>
  <c r="AI560" i="23"/>
  <c r="AG560" i="23"/>
  <c r="AK560" i="23" s="1"/>
  <c r="AN560" i="23" s="1"/>
  <c r="AI151" i="23"/>
  <c r="AG151" i="23"/>
  <c r="AK151" i="23" s="1"/>
  <c r="AN151" i="23" s="1"/>
  <c r="AI43" i="23"/>
  <c r="AG43" i="23"/>
  <c r="AK43" i="23" s="1"/>
  <c r="AN43" i="23" s="1"/>
  <c r="AI270" i="23"/>
  <c r="AG270" i="23"/>
  <c r="AK270" i="23" s="1"/>
  <c r="AN270" i="23" s="1"/>
  <c r="AI278" i="23"/>
  <c r="AG278" i="23"/>
  <c r="AK278" i="23" s="1"/>
  <c r="AN278" i="23" s="1"/>
  <c r="AI408" i="23"/>
  <c r="AG408" i="23"/>
  <c r="AK408" i="23" s="1"/>
  <c r="AN408" i="23" s="1"/>
  <c r="AI247" i="23"/>
  <c r="AG247" i="23"/>
  <c r="AK247" i="23" s="1"/>
  <c r="AN247" i="23" s="1"/>
  <c r="AI25" i="23"/>
  <c r="AG25" i="23"/>
  <c r="AK25" i="23" s="1"/>
  <c r="AN25" i="23" s="1"/>
  <c r="AI199" i="23"/>
  <c r="AG199" i="23"/>
  <c r="AK199" i="23" s="1"/>
  <c r="AN199" i="23" s="1"/>
  <c r="AI210" i="23"/>
  <c r="AG210" i="23"/>
  <c r="AK210" i="23" s="1"/>
  <c r="AN210" i="23" s="1"/>
  <c r="AI338" i="23"/>
  <c r="AG338" i="23"/>
  <c r="AK338" i="23" s="1"/>
  <c r="AN338" i="23" s="1"/>
  <c r="AI92" i="23"/>
  <c r="AG92" i="23"/>
  <c r="AK92" i="23" s="1"/>
  <c r="AN92" i="23" s="1"/>
  <c r="AI366" i="23"/>
  <c r="AG366" i="23"/>
  <c r="AK366" i="23" s="1"/>
  <c r="AN366" i="23" s="1"/>
  <c r="N37" i="1"/>
  <c r="O37" i="1" s="1"/>
  <c r="N39" i="1" s="1"/>
  <c r="H38" i="1" s="1"/>
  <c r="H39" i="1" s="1"/>
  <c r="AG222" i="23"/>
  <c r="AK222" i="23" s="1"/>
  <c r="AN222" i="23" s="1"/>
  <c r="AI222" i="23"/>
  <c r="AJ222" i="23" s="1"/>
  <c r="AI415" i="23"/>
  <c r="AG415" i="23"/>
  <c r="AK415" i="23" s="1"/>
  <c r="AN415" i="23" s="1"/>
  <c r="AI282" i="23"/>
  <c r="AG282" i="23"/>
  <c r="AK282" i="23" s="1"/>
  <c r="AN282" i="23" s="1"/>
  <c r="AI228" i="23"/>
  <c r="AG228" i="23"/>
  <c r="AK228" i="23" s="1"/>
  <c r="AN228" i="23" s="1"/>
  <c r="AI558" i="23"/>
  <c r="AG558" i="23"/>
  <c r="AK558" i="23" s="1"/>
  <c r="AN558" i="23" s="1"/>
  <c r="AI555" i="23"/>
  <c r="AG555" i="23"/>
  <c r="AK555" i="23" s="1"/>
  <c r="AN555" i="23" s="1"/>
  <c r="AI55" i="23"/>
  <c r="AG55" i="23"/>
  <c r="AK55" i="23" s="1"/>
  <c r="AN55" i="23" s="1"/>
  <c r="AI182" i="23"/>
  <c r="AG182" i="23"/>
  <c r="AK182" i="23" s="1"/>
  <c r="AN182" i="23" s="1"/>
  <c r="AI527" i="23"/>
  <c r="AG527" i="23"/>
  <c r="AK527" i="23" s="1"/>
  <c r="AN527" i="23" s="1"/>
  <c r="AI449" i="23"/>
  <c r="AG449" i="23"/>
  <c r="AK449" i="23" s="1"/>
  <c r="AN449" i="23" s="1"/>
  <c r="AI559" i="23"/>
  <c r="AG559" i="23"/>
  <c r="AK559" i="23" s="1"/>
  <c r="AN559" i="23" s="1"/>
  <c r="AI158" i="23"/>
  <c r="AG158" i="23"/>
  <c r="AK158" i="23" s="1"/>
  <c r="AN158" i="23" s="1"/>
  <c r="AI193" i="23"/>
  <c r="AG193" i="23"/>
  <c r="AK193" i="23" s="1"/>
  <c r="AN193" i="23" s="1"/>
  <c r="AI367" i="23"/>
  <c r="AG367" i="23"/>
  <c r="AK367" i="23" s="1"/>
  <c r="AN367" i="23" s="1"/>
  <c r="AI343" i="23"/>
  <c r="AG343" i="23"/>
  <c r="AK343" i="23" s="1"/>
  <c r="AN343" i="23" s="1"/>
  <c r="AI347" i="23"/>
  <c r="AG347" i="23"/>
  <c r="AK347" i="23" s="1"/>
  <c r="AN347" i="23" s="1"/>
  <c r="AI215" i="23"/>
  <c r="AG215" i="23"/>
  <c r="AK215" i="23" s="1"/>
  <c r="AN215" i="23" s="1"/>
  <c r="AI417" i="23"/>
  <c r="AG417" i="23"/>
  <c r="AK417" i="23" s="1"/>
  <c r="AN417" i="23" s="1"/>
  <c r="AG319" i="23"/>
  <c r="AK319" i="23" s="1"/>
  <c r="AN319" i="23" s="1"/>
  <c r="AI319" i="23"/>
  <c r="AI141" i="23"/>
  <c r="AG141" i="23"/>
  <c r="AK141" i="23" s="1"/>
  <c r="AN141" i="23" s="1"/>
  <c r="AI462" i="23"/>
  <c r="AG462" i="23"/>
  <c r="AK462" i="23" s="1"/>
  <c r="AN462" i="23" s="1"/>
  <c r="AI458" i="23"/>
  <c r="AG458" i="23"/>
  <c r="AK458" i="23" s="1"/>
  <c r="AN458" i="23" s="1"/>
  <c r="AI257" i="23"/>
  <c r="AJ257" i="23" s="1"/>
  <c r="AG257" i="23"/>
  <c r="AK257" i="23" s="1"/>
  <c r="AN257" i="23" s="1"/>
  <c r="AI35" i="23"/>
  <c r="AG35" i="23"/>
  <c r="AK35" i="23" s="1"/>
  <c r="AN35" i="23" s="1"/>
  <c r="AI33" i="23"/>
  <c r="AG33" i="23"/>
  <c r="AK33" i="23" s="1"/>
  <c r="AN33" i="23" s="1"/>
  <c r="AI105" i="23"/>
  <c r="AG105" i="23"/>
  <c r="AK105" i="23" s="1"/>
  <c r="AN105" i="23" s="1"/>
  <c r="AI94" i="23"/>
  <c r="AG94" i="23"/>
  <c r="AK94" i="23" s="1"/>
  <c r="AN94" i="23" s="1"/>
  <c r="AI303" i="23"/>
  <c r="AG303" i="23"/>
  <c r="AK303" i="23" s="1"/>
  <c r="AN303" i="23" s="1"/>
  <c r="AI161" i="23"/>
  <c r="AG161" i="23"/>
  <c r="AK161" i="23" s="1"/>
  <c r="AN161" i="23" s="1"/>
  <c r="AI395" i="23"/>
  <c r="AG395" i="23"/>
  <c r="AK395" i="23" s="1"/>
  <c r="AN395" i="23" s="1"/>
  <c r="AI201" i="23"/>
  <c r="AG201" i="23"/>
  <c r="AK201" i="23" s="1"/>
  <c r="AN201" i="23" s="1"/>
  <c r="AI513" i="23"/>
  <c r="AG513" i="23"/>
  <c r="AK513" i="23" s="1"/>
  <c r="AN513" i="23" s="1"/>
  <c r="AI302" i="23"/>
  <c r="AG302" i="23"/>
  <c r="AK302" i="23" s="1"/>
  <c r="AN302" i="23" s="1"/>
  <c r="AI102" i="23"/>
  <c r="AG102" i="23"/>
  <c r="AK102" i="23" s="1"/>
  <c r="AN102" i="23" s="1"/>
  <c r="AI327" i="23"/>
  <c r="AJ327" i="23" s="1"/>
  <c r="AG327" i="23"/>
  <c r="AK327" i="23" s="1"/>
  <c r="AN327" i="23" s="1"/>
  <c r="AI334" i="23"/>
  <c r="AG334" i="23"/>
  <c r="AK334" i="23" s="1"/>
  <c r="AN334" i="23" s="1"/>
  <c r="AI200" i="23"/>
  <c r="AG200" i="23"/>
  <c r="AK200" i="23" s="1"/>
  <c r="AN200" i="23" s="1"/>
  <c r="AI219" i="23"/>
  <c r="AG219" i="23"/>
  <c r="AK219" i="23" s="1"/>
  <c r="AN219" i="23" s="1"/>
  <c r="AI556" i="23"/>
  <c r="AG556" i="23"/>
  <c r="AK556" i="23" s="1"/>
  <c r="AN556" i="23" s="1"/>
  <c r="AI99" i="23"/>
  <c r="AG99" i="23"/>
  <c r="AK99" i="23" s="1"/>
  <c r="AN99" i="23" s="1"/>
  <c r="AI307" i="23"/>
  <c r="AG307" i="23"/>
  <c r="AK307" i="23" s="1"/>
  <c r="AN307" i="23" s="1"/>
  <c r="AI482" i="23"/>
  <c r="AG482" i="23"/>
  <c r="AK482" i="23" s="1"/>
  <c r="AN482" i="23" s="1"/>
  <c r="AI320" i="23"/>
  <c r="AG320" i="23"/>
  <c r="AK320" i="23" s="1"/>
  <c r="AN320" i="23" s="1"/>
  <c r="AI108" i="23"/>
  <c r="AG108" i="23"/>
  <c r="AK108" i="23" s="1"/>
  <c r="AN108" i="23" s="1"/>
  <c r="AI148" i="23"/>
  <c r="AG148" i="23"/>
  <c r="AK148" i="23" s="1"/>
  <c r="AN148" i="23" s="1"/>
  <c r="AI170" i="23"/>
  <c r="AG170" i="23"/>
  <c r="AK170" i="23" s="1"/>
  <c r="AN170" i="23" s="1"/>
  <c r="AI143" i="23"/>
  <c r="AG143" i="23"/>
  <c r="AK143" i="23" s="1"/>
  <c r="AN143" i="23" s="1"/>
  <c r="AI157" i="23"/>
  <c r="AG157" i="23"/>
  <c r="AK157" i="23" s="1"/>
  <c r="AN157" i="23" s="1"/>
  <c r="AI279" i="23"/>
  <c r="AG279" i="23"/>
  <c r="AK279" i="23" s="1"/>
  <c r="AN279" i="23" s="1"/>
  <c r="AI486" i="23"/>
  <c r="AG486" i="23"/>
  <c r="AK486" i="23" s="1"/>
  <c r="AN486" i="23" s="1"/>
  <c r="AI420" i="23"/>
  <c r="AG420" i="23"/>
  <c r="AK420" i="23" s="1"/>
  <c r="AN420" i="23" s="1"/>
  <c r="AI71" i="23"/>
  <c r="AG71" i="23"/>
  <c r="AK71" i="23" s="1"/>
  <c r="AN71" i="23" s="1"/>
  <c r="AI532" i="23"/>
  <c r="AG532" i="23"/>
  <c r="AK532" i="23" s="1"/>
  <c r="AN532" i="23" s="1"/>
  <c r="AI113" i="23"/>
  <c r="AG113" i="23"/>
  <c r="AK113" i="23" s="1"/>
  <c r="AN113" i="23" s="1"/>
  <c r="AI387" i="23"/>
  <c r="AG387" i="23"/>
  <c r="AK387" i="23" s="1"/>
  <c r="AN387" i="23" s="1"/>
  <c r="AG467" i="23"/>
  <c r="AK467" i="23" s="1"/>
  <c r="AN467" i="23" s="1"/>
  <c r="AI467" i="23"/>
  <c r="AJ467" i="23" s="1"/>
  <c r="AI476" i="23"/>
  <c r="AG476" i="23"/>
  <c r="AK476" i="23" s="1"/>
  <c r="AN476" i="23" s="1"/>
  <c r="AI315" i="23"/>
  <c r="AG315" i="23"/>
  <c r="AK315" i="23" s="1"/>
  <c r="AN315" i="23" s="1"/>
  <c r="AI178" i="23"/>
  <c r="AG178" i="23"/>
  <c r="AK178" i="23" s="1"/>
  <c r="AN178" i="23" s="1"/>
  <c r="AI165" i="23"/>
  <c r="AG165" i="23"/>
  <c r="AK165" i="23" s="1"/>
  <c r="AN165" i="23" s="1"/>
  <c r="AI62" i="23"/>
  <c r="AG62" i="23"/>
  <c r="AK62" i="23" s="1"/>
  <c r="AN62" i="23" s="1"/>
  <c r="AG543" i="23"/>
  <c r="AK543" i="23" s="1"/>
  <c r="AN543" i="23" s="1"/>
  <c r="AI543" i="23"/>
  <c r="AI76" i="23"/>
  <c r="AG76" i="23"/>
  <c r="AK76" i="23" s="1"/>
  <c r="AN76" i="23" s="1"/>
  <c r="AI155" i="23"/>
  <c r="AG155" i="23"/>
  <c r="AI365" i="23"/>
  <c r="AG365" i="23"/>
  <c r="AI136" i="23"/>
  <c r="AG136" i="23"/>
  <c r="AK136" i="23" s="1"/>
  <c r="AN136" i="23" s="1"/>
  <c r="AI369" i="23"/>
  <c r="AG369" i="23"/>
  <c r="AK369" i="23" s="1"/>
  <c r="AN369" i="23" s="1"/>
  <c r="AI38" i="23"/>
  <c r="AG38" i="23"/>
  <c r="AK38" i="23" s="1"/>
  <c r="AN38" i="23" s="1"/>
  <c r="AG152" i="23"/>
  <c r="AK152" i="23" s="1"/>
  <c r="AN152" i="23" s="1"/>
  <c r="AI152" i="23"/>
  <c r="AJ152" i="23" s="1"/>
  <c r="AI27" i="23"/>
  <c r="AG27" i="23"/>
  <c r="AK27" i="23" s="1"/>
  <c r="AN27" i="23" s="1"/>
  <c r="AI90" i="23"/>
  <c r="AG90" i="23"/>
  <c r="AK90" i="23" s="1"/>
  <c r="AN90" i="23" s="1"/>
  <c r="AI77" i="23"/>
  <c r="AG77" i="23"/>
  <c r="AK77" i="23" s="1"/>
  <c r="AN77" i="23" s="1"/>
  <c r="AI520" i="23"/>
  <c r="AG520" i="23"/>
  <c r="AK520" i="23" s="1"/>
  <c r="AN520" i="23" s="1"/>
  <c r="AI471" i="23"/>
  <c r="AG471" i="23"/>
  <c r="AK471" i="23" s="1"/>
  <c r="AN471" i="23" s="1"/>
  <c r="AI436" i="23"/>
  <c r="AG436" i="23"/>
  <c r="AK436" i="23" s="1"/>
  <c r="AN436" i="23" s="1"/>
  <c r="AG374" i="23"/>
  <c r="AK374" i="23" s="1"/>
  <c r="AN374" i="23" s="1"/>
  <c r="AI374" i="23"/>
  <c r="AI243" i="23"/>
  <c r="AG243" i="23"/>
  <c r="AK243" i="23" s="1"/>
  <c r="AN243" i="23" s="1"/>
  <c r="AI195" i="23"/>
  <c r="AG195" i="23"/>
  <c r="AK195" i="23" s="1"/>
  <c r="AN195" i="23" s="1"/>
  <c r="AI350" i="23"/>
  <c r="AG350" i="23"/>
  <c r="AK350" i="23" s="1"/>
  <c r="AN350" i="23" s="1"/>
  <c r="AI120" i="23"/>
  <c r="AG120" i="23"/>
  <c r="AI41" i="23"/>
  <c r="AG41" i="23"/>
  <c r="AK41" i="23" s="1"/>
  <c r="AN41" i="23" s="1"/>
  <c r="AG362" i="23"/>
  <c r="AK362" i="23" s="1"/>
  <c r="AN362" i="23" s="1"/>
  <c r="AI362" i="23"/>
  <c r="AJ362" i="23" s="1"/>
  <c r="AI231" i="23"/>
  <c r="AG231" i="23"/>
  <c r="AK231" i="23" s="1"/>
  <c r="AN231" i="23" s="1"/>
  <c r="AI245" i="23"/>
  <c r="AG245" i="23"/>
  <c r="AK245" i="23" s="1"/>
  <c r="AN245" i="23" s="1"/>
  <c r="AI139" i="23"/>
  <c r="AG139" i="23"/>
  <c r="AK139" i="23" s="1"/>
  <c r="AN139" i="23" s="1"/>
  <c r="AI70" i="23"/>
  <c r="AG70" i="23"/>
  <c r="AK70" i="23" s="1"/>
  <c r="AN70" i="23" s="1"/>
  <c r="AI177" i="23"/>
  <c r="AG177" i="23"/>
  <c r="AK177" i="23" s="1"/>
  <c r="AN177" i="23" s="1"/>
  <c r="AI289" i="23"/>
  <c r="AG289" i="23"/>
  <c r="AK289" i="23" s="1"/>
  <c r="AN289" i="23" s="1"/>
  <c r="AI333" i="23"/>
  <c r="AG333" i="23"/>
  <c r="AK333" i="23" s="1"/>
  <c r="AN333" i="23" s="1"/>
  <c r="AI466" i="23"/>
  <c r="AG466" i="23"/>
  <c r="AK466" i="23" s="1"/>
  <c r="AN466" i="23" s="1"/>
  <c r="AI226" i="23"/>
  <c r="AG226" i="23"/>
  <c r="AK226" i="23" s="1"/>
  <c r="AN226" i="23" s="1"/>
  <c r="AI20" i="23"/>
  <c r="AG20" i="23"/>
  <c r="AK20" i="23" s="1"/>
  <c r="AN20" i="23" s="1"/>
  <c r="AI404" i="23"/>
  <c r="AG404" i="23"/>
  <c r="AK404" i="23" s="1"/>
  <c r="AN404" i="23" s="1"/>
  <c r="AI159" i="23"/>
  <c r="AG159" i="23"/>
  <c r="AK159" i="23" s="1"/>
  <c r="AN159" i="23" s="1"/>
  <c r="AI330" i="23"/>
  <c r="AG330" i="23"/>
  <c r="AI203" i="23"/>
  <c r="AG203" i="23"/>
  <c r="AK203" i="23" s="1"/>
  <c r="AN203" i="23" s="1"/>
  <c r="AI493" i="23"/>
  <c r="AG493" i="23"/>
  <c r="AK493" i="23" s="1"/>
  <c r="AN493" i="23" s="1"/>
  <c r="AI184" i="23"/>
  <c r="AG184" i="23"/>
  <c r="AK184" i="23" s="1"/>
  <c r="AN184" i="23" s="1"/>
  <c r="AI515" i="23"/>
  <c r="AG515" i="23"/>
  <c r="AK515" i="23" s="1"/>
  <c r="AN515" i="23" s="1"/>
  <c r="AI487" i="23"/>
  <c r="AG487" i="23"/>
  <c r="AK487" i="23" s="1"/>
  <c r="AN487" i="23" s="1"/>
  <c r="AI37" i="23"/>
  <c r="AG37" i="23"/>
  <c r="AK37" i="23" s="1"/>
  <c r="AN37" i="23" s="1"/>
  <c r="AI244" i="23"/>
  <c r="AG244" i="23"/>
  <c r="AK244" i="23" s="1"/>
  <c r="AN244" i="23" s="1"/>
  <c r="AI167" i="23"/>
  <c r="AG167" i="23"/>
  <c r="AK167" i="23" s="1"/>
  <c r="AN167" i="23" s="1"/>
  <c r="AI75" i="23"/>
  <c r="AG75" i="23"/>
  <c r="AK75" i="23" s="1"/>
  <c r="AN75" i="23" s="1"/>
  <c r="AI186" i="23"/>
  <c r="AG186" i="23"/>
  <c r="AK186" i="23" s="1"/>
  <c r="AN186" i="23" s="1"/>
  <c r="AI381" i="23"/>
  <c r="AG381" i="23"/>
  <c r="AK381" i="23" s="1"/>
  <c r="AN381" i="23" s="1"/>
  <c r="AI285" i="23"/>
  <c r="AG285" i="23"/>
  <c r="AK285" i="23" s="1"/>
  <c r="AN285" i="23" s="1"/>
  <c r="AI30" i="23"/>
  <c r="AG30" i="23"/>
  <c r="AK30" i="23" s="1"/>
  <c r="AN30" i="23" s="1"/>
  <c r="AI410" i="23"/>
  <c r="AG410" i="23"/>
  <c r="AK410" i="23" s="1"/>
  <c r="AN410" i="23" s="1"/>
  <c r="AI541" i="23"/>
  <c r="AG541" i="23"/>
  <c r="AK541" i="23" s="1"/>
  <c r="AN541" i="23" s="1"/>
  <c r="AI190" i="23"/>
  <c r="AG190" i="23"/>
  <c r="AI256" i="23"/>
  <c r="AG256" i="23"/>
  <c r="AK256" i="23" s="1"/>
  <c r="AN256" i="23" s="1"/>
  <c r="AG295" i="23"/>
  <c r="AI295" i="23"/>
  <c r="AI335" i="23"/>
  <c r="AG335" i="23"/>
  <c r="AK335" i="23" s="1"/>
  <c r="AN335" i="23" s="1"/>
  <c r="AI483" i="23"/>
  <c r="AG483" i="23"/>
  <c r="AK483" i="23" s="1"/>
  <c r="AN483" i="23" s="1"/>
  <c r="AI132" i="23"/>
  <c r="AG132" i="23"/>
  <c r="AK132" i="23" s="1"/>
  <c r="AN132" i="23" s="1"/>
  <c r="AI546" i="23"/>
  <c r="AG546" i="23"/>
  <c r="AK546" i="23" s="1"/>
  <c r="AN546" i="23" s="1"/>
  <c r="AI475" i="23"/>
  <c r="AG475" i="23"/>
  <c r="AK475" i="23" s="1"/>
  <c r="AN475" i="23" s="1"/>
  <c r="AI528" i="23"/>
  <c r="AG528" i="23"/>
  <c r="AK528" i="23" s="1"/>
  <c r="AN528" i="23" s="1"/>
  <c r="AI342" i="23"/>
  <c r="AG342" i="23"/>
  <c r="AK342" i="23" s="1"/>
  <c r="AN342" i="23" s="1"/>
  <c r="AI191" i="23"/>
  <c r="AG191" i="23"/>
  <c r="AK191" i="23" s="1"/>
  <c r="AN191" i="23" s="1"/>
  <c r="AI261" i="23"/>
  <c r="AG261" i="23"/>
  <c r="AK261" i="23" s="1"/>
  <c r="AN261" i="23" s="1"/>
  <c r="AI209" i="23"/>
  <c r="AG209" i="23"/>
  <c r="AK209" i="23" s="1"/>
  <c r="AN209" i="23" s="1"/>
  <c r="AI44" i="23"/>
  <c r="AG44" i="23"/>
  <c r="AK44" i="23" s="1"/>
  <c r="AN44" i="23" s="1"/>
  <c r="AI91" i="23"/>
  <c r="AG91" i="23"/>
  <c r="AK91" i="23" s="1"/>
  <c r="AN91" i="23" s="1"/>
  <c r="AI202" i="23"/>
  <c r="AG202" i="23"/>
  <c r="AK202" i="23" s="1"/>
  <c r="AN202" i="23" s="1"/>
  <c r="AI241" i="23"/>
  <c r="AG241" i="23"/>
  <c r="AK241" i="23" s="1"/>
  <c r="AN241" i="23" s="1"/>
  <c r="AI97" i="23"/>
  <c r="AG97" i="23"/>
  <c r="AK97" i="23" s="1"/>
  <c r="AN97" i="23" s="1"/>
  <c r="AI534" i="23"/>
  <c r="AG534" i="23"/>
  <c r="AK534" i="23" s="1"/>
  <c r="AN534" i="23" s="1"/>
  <c r="AI505" i="23"/>
  <c r="AG505" i="23"/>
  <c r="AI373" i="23"/>
  <c r="AG373" i="23"/>
  <c r="AK373" i="23" s="1"/>
  <c r="AN373" i="23" s="1"/>
  <c r="AI340" i="23"/>
  <c r="AG340" i="23"/>
  <c r="AK340" i="23" s="1"/>
  <c r="AN340" i="23" s="1"/>
  <c r="AI419" i="23"/>
  <c r="AG419" i="23"/>
  <c r="AK419" i="23" s="1"/>
  <c r="AN419" i="23" s="1"/>
  <c r="AI238" i="23"/>
  <c r="AG238" i="23"/>
  <c r="AK238" i="23" s="1"/>
  <c r="AN238" i="23" s="1"/>
  <c r="AI19" i="23"/>
  <c r="AG19" i="23"/>
  <c r="AI390" i="23"/>
  <c r="AG390" i="23"/>
  <c r="AK390" i="23" s="1"/>
  <c r="AN390" i="23" s="1"/>
  <c r="AI326" i="23"/>
  <c r="AG326" i="23"/>
  <c r="AK326" i="23" s="1"/>
  <c r="AN326" i="23" s="1"/>
  <c r="AI523" i="23"/>
  <c r="AG523" i="23"/>
  <c r="AK523" i="23" s="1"/>
  <c r="AN523" i="23" s="1"/>
  <c r="AI100" i="23"/>
  <c r="AG100" i="23"/>
  <c r="AK100" i="23" s="1"/>
  <c r="AN100" i="23" s="1"/>
  <c r="AI314" i="23"/>
  <c r="AG314" i="23"/>
  <c r="AK314" i="23" s="1"/>
  <c r="AN314" i="23" s="1"/>
  <c r="AI455" i="23"/>
  <c r="AG455" i="23"/>
  <c r="AK455" i="23" s="1"/>
  <c r="AN455" i="23" s="1"/>
  <c r="AI460" i="23"/>
  <c r="AG460" i="23"/>
  <c r="AK460" i="23" s="1"/>
  <c r="AN460" i="23" s="1"/>
  <c r="AI266" i="23"/>
  <c r="AG266" i="23"/>
  <c r="AK266" i="23" s="1"/>
  <c r="AN266" i="23" s="1"/>
  <c r="AI269" i="23"/>
  <c r="AG269" i="23"/>
  <c r="AK269" i="23" s="1"/>
  <c r="AN269" i="23" s="1"/>
  <c r="AI21" i="23"/>
  <c r="AG21" i="23"/>
  <c r="AK21" i="23" s="1"/>
  <c r="AN21" i="23" s="1"/>
  <c r="AI553" i="23"/>
  <c r="AG553" i="23"/>
  <c r="AK553" i="23" s="1"/>
  <c r="AN553" i="23" s="1"/>
  <c r="AI271" i="23"/>
  <c r="AG271" i="23"/>
  <c r="AK271" i="23" s="1"/>
  <c r="AN271" i="23" s="1"/>
  <c r="AI325" i="23"/>
  <c r="AG325" i="23"/>
  <c r="AK325" i="23" s="1"/>
  <c r="AN325" i="23" s="1"/>
  <c r="AI447" i="23"/>
  <c r="AG447" i="23"/>
  <c r="AK447" i="23" s="1"/>
  <c r="AN447" i="23" s="1"/>
  <c r="AI499" i="23"/>
  <c r="AG499" i="23"/>
  <c r="AK499" i="23" s="1"/>
  <c r="AN499" i="23" s="1"/>
  <c r="AI418" i="23"/>
  <c r="AG418" i="23"/>
  <c r="AK418" i="23" s="1"/>
  <c r="AN418" i="23" s="1"/>
  <c r="AI318" i="23"/>
  <c r="AG318" i="23"/>
  <c r="AK318" i="23" s="1"/>
  <c r="AN318" i="23" s="1"/>
  <c r="AI440" i="23"/>
  <c r="AG440" i="23"/>
  <c r="AK440" i="23" s="1"/>
  <c r="AN440" i="23" s="1"/>
  <c r="AI547" i="23"/>
  <c r="AG547" i="23"/>
  <c r="AK547" i="23" s="1"/>
  <c r="AN547" i="23" s="1"/>
  <c r="AI135" i="23"/>
  <c r="AG135" i="23"/>
  <c r="AK135" i="23" s="1"/>
  <c r="AN135" i="23" s="1"/>
  <c r="AI126" i="23"/>
  <c r="AG126" i="23"/>
  <c r="AK126" i="23" s="1"/>
  <c r="AN126" i="23" s="1"/>
  <c r="AI208" i="23"/>
  <c r="AG208" i="23"/>
  <c r="AK208" i="23" s="1"/>
  <c r="AN208" i="23" s="1"/>
  <c r="AI69" i="23"/>
  <c r="AG69" i="23"/>
  <c r="AK69" i="23" s="1"/>
  <c r="AN69" i="23" s="1"/>
  <c r="AI214" i="23"/>
  <c r="AG214" i="23"/>
  <c r="AK214" i="23" s="1"/>
  <c r="AN214" i="23" s="1"/>
  <c r="AI254" i="23"/>
  <c r="AG254" i="23"/>
  <c r="AK254" i="23" s="1"/>
  <c r="AN254" i="23" s="1"/>
  <c r="AI28" i="23"/>
  <c r="AG28" i="23"/>
  <c r="AK28" i="23" s="1"/>
  <c r="AN28" i="23" s="1"/>
  <c r="AI67" i="23"/>
  <c r="AG67" i="23"/>
  <c r="AK67" i="23" s="1"/>
  <c r="AN67" i="23" s="1"/>
  <c r="AI518" i="23"/>
  <c r="AG518" i="23"/>
  <c r="AK518" i="23" s="1"/>
  <c r="AN518" i="23" s="1"/>
  <c r="AI60" i="23"/>
  <c r="AG60" i="23"/>
  <c r="AK60" i="23" s="1"/>
  <c r="AN60" i="23" s="1"/>
  <c r="AI131" i="23"/>
  <c r="AG131" i="23"/>
  <c r="AK131" i="23" s="1"/>
  <c r="AN131" i="23" s="1"/>
  <c r="AI142" i="23"/>
  <c r="AG142" i="23"/>
  <c r="AK142" i="23" s="1"/>
  <c r="AN142" i="23" s="1"/>
  <c r="AI530" i="23"/>
  <c r="AG530" i="23"/>
  <c r="AK530" i="23" s="1"/>
  <c r="AN530" i="23" s="1"/>
  <c r="AG163" i="23"/>
  <c r="AK163" i="23" s="1"/>
  <c r="AN163" i="23" s="1"/>
  <c r="AI163" i="23"/>
  <c r="AI63" i="23"/>
  <c r="AG63" i="23"/>
  <c r="AK63" i="23" s="1"/>
  <c r="AN63" i="23" s="1"/>
  <c r="AI239" i="23"/>
  <c r="AG239" i="23"/>
  <c r="AK239" i="23" s="1"/>
  <c r="AN239" i="23" s="1"/>
  <c r="AI311" i="23"/>
  <c r="AG311" i="23"/>
  <c r="AK311" i="23" s="1"/>
  <c r="AN311" i="23" s="1"/>
  <c r="AI117" i="23"/>
  <c r="AJ117" i="23" s="1"/>
  <c r="AG117" i="23"/>
  <c r="AK117" i="23" s="1"/>
  <c r="AN117" i="23" s="1"/>
  <c r="AI526" i="23"/>
  <c r="AG526" i="23"/>
  <c r="AK526" i="23" s="1"/>
  <c r="AN526" i="23" s="1"/>
  <c r="AI355" i="23"/>
  <c r="AG355" i="23"/>
  <c r="AK355" i="23" s="1"/>
  <c r="AN355" i="23" s="1"/>
  <c r="AI275" i="23"/>
  <c r="AG275" i="23"/>
  <c r="AK275" i="23" s="1"/>
  <c r="AN275" i="23" s="1"/>
  <c r="AI103" i="23"/>
  <c r="AG103" i="23"/>
  <c r="AK103" i="23" s="1"/>
  <c r="AN103" i="23" s="1"/>
  <c r="AI47" i="23"/>
  <c r="AJ47" i="23" s="1"/>
  <c r="AG47" i="23"/>
  <c r="AK47" i="23" s="1"/>
  <c r="AN47" i="23" s="1"/>
  <c r="AI441" i="23"/>
  <c r="AG441" i="23"/>
  <c r="AK441" i="23" s="1"/>
  <c r="AN441" i="23" s="1"/>
  <c r="AG391" i="23"/>
  <c r="AK391" i="23" s="1"/>
  <c r="AN391" i="23" s="1"/>
  <c r="AI391" i="23"/>
  <c r="AG474" i="23"/>
  <c r="AK474" i="23" s="1"/>
  <c r="AN474" i="23" s="1"/>
  <c r="AI474" i="23"/>
  <c r="AI500" i="23"/>
  <c r="AG500" i="23"/>
  <c r="AK500" i="23" s="1"/>
  <c r="AN500" i="23" s="1"/>
  <c r="AI180" i="23"/>
  <c r="AG180" i="23"/>
  <c r="AK180" i="23" s="1"/>
  <c r="AN180" i="23" s="1"/>
  <c r="AI56" i="23"/>
  <c r="AG56" i="23"/>
  <c r="AK56" i="23" s="1"/>
  <c r="AN56" i="23" s="1"/>
  <c r="AI169" i="23"/>
  <c r="AG169" i="23"/>
  <c r="AK169" i="23" s="1"/>
  <c r="AN169" i="23" s="1"/>
  <c r="AI405" i="23"/>
  <c r="AG405" i="23"/>
  <c r="AK405" i="23" s="1"/>
  <c r="AN405" i="23" s="1"/>
  <c r="AI218" i="23"/>
  <c r="AG218" i="23"/>
  <c r="AK218" i="23" s="1"/>
  <c r="AN218" i="23" s="1"/>
  <c r="AI185" i="23"/>
  <c r="AG185" i="23"/>
  <c r="AK185" i="23" s="1"/>
  <c r="AN185" i="23" s="1"/>
  <c r="AI357" i="23"/>
  <c r="AG357" i="23"/>
  <c r="AK357" i="23" s="1"/>
  <c r="AN357" i="23" s="1"/>
  <c r="AG31" i="23"/>
  <c r="AK31" i="23" s="1"/>
  <c r="AN31" i="23" s="1"/>
  <c r="AI31" i="23"/>
  <c r="AI85" i="23"/>
  <c r="AG85" i="23"/>
  <c r="AI435" i="23"/>
  <c r="AG435" i="23"/>
  <c r="AI454" i="23"/>
  <c r="AG454" i="23"/>
  <c r="AK454" i="23" s="1"/>
  <c r="AN454" i="23" s="1"/>
  <c r="AI421" i="23"/>
  <c r="AG421" i="23"/>
  <c r="AK421" i="23" s="1"/>
  <c r="AN421" i="23" s="1"/>
  <c r="AI448" i="23"/>
  <c r="AG448" i="23"/>
  <c r="AK448" i="23" s="1"/>
  <c r="AN448" i="23" s="1"/>
  <c r="AI386" i="23"/>
  <c r="AG386" i="23"/>
  <c r="AK386" i="23" s="1"/>
  <c r="AN386" i="23" s="1"/>
  <c r="AI403" i="23"/>
  <c r="AG403" i="23"/>
  <c r="AK403" i="23" s="1"/>
  <c r="AN403" i="23" s="1"/>
  <c r="AI383" i="23"/>
  <c r="AG383" i="23"/>
  <c r="AK383" i="23" s="1"/>
  <c r="AN383" i="23" s="1"/>
  <c r="AI73" i="23"/>
  <c r="AG73" i="23"/>
  <c r="AK73" i="23" s="1"/>
  <c r="AN73" i="23" s="1"/>
  <c r="AI248" i="23"/>
  <c r="AG248" i="23"/>
  <c r="AK248" i="23" s="1"/>
  <c r="AN248" i="23" s="1"/>
  <c r="AI301" i="23"/>
  <c r="AG301" i="23"/>
  <c r="AK301" i="23" s="1"/>
  <c r="AN301" i="23" s="1"/>
  <c r="AI316" i="23"/>
  <c r="AG316" i="23"/>
  <c r="AK316" i="23" s="1"/>
  <c r="AN316" i="23" s="1"/>
  <c r="AI212" i="23"/>
  <c r="AG212" i="23"/>
  <c r="AK212" i="23" s="1"/>
  <c r="AN212" i="23" s="1"/>
  <c r="AI309" i="23"/>
  <c r="AG309" i="23"/>
  <c r="AK309" i="23" s="1"/>
  <c r="AN309" i="23" s="1"/>
  <c r="AI567" i="23"/>
  <c r="AG567" i="23"/>
  <c r="AK567" i="23" s="1"/>
  <c r="AN567" i="23" s="1"/>
  <c r="AI173" i="23"/>
  <c r="AG173" i="23"/>
  <c r="AK173" i="23" s="1"/>
  <c r="AN173" i="23" s="1"/>
  <c r="AG111" i="23"/>
  <c r="AK111" i="23" s="1"/>
  <c r="AN111" i="23" s="1"/>
  <c r="AI111" i="23"/>
  <c r="AI452" i="23"/>
  <c r="AG452" i="23"/>
  <c r="AK452" i="23" s="1"/>
  <c r="AN452" i="23" s="1"/>
  <c r="AI481" i="23"/>
  <c r="AG481" i="23"/>
  <c r="AK481" i="23" s="1"/>
  <c r="AN481" i="23" s="1"/>
  <c r="AI430" i="23"/>
  <c r="AG430" i="23"/>
  <c r="AK430" i="23" s="1"/>
  <c r="AN430" i="23" s="1"/>
  <c r="AI472" i="23"/>
  <c r="AG472" i="23"/>
  <c r="AK472" i="23" s="1"/>
  <c r="AN472" i="23" s="1"/>
  <c r="AI234" i="23"/>
  <c r="AG234" i="23"/>
  <c r="AK234" i="23" s="1"/>
  <c r="AN234" i="23" s="1"/>
  <c r="AI39" i="23"/>
  <c r="AG39" i="23"/>
  <c r="AK39" i="23" s="1"/>
  <c r="AN39" i="23" s="1"/>
  <c r="AI66" i="23"/>
  <c r="AG66" i="23"/>
  <c r="AK66" i="23" s="1"/>
  <c r="AN66" i="23" s="1"/>
  <c r="AI249" i="23"/>
  <c r="AG249" i="23"/>
  <c r="AK249" i="23" s="1"/>
  <c r="AN249" i="23" s="1"/>
  <c r="AI80" i="23"/>
  <c r="AG80" i="23"/>
  <c r="AK80" i="23" s="1"/>
  <c r="AN80" i="23" s="1"/>
  <c r="AI104" i="23"/>
  <c r="AG104" i="23"/>
  <c r="AK104" i="23" s="1"/>
  <c r="AN104" i="23" s="1"/>
  <c r="AI551" i="23"/>
  <c r="AG551" i="23"/>
  <c r="AK551" i="23" s="1"/>
  <c r="AN551" i="23" s="1"/>
  <c r="AI427" i="23"/>
  <c r="AG427" i="23"/>
  <c r="AK427" i="23" s="1"/>
  <c r="AN427" i="23" s="1"/>
  <c r="AI512" i="23"/>
  <c r="AG512" i="23"/>
  <c r="AK512" i="23" s="1"/>
  <c r="AN512" i="23" s="1"/>
  <c r="AI306" i="23"/>
  <c r="AG306" i="23"/>
  <c r="AK306" i="23" s="1"/>
  <c r="AN306" i="23" s="1"/>
  <c r="AI211" i="23"/>
  <c r="AG211" i="23"/>
  <c r="AK211" i="23" s="1"/>
  <c r="AN211" i="23" s="1"/>
  <c r="AI382" i="23"/>
  <c r="AG382" i="23"/>
  <c r="AK382" i="23" s="1"/>
  <c r="AN382" i="23" s="1"/>
  <c r="AI176" i="23"/>
  <c r="AG176" i="23"/>
  <c r="AK176" i="23" s="1"/>
  <c r="AN176" i="23" s="1"/>
  <c r="AI16" i="23"/>
  <c r="AG16" i="23"/>
  <c r="B16" i="2" s="1"/>
  <c r="AI406" i="23"/>
  <c r="AG406" i="23"/>
  <c r="AK406" i="23" s="1"/>
  <c r="AN406" i="23" s="1"/>
  <c r="AI437" i="23"/>
  <c r="AG437" i="23"/>
  <c r="AK437" i="23" s="1"/>
  <c r="AN437" i="23" s="1"/>
  <c r="AI568" i="23"/>
  <c r="AG568" i="23"/>
  <c r="AK568" i="23" s="1"/>
  <c r="AN568" i="23" s="1"/>
  <c r="AI456" i="23"/>
  <c r="AG456" i="23"/>
  <c r="AK456" i="23" s="1"/>
  <c r="AN456" i="23" s="1"/>
  <c r="AI401" i="23"/>
  <c r="AG401" i="23"/>
  <c r="AK401" i="23" s="1"/>
  <c r="AN401" i="23" s="1"/>
  <c r="AI58" i="23"/>
  <c r="AG58" i="23"/>
  <c r="AK58" i="23" s="1"/>
  <c r="AN58" i="23" s="1"/>
  <c r="AI511" i="23"/>
  <c r="AG511" i="23"/>
  <c r="AK511" i="23" s="1"/>
  <c r="AN511" i="23" s="1"/>
  <c r="AI510" i="23"/>
  <c r="AG510" i="23"/>
  <c r="AK510" i="23" s="1"/>
  <c r="AN510" i="23" s="1"/>
  <c r="AI488" i="23"/>
  <c r="AG488" i="23"/>
  <c r="AK488" i="23" s="1"/>
  <c r="AN488" i="23" s="1"/>
  <c r="AI198" i="23"/>
  <c r="AG198" i="23"/>
  <c r="AK198" i="23" s="1"/>
  <c r="AN198" i="23" s="1"/>
  <c r="AI312" i="23"/>
  <c r="AG312" i="23"/>
  <c r="AK312" i="23" s="1"/>
  <c r="AN312" i="23" s="1"/>
  <c r="AI123" i="23"/>
  <c r="AG123" i="23"/>
  <c r="AK123" i="23" s="1"/>
  <c r="AN123" i="23" s="1"/>
  <c r="AI439" i="23"/>
  <c r="AG439" i="23"/>
  <c r="AK439" i="23" s="1"/>
  <c r="AN439" i="23" s="1"/>
  <c r="AI565" i="23"/>
  <c r="AG565" i="23"/>
  <c r="AK565" i="23" s="1"/>
  <c r="AN565" i="23" s="1"/>
  <c r="AI423" i="23"/>
  <c r="AG423" i="23"/>
  <c r="AK423" i="23" s="1"/>
  <c r="AN423" i="23" s="1"/>
  <c r="AG240" i="23"/>
  <c r="AK240" i="23" s="1"/>
  <c r="AN240" i="23" s="1"/>
  <c r="AI240" i="23"/>
  <c r="AI53" i="23"/>
  <c r="AG53" i="23"/>
  <c r="AK53" i="23" s="1"/>
  <c r="AN53" i="23" s="1"/>
  <c r="AI207" i="23"/>
  <c r="AG207" i="23"/>
  <c r="AK207" i="23" s="1"/>
  <c r="AN207" i="23" s="1"/>
  <c r="AI569" i="23"/>
  <c r="AG569" i="23"/>
  <c r="AK569" i="23" s="1"/>
  <c r="AN569" i="23" s="1"/>
  <c r="AI540" i="23"/>
  <c r="AG540" i="23"/>
  <c r="AI95" i="23"/>
  <c r="AG95" i="23"/>
  <c r="AK95" i="23" s="1"/>
  <c r="AN95" i="23" s="1"/>
  <c r="AI322" i="23"/>
  <c r="AG322" i="23"/>
  <c r="AK322" i="23" s="1"/>
  <c r="AN322" i="23" s="1"/>
  <c r="AI110" i="23"/>
  <c r="AG110" i="23"/>
  <c r="AK110" i="23" s="1"/>
  <c r="AN110" i="23" s="1"/>
  <c r="AI376" i="23"/>
  <c r="AG376" i="23"/>
  <c r="AK376" i="23" s="1"/>
  <c r="AN376" i="23" s="1"/>
  <c r="AI388" i="23"/>
  <c r="AG388" i="23"/>
  <c r="AK388" i="23" s="1"/>
  <c r="AN388" i="23" s="1"/>
  <c r="AI552" i="23"/>
  <c r="AG552" i="23"/>
  <c r="AK552" i="23" s="1"/>
  <c r="AN552" i="23" s="1"/>
  <c r="AI250" i="23"/>
  <c r="AG250" i="23"/>
  <c r="AK250" i="23" s="1"/>
  <c r="AN250" i="23" s="1"/>
  <c r="AI52" i="23"/>
  <c r="AG52" i="23"/>
  <c r="AK52" i="23" s="1"/>
  <c r="AN52" i="23" s="1"/>
  <c r="AI18" i="23"/>
  <c r="AG18" i="23"/>
  <c r="B25" i="2" s="1"/>
  <c r="AI359" i="23"/>
  <c r="AG359" i="23"/>
  <c r="AK359" i="23" s="1"/>
  <c r="AN359" i="23" s="1"/>
  <c r="AI360" i="23"/>
  <c r="AG360" i="23"/>
  <c r="AK360" i="23" s="1"/>
  <c r="AN360" i="23" s="1"/>
  <c r="AI450" i="23"/>
  <c r="AG450" i="23"/>
  <c r="AK450" i="23" s="1"/>
  <c r="AN450" i="23" s="1"/>
  <c r="AI496" i="23"/>
  <c r="AG496" i="23"/>
  <c r="AK496" i="23" s="1"/>
  <c r="AN496" i="23" s="1"/>
  <c r="AG78" i="23"/>
  <c r="AK78" i="23" s="1"/>
  <c r="AN78" i="23" s="1"/>
  <c r="AI78" i="23"/>
  <c r="AI160" i="23"/>
  <c r="AG160" i="23"/>
  <c r="AK160" i="23" s="1"/>
  <c r="AN160" i="23" s="1"/>
  <c r="AI26" i="23"/>
  <c r="AG26" i="23"/>
  <c r="AK26" i="23" s="1"/>
  <c r="AN26" i="23" s="1"/>
  <c r="AI331" i="23"/>
  <c r="AG331" i="23"/>
  <c r="AK331" i="23" s="1"/>
  <c r="AN331" i="23" s="1"/>
  <c r="AI535" i="23"/>
  <c r="AG535" i="23"/>
  <c r="AK535" i="23" s="1"/>
  <c r="AN535" i="23" s="1"/>
  <c r="AI263" i="23"/>
  <c r="AG263" i="23"/>
  <c r="AK263" i="23" s="1"/>
  <c r="AN263" i="23" s="1"/>
  <c r="AI531" i="23"/>
  <c r="AG531" i="23"/>
  <c r="AK531" i="23" s="1"/>
  <c r="AN531" i="23" s="1"/>
  <c r="AI24" i="23"/>
  <c r="AG24" i="23"/>
  <c r="AK24" i="23" s="1"/>
  <c r="AN24" i="23" s="1"/>
  <c r="AI354" i="23"/>
  <c r="AG354" i="23"/>
  <c r="AK354" i="23" s="1"/>
  <c r="AN354" i="23" s="1"/>
  <c r="AI242" i="23"/>
  <c r="AG242" i="23"/>
  <c r="AK242" i="23" s="1"/>
  <c r="AN242" i="23" s="1"/>
  <c r="AI237" i="23"/>
  <c r="AG237" i="23"/>
  <c r="AK237" i="23" s="1"/>
  <c r="AN237" i="23" s="1"/>
  <c r="AI213" i="23"/>
  <c r="AG213" i="23"/>
  <c r="AK213" i="23" s="1"/>
  <c r="AN213" i="23" s="1"/>
  <c r="AI82" i="23"/>
  <c r="AJ82" i="23" s="1"/>
  <c r="AG82" i="23"/>
  <c r="AK82" i="23" s="1"/>
  <c r="AN82" i="23" s="1"/>
  <c r="AI236" i="23"/>
  <c r="AG236" i="23"/>
  <c r="AK236" i="23" s="1"/>
  <c r="AN236" i="23" s="1"/>
  <c r="AG561" i="23"/>
  <c r="AK561" i="23" s="1"/>
  <c r="AN561" i="23" s="1"/>
  <c r="AI561" i="23"/>
  <c r="AI68" i="23"/>
  <c r="AG68" i="23"/>
  <c r="AK68" i="23" s="1"/>
  <c r="AN68" i="23" s="1"/>
  <c r="AI422" i="23"/>
  <c r="AG422" i="23"/>
  <c r="AK422" i="23" s="1"/>
  <c r="AN422" i="23" s="1"/>
  <c r="AI371" i="23"/>
  <c r="AG371" i="23"/>
  <c r="AK371" i="23" s="1"/>
  <c r="AN371" i="23" s="1"/>
  <c r="AI121" i="23"/>
  <c r="AG121" i="23"/>
  <c r="AK121" i="23" s="1"/>
  <c r="AN121" i="23" s="1"/>
  <c r="AI274" i="23"/>
  <c r="AG274" i="23"/>
  <c r="AK274" i="23" s="1"/>
  <c r="AN274" i="23" s="1"/>
  <c r="AI492" i="23"/>
  <c r="AG492" i="23"/>
  <c r="AK492" i="23" s="1"/>
  <c r="AN492" i="23" s="1"/>
  <c r="AI498" i="23"/>
  <c r="AG498" i="23"/>
  <c r="AK498" i="23" s="1"/>
  <c r="AN498" i="23" s="1"/>
  <c r="AI392" i="23"/>
  <c r="AG392" i="23"/>
  <c r="AK392" i="23" s="1"/>
  <c r="AN392" i="23" s="1"/>
  <c r="AI114" i="23"/>
  <c r="AG114" i="23"/>
  <c r="AK114" i="23" s="1"/>
  <c r="AN114" i="23" s="1"/>
  <c r="AI379" i="23"/>
  <c r="AG379" i="23"/>
  <c r="AK379" i="23" s="1"/>
  <c r="AN379" i="23" s="1"/>
  <c r="AI356" i="23"/>
  <c r="AG356" i="23"/>
  <c r="AK356" i="23" s="1"/>
  <c r="AN356" i="23" s="1"/>
  <c r="AI459" i="23"/>
  <c r="AG459" i="23"/>
  <c r="AK459" i="23" s="1"/>
  <c r="AN459" i="23" s="1"/>
  <c r="AI246" i="23"/>
  <c r="AG246" i="23"/>
  <c r="AK246" i="23" s="1"/>
  <c r="AN246" i="23" s="1"/>
  <c r="AI192" i="23"/>
  <c r="AG192" i="23"/>
  <c r="AK192" i="23" s="1"/>
  <c r="AN192" i="23" s="1"/>
  <c r="AI562" i="23"/>
  <c r="AG562" i="23"/>
  <c r="AK562" i="23" s="1"/>
  <c r="AN562" i="23" s="1"/>
  <c r="AI484" i="23"/>
  <c r="AG484" i="23"/>
  <c r="AK484" i="23" s="1"/>
  <c r="AN484" i="23" s="1"/>
  <c r="AI377" i="23"/>
  <c r="AG377" i="23"/>
  <c r="AK377" i="23" s="1"/>
  <c r="AN377" i="23" s="1"/>
  <c r="AI352" i="23"/>
  <c r="AG352" i="23"/>
  <c r="AK352" i="23" s="1"/>
  <c r="AN352" i="23" s="1"/>
  <c r="AI64" i="23"/>
  <c r="AG64" i="23"/>
  <c r="AK64" i="23" s="1"/>
  <c r="AN64" i="23" s="1"/>
  <c r="AI566" i="23"/>
  <c r="AG566" i="23"/>
  <c r="AK566" i="23" s="1"/>
  <c r="AN566" i="23" s="1"/>
  <c r="AI442" i="23"/>
  <c r="AG442" i="23"/>
  <c r="AK442" i="23" s="1"/>
  <c r="AN442" i="23" s="1"/>
  <c r="AI549" i="23"/>
  <c r="AG549" i="23"/>
  <c r="AK549" i="23" s="1"/>
  <c r="AN549" i="23" s="1"/>
  <c r="AI563" i="23"/>
  <c r="AG563" i="23"/>
  <c r="AK563" i="23" s="1"/>
  <c r="AN563" i="23" s="1"/>
  <c r="AI507" i="23"/>
  <c r="AG507" i="23"/>
  <c r="AK507" i="23" s="1"/>
  <c r="AN507" i="23" s="1"/>
  <c r="AI380" i="23"/>
  <c r="AG380" i="23"/>
  <c r="AK380" i="23" s="1"/>
  <c r="AN380" i="23" s="1"/>
  <c r="AI150" i="23"/>
  <c r="AG150" i="23"/>
  <c r="AK150" i="23" s="1"/>
  <c r="AN150" i="23" s="1"/>
  <c r="AI280" i="23"/>
  <c r="AG280" i="23"/>
  <c r="AK280" i="23" s="1"/>
  <c r="AN280" i="23" s="1"/>
  <c r="AI489" i="23"/>
  <c r="AG489" i="23"/>
  <c r="AK489" i="23" s="1"/>
  <c r="AN489" i="23" s="1"/>
  <c r="AG187" i="23"/>
  <c r="AK187" i="23" s="1"/>
  <c r="AN187" i="23" s="1"/>
  <c r="AI187" i="23"/>
  <c r="AJ187" i="23" s="1"/>
  <c r="AI277" i="23"/>
  <c r="AG277" i="23"/>
  <c r="AK277" i="23" s="1"/>
  <c r="AN277" i="23" s="1"/>
  <c r="AI451" i="23"/>
  <c r="AG451" i="23"/>
  <c r="AK451" i="23" s="1"/>
  <c r="AN451" i="23" s="1"/>
  <c r="AI96" i="23"/>
  <c r="AG96" i="23"/>
  <c r="AK96" i="23" s="1"/>
  <c r="AN96" i="23" s="1"/>
  <c r="AI22" i="23"/>
  <c r="AG22" i="23"/>
  <c r="AK22" i="23" s="1"/>
  <c r="AN22" i="23" s="1"/>
  <c r="AI287" i="23"/>
  <c r="AG287" i="23"/>
  <c r="AK287" i="23" s="1"/>
  <c r="AN287" i="23" s="1"/>
  <c r="AI494" i="23"/>
  <c r="AG494" i="23"/>
  <c r="AK494" i="23" s="1"/>
  <c r="AN494" i="23" s="1"/>
  <c r="AI107" i="23"/>
  <c r="AG107" i="23"/>
  <c r="AK107" i="23" s="1"/>
  <c r="AN107" i="23" s="1"/>
  <c r="AI267" i="23"/>
  <c r="AG267" i="23"/>
  <c r="AK267" i="23" s="1"/>
  <c r="AN267" i="23" s="1"/>
  <c r="AI101" i="23"/>
  <c r="AG101" i="23"/>
  <c r="AK101" i="23" s="1"/>
  <c r="AN101" i="23" s="1"/>
  <c r="AI557" i="23"/>
  <c r="AG557" i="23"/>
  <c r="AK557" i="23" s="1"/>
  <c r="AN557" i="23" s="1"/>
  <c r="AI297" i="23"/>
  <c r="AG297" i="23"/>
  <c r="AK297" i="23" s="1"/>
  <c r="AN297" i="23" s="1"/>
  <c r="AI292" i="23"/>
  <c r="AJ292" i="23" s="1"/>
  <c r="AG292" i="23"/>
  <c r="AK292" i="23" s="1"/>
  <c r="AN292" i="23" s="1"/>
  <c r="AI284" i="23"/>
  <c r="AG284" i="23"/>
  <c r="AK284" i="23" s="1"/>
  <c r="AN284" i="23" s="1"/>
  <c r="AI230" i="23"/>
  <c r="AG230" i="23"/>
  <c r="AK230" i="23" s="1"/>
  <c r="AN230" i="23" s="1"/>
  <c r="AI140" i="23"/>
  <c r="AG140" i="23"/>
  <c r="AK140" i="23" s="1"/>
  <c r="AN140" i="23" s="1"/>
  <c r="AI264" i="23"/>
  <c r="AG264" i="23"/>
  <c r="AK264" i="23" s="1"/>
  <c r="AN264" i="23" s="1"/>
  <c r="AI542" i="23"/>
  <c r="AG542" i="23"/>
  <c r="AK542" i="23" s="1"/>
  <c r="AN542" i="23" s="1"/>
  <c r="AI426" i="23"/>
  <c r="AG426" i="23"/>
  <c r="AK426" i="23" s="1"/>
  <c r="AN426" i="23" s="1"/>
  <c r="AI321" i="23"/>
  <c r="AG321" i="23"/>
  <c r="AK321" i="23" s="1"/>
  <c r="AN321" i="23" s="1"/>
  <c r="AG109" i="23"/>
  <c r="AK109" i="23" s="1"/>
  <c r="AN109" i="23" s="1"/>
  <c r="AI109" i="23"/>
  <c r="AI446" i="23"/>
  <c r="AG446" i="23"/>
  <c r="AK446" i="23" s="1"/>
  <c r="AN446" i="23" s="1"/>
  <c r="AI174" i="23"/>
  <c r="AG174" i="23"/>
  <c r="AK174" i="23" s="1"/>
  <c r="AN174" i="23" s="1"/>
  <c r="AI133" i="23"/>
  <c r="AG133" i="23"/>
  <c r="AK133" i="23" s="1"/>
  <c r="AN133" i="23" s="1"/>
  <c r="AG470" i="23"/>
  <c r="AI470" i="23"/>
  <c r="AK19" i="23" l="1"/>
  <c r="AN19" i="23" s="1"/>
  <c r="B11" i="2"/>
  <c r="AK18" i="23"/>
  <c r="AN18" i="23" s="1"/>
  <c r="B17" i="2"/>
  <c r="AK17" i="23"/>
  <c r="AN17" i="23" s="1"/>
  <c r="B7" i="2"/>
  <c r="AK15" i="23"/>
  <c r="AN15" i="23" s="1"/>
  <c r="B24" i="2"/>
  <c r="AK16" i="23"/>
  <c r="AN16" i="23" s="1"/>
  <c r="B23" i="2"/>
  <c r="B20" i="2"/>
  <c r="B22" i="2"/>
  <c r="B112" i="2"/>
  <c r="D112" i="2" s="1"/>
  <c r="B113" i="2"/>
  <c r="D113" i="2" s="1"/>
  <c r="B6" i="2"/>
  <c r="AJ557" i="23"/>
  <c r="AH557" i="23"/>
  <c r="AH64" i="23"/>
  <c r="AJ64" i="23"/>
  <c r="AH236" i="23"/>
  <c r="AJ236" i="23"/>
  <c r="AJ250" i="23"/>
  <c r="AH250" i="23"/>
  <c r="AJ511" i="23"/>
  <c r="AH511" i="23"/>
  <c r="AH309" i="23"/>
  <c r="AJ309" i="23"/>
  <c r="AH78" i="23"/>
  <c r="AJ78" i="23"/>
  <c r="AH446" i="23"/>
  <c r="AJ446" i="23"/>
  <c r="AJ277" i="23"/>
  <c r="AH277" i="23"/>
  <c r="AH352" i="23"/>
  <c r="AJ352" i="23"/>
  <c r="AH492" i="23"/>
  <c r="AJ492" i="23"/>
  <c r="AJ552" i="23"/>
  <c r="AH552" i="23"/>
  <c r="AH565" i="23"/>
  <c r="AJ565" i="23"/>
  <c r="AJ382" i="23"/>
  <c r="AH382" i="23"/>
  <c r="AJ472" i="23"/>
  <c r="AH472" i="23"/>
  <c r="AJ85" i="23"/>
  <c r="AH85" i="23"/>
  <c r="AJ441" i="23"/>
  <c r="AH441" i="23"/>
  <c r="AJ67" i="23"/>
  <c r="AH67" i="23"/>
  <c r="AH553" i="23"/>
  <c r="AJ553" i="23"/>
  <c r="AJ505" i="23"/>
  <c r="AH505" i="23"/>
  <c r="AH475" i="23"/>
  <c r="AJ475" i="23"/>
  <c r="AH541" i="23"/>
  <c r="AJ541" i="23"/>
  <c r="AJ184" i="23"/>
  <c r="AH184" i="23"/>
  <c r="AH70" i="23"/>
  <c r="AJ70" i="23"/>
  <c r="AH27" i="23"/>
  <c r="AJ27" i="23"/>
  <c r="AH486" i="23"/>
  <c r="AJ486" i="23"/>
  <c r="AJ102" i="23"/>
  <c r="AH102" i="23"/>
  <c r="AJ105" i="23"/>
  <c r="AH105" i="23"/>
  <c r="AH367" i="23"/>
  <c r="AJ367" i="23"/>
  <c r="AH561" i="23"/>
  <c r="AJ561" i="23"/>
  <c r="AG573" i="23" a="1"/>
  <c r="AG573" i="23" s="1"/>
  <c r="AK540" i="23"/>
  <c r="AN540" i="23" s="1"/>
  <c r="AJ240" i="23"/>
  <c r="AH240" i="23"/>
  <c r="AH133" i="23"/>
  <c r="AJ133" i="23"/>
  <c r="AH321" i="23"/>
  <c r="AJ321" i="23"/>
  <c r="AH140" i="23"/>
  <c r="AJ140" i="23"/>
  <c r="AH297" i="23"/>
  <c r="AJ297" i="23"/>
  <c r="AJ107" i="23"/>
  <c r="AH107" i="23"/>
  <c r="AJ96" i="23"/>
  <c r="AH96" i="23"/>
  <c r="AH489" i="23"/>
  <c r="AJ489" i="23"/>
  <c r="AH507" i="23"/>
  <c r="AJ507" i="23"/>
  <c r="AH566" i="23"/>
  <c r="AJ566" i="23"/>
  <c r="AJ484" i="23"/>
  <c r="AH484" i="23"/>
  <c r="AJ459" i="23"/>
  <c r="AH459" i="23"/>
  <c r="AJ392" i="23"/>
  <c r="AH392" i="23"/>
  <c r="AH121" i="23"/>
  <c r="AJ121" i="23"/>
  <c r="AJ237" i="23"/>
  <c r="AH237" i="23"/>
  <c r="AJ531" i="23"/>
  <c r="AH531" i="23"/>
  <c r="AJ26" i="23"/>
  <c r="AH26" i="23"/>
  <c r="AH450" i="23"/>
  <c r="AJ450" i="23"/>
  <c r="AJ52" i="23"/>
  <c r="AH52" i="23"/>
  <c r="AJ376" i="23"/>
  <c r="AH376" i="23"/>
  <c r="AJ540" i="23"/>
  <c r="AH540" i="23"/>
  <c r="AH123" i="23"/>
  <c r="AJ123" i="23"/>
  <c r="AH510" i="23"/>
  <c r="AJ510" i="23"/>
  <c r="AH456" i="23"/>
  <c r="AJ456" i="23"/>
  <c r="AJ16" i="23"/>
  <c r="AH16" i="23"/>
  <c r="AH306" i="23"/>
  <c r="AJ306" i="23"/>
  <c r="AJ104" i="23"/>
  <c r="AH104" i="23"/>
  <c r="AH39" i="23"/>
  <c r="AJ39" i="23"/>
  <c r="AH481" i="23"/>
  <c r="AJ481" i="23"/>
  <c r="AJ567" i="23"/>
  <c r="AH567" i="23"/>
  <c r="AH301" i="23"/>
  <c r="AJ301" i="23"/>
  <c r="AH403" i="23"/>
  <c r="AJ403" i="23"/>
  <c r="AH454" i="23"/>
  <c r="AJ454" i="23"/>
  <c r="AJ357" i="23"/>
  <c r="AH357" i="23"/>
  <c r="AH169" i="23"/>
  <c r="AJ169" i="23"/>
  <c r="AJ103" i="23"/>
  <c r="AH103" i="23"/>
  <c r="AJ60" i="23"/>
  <c r="AH60" i="23"/>
  <c r="AH254" i="23"/>
  <c r="AJ254" i="23"/>
  <c r="AH126" i="23"/>
  <c r="AJ126" i="23"/>
  <c r="AH318" i="23"/>
  <c r="AJ318" i="23"/>
  <c r="AJ325" i="23"/>
  <c r="AH325" i="23"/>
  <c r="AJ269" i="23"/>
  <c r="AH269" i="23"/>
  <c r="AJ314" i="23"/>
  <c r="AH314" i="23"/>
  <c r="AH390" i="23"/>
  <c r="AJ390" i="23"/>
  <c r="AH340" i="23"/>
  <c r="AJ340" i="23"/>
  <c r="AH97" i="23"/>
  <c r="AJ97" i="23"/>
  <c r="AH44" i="23"/>
  <c r="AJ44" i="23"/>
  <c r="AH342" i="23"/>
  <c r="AJ342" i="23"/>
  <c r="AH132" i="23"/>
  <c r="AJ132" i="23"/>
  <c r="AJ256" i="23"/>
  <c r="AH256" i="23"/>
  <c r="AJ30" i="23"/>
  <c r="AH30" i="23"/>
  <c r="AJ75" i="23"/>
  <c r="AH75" i="23"/>
  <c r="AH487" i="23"/>
  <c r="AJ487" i="23"/>
  <c r="AH203" i="23"/>
  <c r="AJ203" i="23"/>
  <c r="AJ20" i="23"/>
  <c r="AH20" i="23"/>
  <c r="AJ289" i="23"/>
  <c r="AH289" i="23"/>
  <c r="AH245" i="23"/>
  <c r="AJ245" i="23"/>
  <c r="AJ120" i="23"/>
  <c r="AH120" i="23"/>
  <c r="AH77" i="23"/>
  <c r="AJ77" i="23"/>
  <c r="AJ38" i="23"/>
  <c r="AH38" i="23"/>
  <c r="AJ155" i="23"/>
  <c r="AH155" i="23"/>
  <c r="AJ165" i="23"/>
  <c r="AH165" i="23"/>
  <c r="AJ71" i="23"/>
  <c r="AH71" i="23"/>
  <c r="AJ157" i="23"/>
  <c r="AH157" i="23"/>
  <c r="AJ108" i="23"/>
  <c r="AH108" i="23"/>
  <c r="AJ99" i="23"/>
  <c r="AH99" i="23"/>
  <c r="AH334" i="23"/>
  <c r="AJ334" i="23"/>
  <c r="AH513" i="23"/>
  <c r="AJ513" i="23"/>
  <c r="AJ303" i="23"/>
  <c r="AH303" i="23"/>
  <c r="AH35" i="23"/>
  <c r="AJ35" i="23"/>
  <c r="AH141" i="23"/>
  <c r="AJ141" i="23"/>
  <c r="AJ347" i="23"/>
  <c r="AH347" i="23"/>
  <c r="AH158" i="23"/>
  <c r="AJ158" i="23"/>
  <c r="AH182" i="23"/>
  <c r="AJ182" i="23"/>
  <c r="AJ228" i="23"/>
  <c r="AH228" i="23"/>
  <c r="B67" i="2"/>
  <c r="B62" i="2"/>
  <c r="B63" i="2" s="1"/>
  <c r="B64" i="2" s="1"/>
  <c r="AJ50" i="23"/>
  <c r="AH50" i="23"/>
  <c r="AG293" i="23" a="1"/>
  <c r="AG293" i="23" s="1"/>
  <c r="AK260" i="23"/>
  <c r="AN260" i="23" s="1"/>
  <c r="AH378" i="23"/>
  <c r="AJ378" i="23"/>
  <c r="AG433" i="23" a="1"/>
  <c r="AG433" i="23" s="1"/>
  <c r="AK400" i="23"/>
  <c r="AN400" i="23" s="1"/>
  <c r="AG223" i="23" a="1"/>
  <c r="AG223" i="23" s="1"/>
  <c r="AK190" i="23"/>
  <c r="AN190" i="23" s="1"/>
  <c r="AK330" i="23"/>
  <c r="AN330" i="23" s="1"/>
  <c r="AG363" i="23" a="1"/>
  <c r="AG363" i="23" s="1"/>
  <c r="AH319" i="23"/>
  <c r="AJ319" i="23"/>
  <c r="H40" i="1"/>
  <c r="B69" i="2" s="1"/>
  <c r="B68" i="2"/>
  <c r="E3" i="37"/>
  <c r="AH210" i="23"/>
  <c r="AJ210" i="23"/>
  <c r="AH408" i="23"/>
  <c r="AJ408" i="23"/>
  <c r="AJ151" i="23"/>
  <c r="AH151" i="23"/>
  <c r="AH273" i="23"/>
  <c r="AJ273" i="23"/>
  <c r="AK50" i="23"/>
  <c r="AN50" i="23" s="1"/>
  <c r="AG83" i="23" a="1"/>
  <c r="AG83" i="23" s="1"/>
  <c r="AH525" i="23"/>
  <c r="AJ525" i="23"/>
  <c r="AJ536" i="23"/>
  <c r="AH536" i="23"/>
  <c r="AJ394" i="23"/>
  <c r="AH394" i="23"/>
  <c r="AJ416" i="23"/>
  <c r="AH416" i="23"/>
  <c r="AH384" i="23"/>
  <c r="AJ384" i="23"/>
  <c r="AH40" i="23"/>
  <c r="AJ40" i="23"/>
  <c r="AH79" i="23"/>
  <c r="AJ79" i="23"/>
  <c r="AJ296" i="23"/>
  <c r="AH296" i="23"/>
  <c r="AJ260" i="23"/>
  <c r="AH260" i="23"/>
  <c r="AJ61" i="23"/>
  <c r="AH61" i="23"/>
  <c r="AH172" i="23"/>
  <c r="AJ172" i="23"/>
  <c r="AJ233" i="23"/>
  <c r="AH233" i="23"/>
  <c r="AJ550" i="23"/>
  <c r="AH550" i="23"/>
  <c r="AH570" i="23"/>
  <c r="AJ570" i="23"/>
  <c r="AH370" i="23"/>
  <c r="AJ370" i="23"/>
  <c r="AJ116" i="23"/>
  <c r="AH116" i="23"/>
  <c r="AH162" i="23"/>
  <c r="AJ162" i="23"/>
  <c r="AH255" i="23"/>
  <c r="AJ255" i="23"/>
  <c r="AH495" i="23"/>
  <c r="AJ495" i="23"/>
  <c r="AJ252" i="23"/>
  <c r="AH252" i="23"/>
  <c r="AH368" i="23"/>
  <c r="AJ368" i="23"/>
  <c r="AH137" i="23"/>
  <c r="AJ137" i="23"/>
  <c r="AJ501" i="23"/>
  <c r="AH501" i="23"/>
  <c r="AJ431" i="23"/>
  <c r="AH431" i="23"/>
  <c r="AH164" i="23"/>
  <c r="AJ164" i="23"/>
  <c r="AJ412" i="23"/>
  <c r="AH412" i="23"/>
  <c r="AJ130" i="23"/>
  <c r="AH130" i="23"/>
  <c r="AH122" i="23"/>
  <c r="AJ122" i="23"/>
  <c r="AH545" i="23"/>
  <c r="AJ545" i="23"/>
  <c r="AJ400" i="23"/>
  <c r="AH400" i="23"/>
  <c r="AH17" i="23"/>
  <c r="AJ17" i="23"/>
  <c r="AH217" i="23"/>
  <c r="AJ217" i="23"/>
  <c r="AH411" i="23"/>
  <c r="AJ411" i="23"/>
  <c r="AJ506" i="23"/>
  <c r="AH506" i="23"/>
  <c r="AH438" i="23"/>
  <c r="AJ438" i="23"/>
  <c r="AH313" i="23"/>
  <c r="AJ313" i="23"/>
  <c r="AJ171" i="23"/>
  <c r="AH171" i="23"/>
  <c r="AJ220" i="23"/>
  <c r="AH220" i="23"/>
  <c r="AH286" i="23"/>
  <c r="AJ286" i="23"/>
  <c r="AJ344" i="23"/>
  <c r="AH344" i="23"/>
  <c r="AJ490" i="23"/>
  <c r="AH490" i="23"/>
  <c r="AH268" i="23"/>
  <c r="AJ268" i="23"/>
  <c r="AH497" i="23"/>
  <c r="AJ497" i="23"/>
  <c r="AJ299" i="23"/>
  <c r="AH299" i="23"/>
  <c r="AJ494" i="23"/>
  <c r="AH494" i="23"/>
  <c r="AJ242" i="23"/>
  <c r="AH242" i="23"/>
  <c r="AJ423" i="23"/>
  <c r="AH423" i="23"/>
  <c r="AH176" i="23"/>
  <c r="AJ176" i="23"/>
  <c r="AJ234" i="23"/>
  <c r="AH234" i="23"/>
  <c r="AH248" i="23"/>
  <c r="AJ248" i="23"/>
  <c r="AJ435" i="23"/>
  <c r="AH435" i="23"/>
  <c r="AH185" i="23"/>
  <c r="AJ185" i="23"/>
  <c r="AH56" i="23"/>
  <c r="AJ56" i="23"/>
  <c r="AH275" i="23"/>
  <c r="AJ275" i="23"/>
  <c r="AH311" i="23"/>
  <c r="AJ311" i="23"/>
  <c r="AJ530" i="23"/>
  <c r="AH530" i="23"/>
  <c r="AH518" i="23"/>
  <c r="AJ518" i="23"/>
  <c r="AJ214" i="23"/>
  <c r="AH214" i="23"/>
  <c r="AH135" i="23"/>
  <c r="AJ135" i="23"/>
  <c r="AJ418" i="23"/>
  <c r="AH418" i="23"/>
  <c r="AH271" i="23"/>
  <c r="AJ271" i="23"/>
  <c r="AJ266" i="23"/>
  <c r="AH266" i="23"/>
  <c r="AJ100" i="23"/>
  <c r="AH100" i="23"/>
  <c r="AH19" i="23"/>
  <c r="AJ19" i="23"/>
  <c r="AH373" i="23"/>
  <c r="AJ373" i="23"/>
  <c r="AH241" i="23"/>
  <c r="AJ241" i="23"/>
  <c r="AJ209" i="23"/>
  <c r="AH209" i="23"/>
  <c r="AH528" i="23"/>
  <c r="AJ528" i="23"/>
  <c r="AH483" i="23"/>
  <c r="AJ483" i="23"/>
  <c r="AJ190" i="23"/>
  <c r="AH190" i="23"/>
  <c r="AJ285" i="23"/>
  <c r="AH285" i="23"/>
  <c r="AH167" i="23"/>
  <c r="AJ167" i="23"/>
  <c r="AJ515" i="23"/>
  <c r="AH515" i="23"/>
  <c r="AH330" i="23"/>
  <c r="AJ330" i="23"/>
  <c r="AJ226" i="23"/>
  <c r="AH226" i="23"/>
  <c r="AJ177" i="23"/>
  <c r="AH177" i="23"/>
  <c r="AH231" i="23"/>
  <c r="AJ231" i="23"/>
  <c r="AJ350" i="23"/>
  <c r="AH350" i="23"/>
  <c r="AH436" i="23"/>
  <c r="AJ436" i="23"/>
  <c r="AH90" i="23"/>
  <c r="AJ90" i="23"/>
  <c r="AH369" i="23"/>
  <c r="AJ369" i="23"/>
  <c r="AH76" i="23"/>
  <c r="AJ76" i="23"/>
  <c r="AJ178" i="23"/>
  <c r="AH178" i="23"/>
  <c r="AH387" i="23"/>
  <c r="AJ387" i="23"/>
  <c r="AH420" i="23"/>
  <c r="AJ420" i="23"/>
  <c r="AJ143" i="23"/>
  <c r="AH143" i="23"/>
  <c r="AH320" i="23"/>
  <c r="AJ320" i="23"/>
  <c r="AJ556" i="23"/>
  <c r="AH556" i="23"/>
  <c r="AJ201" i="23"/>
  <c r="AH201" i="23"/>
  <c r="AH94" i="23"/>
  <c r="AJ94" i="23"/>
  <c r="AJ343" i="23"/>
  <c r="AH343" i="23"/>
  <c r="AJ559" i="23"/>
  <c r="AH559" i="23"/>
  <c r="AJ55" i="23"/>
  <c r="AH55" i="23"/>
  <c r="AJ282" i="23"/>
  <c r="AH282" i="23"/>
  <c r="AH144" i="23"/>
  <c r="AJ144" i="23"/>
  <c r="AJ341" i="23"/>
  <c r="AH341" i="23"/>
  <c r="AJ543" i="23"/>
  <c r="AH543" i="23"/>
  <c r="AJ366" i="23"/>
  <c r="AH366" i="23"/>
  <c r="AJ199" i="23"/>
  <c r="AH199" i="23"/>
  <c r="AJ278" i="23"/>
  <c r="AH278" i="23"/>
  <c r="AJ560" i="23"/>
  <c r="AH560" i="23"/>
  <c r="AH509" i="23"/>
  <c r="AJ509" i="23"/>
  <c r="AJ276" i="23"/>
  <c r="AH276" i="23"/>
  <c r="AJ124" i="23"/>
  <c r="AH124" i="23"/>
  <c r="AH262" i="23"/>
  <c r="AJ262" i="23"/>
  <c r="AJ554" i="23"/>
  <c r="AH554" i="23"/>
  <c r="AJ232" i="23"/>
  <c r="AH232" i="23"/>
  <c r="AJ478" i="23"/>
  <c r="AH478" i="23"/>
  <c r="AJ339" i="23"/>
  <c r="AH339" i="23"/>
  <c r="AJ146" i="23"/>
  <c r="AH146" i="23"/>
  <c r="AJ571" i="23"/>
  <c r="AH571" i="23"/>
  <c r="AJ491" i="23"/>
  <c r="AH491" i="23"/>
  <c r="AJ463" i="23"/>
  <c r="AH463" i="23"/>
  <c r="AJ138" i="23"/>
  <c r="AH138" i="23"/>
  <c r="AJ477" i="23"/>
  <c r="AH477" i="23"/>
  <c r="AJ291" i="23"/>
  <c r="AH291" i="23"/>
  <c r="AJ444" i="23"/>
  <c r="AH444" i="23"/>
  <c r="AJ464" i="23"/>
  <c r="AH464" i="23"/>
  <c r="AH544" i="23"/>
  <c r="AJ544" i="23"/>
  <c r="AJ461" i="23"/>
  <c r="AH461" i="23"/>
  <c r="AH235" i="23"/>
  <c r="AJ235" i="23"/>
  <c r="AJ298" i="23"/>
  <c r="AH298" i="23"/>
  <c r="AH323" i="23"/>
  <c r="AJ323" i="23"/>
  <c r="AH524" i="23"/>
  <c r="AJ524" i="23"/>
  <c r="AH265" i="23"/>
  <c r="AJ265" i="23"/>
  <c r="AJ134" i="23"/>
  <c r="AH134" i="23"/>
  <c r="AJ424" i="23"/>
  <c r="AH424" i="23"/>
  <c r="AJ409" i="23"/>
  <c r="AH409" i="23"/>
  <c r="AH179" i="23"/>
  <c r="AJ179" i="23"/>
  <c r="AJ353" i="23"/>
  <c r="AH353" i="23"/>
  <c r="AH473" i="23"/>
  <c r="AJ473" i="23"/>
  <c r="AH336" i="23"/>
  <c r="AJ336" i="23"/>
  <c r="AJ283" i="23"/>
  <c r="AH283" i="23"/>
  <c r="AJ54" i="23"/>
  <c r="AH54" i="23"/>
  <c r="AH465" i="23"/>
  <c r="AJ465" i="23"/>
  <c r="AJ389" i="23"/>
  <c r="AH389" i="23"/>
  <c r="AJ229" i="23"/>
  <c r="AH229" i="23"/>
  <c r="AH348" i="23"/>
  <c r="AJ348" i="23"/>
  <c r="AJ300" i="23"/>
  <c r="AH300" i="23"/>
  <c r="AJ36" i="23"/>
  <c r="AH36" i="23"/>
  <c r="AJ443" i="23"/>
  <c r="AH443" i="23"/>
  <c r="AJ402" i="23"/>
  <c r="AH402" i="23"/>
  <c r="AH98" i="23"/>
  <c r="AJ98" i="23"/>
  <c r="AJ181" i="23"/>
  <c r="AH181" i="23"/>
  <c r="AH57" i="23"/>
  <c r="AJ57" i="23"/>
  <c r="AJ58" i="23"/>
  <c r="AH58" i="23"/>
  <c r="AH159" i="23"/>
  <c r="AJ159" i="23"/>
  <c r="AJ136" i="23"/>
  <c r="AH136" i="23"/>
  <c r="AH395" i="23"/>
  <c r="AJ395" i="23"/>
  <c r="AJ415" i="23"/>
  <c r="AH415" i="23"/>
  <c r="AJ149" i="23"/>
  <c r="AH149" i="23"/>
  <c r="AJ349" i="23"/>
  <c r="AH349" i="23"/>
  <c r="AJ425" i="23"/>
  <c r="AH425" i="23"/>
  <c r="AG258" i="23" a="1"/>
  <c r="AG258" i="23" s="1"/>
  <c r="AK225" i="23"/>
  <c r="AN225" i="23" s="1"/>
  <c r="AG48" i="23" a="1"/>
  <c r="AG48" i="23" s="1"/>
  <c r="AH174" i="23"/>
  <c r="AJ174" i="23"/>
  <c r="AJ451" i="23"/>
  <c r="AH451" i="23"/>
  <c r="AH562" i="23"/>
  <c r="AJ562" i="23"/>
  <c r="AJ356" i="23"/>
  <c r="AH356" i="23"/>
  <c r="AH263" i="23"/>
  <c r="AJ263" i="23"/>
  <c r="AJ110" i="23"/>
  <c r="AH110" i="23"/>
  <c r="AJ568" i="23"/>
  <c r="AH568" i="23"/>
  <c r="AJ512" i="23"/>
  <c r="AH512" i="23"/>
  <c r="AJ386" i="23"/>
  <c r="AH386" i="23"/>
  <c r="AJ284" i="23"/>
  <c r="AH284" i="23"/>
  <c r="AJ150" i="23"/>
  <c r="AH150" i="23"/>
  <c r="AJ379" i="23"/>
  <c r="AH379" i="23"/>
  <c r="AH535" i="23"/>
  <c r="AJ535" i="23"/>
  <c r="AH218" i="23"/>
  <c r="AJ218" i="23"/>
  <c r="AJ239" i="23"/>
  <c r="AH239" i="23"/>
  <c r="AJ547" i="23"/>
  <c r="AH547" i="23"/>
  <c r="AH460" i="23"/>
  <c r="AJ460" i="23"/>
  <c r="AJ238" i="23"/>
  <c r="AH238" i="23"/>
  <c r="AJ261" i="23"/>
  <c r="AH261" i="23"/>
  <c r="AH335" i="23"/>
  <c r="AJ335" i="23"/>
  <c r="AH244" i="23"/>
  <c r="AJ244" i="23"/>
  <c r="AJ466" i="23"/>
  <c r="AH466" i="23"/>
  <c r="AH195" i="23"/>
  <c r="AJ195" i="23"/>
  <c r="AH315" i="23"/>
  <c r="AJ315" i="23"/>
  <c r="AJ170" i="23"/>
  <c r="AH170" i="23"/>
  <c r="AJ417" i="23"/>
  <c r="AH417" i="23"/>
  <c r="AJ555" i="23"/>
  <c r="AH555" i="23"/>
  <c r="AJ470" i="23"/>
  <c r="AH470" i="23"/>
  <c r="AH31" i="23"/>
  <c r="AJ31" i="23"/>
  <c r="AH295" i="23"/>
  <c r="AJ295" i="23"/>
  <c r="AK365" i="23"/>
  <c r="AN365" i="23" s="1"/>
  <c r="AG398" i="23" a="1"/>
  <c r="AG398" i="23" s="1"/>
  <c r="AJ92" i="23"/>
  <c r="AH92" i="23"/>
  <c r="AJ25" i="23"/>
  <c r="AH25" i="23"/>
  <c r="AH270" i="23"/>
  <c r="AJ270" i="23"/>
  <c r="AH508" i="23"/>
  <c r="AJ508" i="23"/>
  <c r="AH93" i="23"/>
  <c r="AJ93" i="23"/>
  <c r="AJ115" i="23"/>
  <c r="AH115" i="23"/>
  <c r="AJ197" i="23"/>
  <c r="AH197" i="23"/>
  <c r="AH310" i="23"/>
  <c r="AJ310" i="23"/>
  <c r="AH32" i="23"/>
  <c r="AJ32" i="23"/>
  <c r="AH216" i="23"/>
  <c r="AJ216" i="23"/>
  <c r="AJ227" i="23"/>
  <c r="AH227" i="23"/>
  <c r="AJ519" i="23"/>
  <c r="AH519" i="23"/>
  <c r="AJ414" i="23"/>
  <c r="AH414" i="23"/>
  <c r="AH332" i="23"/>
  <c r="AJ332" i="23"/>
  <c r="AJ145" i="23"/>
  <c r="AH145" i="23"/>
  <c r="AJ88" i="23"/>
  <c r="AH88" i="23"/>
  <c r="AH72" i="23"/>
  <c r="AJ72" i="23"/>
  <c r="AJ74" i="23"/>
  <c r="AH74" i="23"/>
  <c r="AH46" i="23"/>
  <c r="AJ46" i="23"/>
  <c r="AJ221" i="23"/>
  <c r="AH221" i="23"/>
  <c r="AJ337" i="23"/>
  <c r="AH337" i="23"/>
  <c r="AJ253" i="23"/>
  <c r="AH253" i="23"/>
  <c r="AH81" i="23"/>
  <c r="AJ81" i="23"/>
  <c r="AH533" i="23"/>
  <c r="AJ533" i="23"/>
  <c r="AJ206" i="23"/>
  <c r="AH206" i="23"/>
  <c r="AH308" i="23"/>
  <c r="AJ308" i="23"/>
  <c r="AH129" i="23"/>
  <c r="AJ129" i="23"/>
  <c r="AJ194" i="23"/>
  <c r="AH194" i="23"/>
  <c r="AH514" i="23"/>
  <c r="AJ514" i="23"/>
  <c r="AJ87" i="23"/>
  <c r="AH87" i="23"/>
  <c r="AH45" i="23"/>
  <c r="AJ45" i="23"/>
  <c r="AH346" i="23"/>
  <c r="AJ346" i="23"/>
  <c r="AJ429" i="23"/>
  <c r="AH429" i="23"/>
  <c r="AH351" i="23"/>
  <c r="AJ351" i="23"/>
  <c r="AJ166" i="23"/>
  <c r="AH166" i="23"/>
  <c r="AH304" i="23"/>
  <c r="AJ304" i="23"/>
  <c r="AH457" i="23"/>
  <c r="AJ457" i="23"/>
  <c r="AJ225" i="23"/>
  <c r="AH225" i="23"/>
  <c r="AH445" i="23"/>
  <c r="AJ445" i="23"/>
  <c r="AJ168" i="23"/>
  <c r="AH168" i="23"/>
  <c r="AJ516" i="23"/>
  <c r="AH516" i="23"/>
  <c r="AJ15" i="23"/>
  <c r="E9" i="23" a="1"/>
  <c r="E9" i="23" s="1"/>
  <c r="AH15" i="23"/>
  <c r="AH29" i="23"/>
  <c r="AJ29" i="23"/>
  <c r="AH480" i="23"/>
  <c r="AJ480" i="23"/>
  <c r="AH393" i="23"/>
  <c r="AJ393" i="23"/>
  <c r="AJ426" i="23"/>
  <c r="AH426" i="23"/>
  <c r="AH280" i="23"/>
  <c r="AJ280" i="23"/>
  <c r="AJ498" i="23"/>
  <c r="AH498" i="23"/>
  <c r="AJ360" i="23"/>
  <c r="AH360" i="23"/>
  <c r="AH312" i="23"/>
  <c r="AJ312" i="23"/>
  <c r="AH452" i="23"/>
  <c r="AJ452" i="23"/>
  <c r="AJ111" i="23"/>
  <c r="AH111" i="23"/>
  <c r="AG538" i="23" a="1"/>
  <c r="AG538" i="23" s="1"/>
  <c r="AK505" i="23"/>
  <c r="AN505" i="23" s="1"/>
  <c r="AH542" i="23"/>
  <c r="AJ542" i="23"/>
  <c r="AJ287" i="23"/>
  <c r="AH287" i="23"/>
  <c r="AH549" i="23"/>
  <c r="AJ549" i="23"/>
  <c r="AJ192" i="23"/>
  <c r="AH192" i="23"/>
  <c r="AJ422" i="23"/>
  <c r="AH422" i="23"/>
  <c r="AJ354" i="23"/>
  <c r="AH354" i="23"/>
  <c r="AJ359" i="23"/>
  <c r="AH359" i="23"/>
  <c r="AJ207" i="23"/>
  <c r="AH207" i="23"/>
  <c r="AJ437" i="23"/>
  <c r="AH437" i="23"/>
  <c r="AH249" i="23"/>
  <c r="AJ249" i="23"/>
  <c r="AH73" i="23"/>
  <c r="AJ73" i="23"/>
  <c r="AH180" i="23"/>
  <c r="AJ180" i="23"/>
  <c r="AH142" i="23"/>
  <c r="AJ142" i="23"/>
  <c r="AH499" i="23"/>
  <c r="AJ499" i="23"/>
  <c r="AJ202" i="23"/>
  <c r="AH202" i="23"/>
  <c r="AJ471" i="23"/>
  <c r="AH471" i="23"/>
  <c r="AJ113" i="23"/>
  <c r="AH113" i="23"/>
  <c r="AH219" i="23"/>
  <c r="AJ219" i="23"/>
  <c r="AH458" i="23"/>
  <c r="AJ458" i="23"/>
  <c r="AH449" i="23"/>
  <c r="AJ449" i="23"/>
  <c r="AH109" i="23"/>
  <c r="AJ109" i="23"/>
  <c r="AG503" i="23" a="1"/>
  <c r="AG503" i="23" s="1"/>
  <c r="AK470" i="23"/>
  <c r="AN470" i="23" s="1"/>
  <c r="AJ264" i="23"/>
  <c r="AH264" i="23"/>
  <c r="AJ267" i="23"/>
  <c r="AH267" i="23"/>
  <c r="AH22" i="23"/>
  <c r="AJ22" i="23"/>
  <c r="AH380" i="23"/>
  <c r="AJ380" i="23"/>
  <c r="AH442" i="23"/>
  <c r="AJ442" i="23"/>
  <c r="AH377" i="23"/>
  <c r="AJ377" i="23"/>
  <c r="AJ246" i="23"/>
  <c r="AH246" i="23"/>
  <c r="AH114" i="23"/>
  <c r="AJ114" i="23"/>
  <c r="AH274" i="23"/>
  <c r="AJ274" i="23"/>
  <c r="AH68" i="23"/>
  <c r="AJ68" i="23"/>
  <c r="AH213" i="23"/>
  <c r="AJ213" i="23"/>
  <c r="AH24" i="23"/>
  <c r="AJ24" i="23"/>
  <c r="AJ331" i="23"/>
  <c r="AH331" i="23"/>
  <c r="AH496" i="23"/>
  <c r="AJ496" i="23"/>
  <c r="AH18" i="23"/>
  <c r="AJ18" i="23"/>
  <c r="AJ388" i="23"/>
  <c r="AH388" i="23"/>
  <c r="AH95" i="23"/>
  <c r="AJ95" i="23"/>
  <c r="AJ53" i="23"/>
  <c r="AH53" i="23"/>
  <c r="AH439" i="23"/>
  <c r="AJ439" i="23"/>
  <c r="AH488" i="23"/>
  <c r="AJ488" i="23"/>
  <c r="AJ401" i="23"/>
  <c r="AH401" i="23"/>
  <c r="AJ406" i="23"/>
  <c r="AH406" i="23"/>
  <c r="AJ211" i="23"/>
  <c r="AH211" i="23"/>
  <c r="AJ551" i="23"/>
  <c r="AH551" i="23"/>
  <c r="AH66" i="23"/>
  <c r="AJ66" i="23"/>
  <c r="AH430" i="23"/>
  <c r="AJ430" i="23"/>
  <c r="AJ173" i="23"/>
  <c r="AH173" i="23"/>
  <c r="AJ316" i="23"/>
  <c r="AH316" i="23"/>
  <c r="AJ383" i="23"/>
  <c r="AH383" i="23"/>
  <c r="AH421" i="23"/>
  <c r="AJ421" i="23"/>
  <c r="AH405" i="23"/>
  <c r="AJ405" i="23"/>
  <c r="AH500" i="23"/>
  <c r="AJ500" i="23"/>
  <c r="AH526" i="23"/>
  <c r="AJ526" i="23"/>
  <c r="AJ63" i="23"/>
  <c r="AH63" i="23"/>
  <c r="AJ131" i="23"/>
  <c r="AH131" i="23"/>
  <c r="AH28" i="23"/>
  <c r="AJ28" i="23"/>
  <c r="AH208" i="23"/>
  <c r="AJ208" i="23"/>
  <c r="AJ440" i="23"/>
  <c r="AH440" i="23"/>
  <c r="AJ447" i="23"/>
  <c r="AH447" i="23"/>
  <c r="AH21" i="23"/>
  <c r="AJ21" i="23"/>
  <c r="AH455" i="23"/>
  <c r="AJ455" i="23"/>
  <c r="AH326" i="23"/>
  <c r="AJ326" i="23"/>
  <c r="AH419" i="23"/>
  <c r="AJ419" i="23"/>
  <c r="AH534" i="23"/>
  <c r="AJ534" i="23"/>
  <c r="AH91" i="23"/>
  <c r="AJ91" i="23"/>
  <c r="AJ191" i="23"/>
  <c r="AH191" i="23"/>
  <c r="AH546" i="23"/>
  <c r="AJ546" i="23"/>
  <c r="AG328" i="23" a="1"/>
  <c r="AG328" i="23" s="1"/>
  <c r="AK295" i="23"/>
  <c r="AN295" i="23" s="1"/>
  <c r="AJ410" i="23"/>
  <c r="AH410" i="23"/>
  <c r="AH186" i="23"/>
  <c r="AJ186" i="23"/>
  <c r="AH37" i="23"/>
  <c r="AJ37" i="23"/>
  <c r="AH493" i="23"/>
  <c r="AJ493" i="23"/>
  <c r="AH404" i="23"/>
  <c r="AJ404" i="23"/>
  <c r="AJ333" i="23"/>
  <c r="AH333" i="23"/>
  <c r="AJ139" i="23"/>
  <c r="AH139" i="23"/>
  <c r="AJ41" i="23"/>
  <c r="AH41" i="23"/>
  <c r="AH243" i="23"/>
  <c r="AJ243" i="23"/>
  <c r="AH520" i="23"/>
  <c r="AJ520" i="23"/>
  <c r="AH365" i="23"/>
  <c r="AJ365" i="23"/>
  <c r="AJ62" i="23"/>
  <c r="AH62" i="23"/>
  <c r="AH476" i="23"/>
  <c r="AJ476" i="23"/>
  <c r="AH532" i="23"/>
  <c r="AJ532" i="23"/>
  <c r="AH279" i="23"/>
  <c r="AJ279" i="23"/>
  <c r="AJ148" i="23"/>
  <c r="AH148" i="23"/>
  <c r="AH307" i="23"/>
  <c r="AJ307" i="23"/>
  <c r="AJ200" i="23"/>
  <c r="AH200" i="23"/>
  <c r="AH302" i="23"/>
  <c r="AJ302" i="23"/>
  <c r="AJ161" i="23"/>
  <c r="AH161" i="23"/>
  <c r="AH33" i="23"/>
  <c r="AJ33" i="23"/>
  <c r="AH462" i="23"/>
  <c r="AJ462" i="23"/>
  <c r="AJ215" i="23"/>
  <c r="AH215" i="23"/>
  <c r="AH193" i="23"/>
  <c r="AJ193" i="23"/>
  <c r="AH527" i="23"/>
  <c r="AJ527" i="23"/>
  <c r="AH558" i="23"/>
  <c r="AJ558" i="23"/>
  <c r="AJ529" i="23"/>
  <c r="AH529" i="23"/>
  <c r="AK435" i="23"/>
  <c r="AN435" i="23" s="1"/>
  <c r="AG468" i="23" a="1"/>
  <c r="AG468" i="23" s="1"/>
  <c r="AJ391" i="23"/>
  <c r="AH391" i="23"/>
  <c r="AJ230" i="23"/>
  <c r="AH230" i="23"/>
  <c r="AH563" i="23"/>
  <c r="AJ563" i="23"/>
  <c r="AJ371" i="23"/>
  <c r="AH371" i="23"/>
  <c r="AJ160" i="23"/>
  <c r="AH160" i="23"/>
  <c r="AJ569" i="23"/>
  <c r="AH569" i="23"/>
  <c r="AH80" i="23"/>
  <c r="AJ80" i="23"/>
  <c r="AG118" i="23" a="1"/>
  <c r="AG118" i="23" s="1"/>
  <c r="AK85" i="23"/>
  <c r="AN85" i="23" s="1"/>
  <c r="AJ101" i="23"/>
  <c r="AH101" i="23"/>
  <c r="AH322" i="23"/>
  <c r="AJ322" i="23"/>
  <c r="AH198" i="23"/>
  <c r="AJ198" i="23"/>
  <c r="AH427" i="23"/>
  <c r="AJ427" i="23"/>
  <c r="AH212" i="23"/>
  <c r="AJ212" i="23"/>
  <c r="AH448" i="23"/>
  <c r="AJ448" i="23"/>
  <c r="AJ355" i="23"/>
  <c r="AH355" i="23"/>
  <c r="AJ69" i="23"/>
  <c r="AH69" i="23"/>
  <c r="AJ523" i="23"/>
  <c r="AH523" i="23"/>
  <c r="AH381" i="23"/>
  <c r="AJ381" i="23"/>
  <c r="AH482" i="23"/>
  <c r="AJ482" i="23"/>
  <c r="AJ474" i="23"/>
  <c r="AH474" i="23"/>
  <c r="AJ163" i="23"/>
  <c r="AH163" i="23"/>
  <c r="AK120" i="23"/>
  <c r="AN120" i="23" s="1"/>
  <c r="AG153" i="23" a="1"/>
  <c r="AG153" i="23" s="1"/>
  <c r="AJ374" i="23"/>
  <c r="AH374" i="23"/>
  <c r="AK155" i="23"/>
  <c r="AN155" i="23" s="1"/>
  <c r="AG188" i="23" a="1"/>
  <c r="AG188" i="23" s="1"/>
  <c r="AH338" i="23"/>
  <c r="AJ338" i="23"/>
  <c r="AH247" i="23"/>
  <c r="AJ247" i="23"/>
  <c r="AH43" i="23"/>
  <c r="AJ43" i="23"/>
  <c r="AH548" i="23"/>
  <c r="AJ548" i="23"/>
  <c r="AH251" i="23"/>
  <c r="AJ251" i="23"/>
  <c r="AH428" i="23"/>
  <c r="AJ428" i="23"/>
  <c r="AH453" i="23"/>
  <c r="AJ453" i="23"/>
  <c r="AJ385" i="23"/>
  <c r="AH385" i="23"/>
  <c r="AH34" i="23"/>
  <c r="AJ34" i="23"/>
  <c r="AH23" i="23"/>
  <c r="AJ23" i="23"/>
  <c r="AH288" i="23"/>
  <c r="AJ288" i="23"/>
  <c r="AJ407" i="23"/>
  <c r="AH407" i="23"/>
  <c r="AJ345" i="23"/>
  <c r="AH345" i="23"/>
  <c r="AJ128" i="23"/>
  <c r="AH128" i="23"/>
  <c r="AH65" i="23"/>
  <c r="AJ65" i="23"/>
  <c r="AH396" i="23"/>
  <c r="AJ396" i="23"/>
  <c r="AJ521" i="23"/>
  <c r="AH521" i="23"/>
  <c r="AJ413" i="23"/>
  <c r="AH413" i="23"/>
  <c r="AH127" i="23"/>
  <c r="AJ127" i="23"/>
  <c r="AH272" i="23"/>
  <c r="AJ272" i="23"/>
  <c r="AJ372" i="23"/>
  <c r="AH372" i="23"/>
  <c r="AJ175" i="23"/>
  <c r="AH175" i="23"/>
  <c r="AH156" i="23"/>
  <c r="AJ156" i="23"/>
  <c r="AH112" i="23"/>
  <c r="AJ112" i="23"/>
  <c r="AJ204" i="23"/>
  <c r="AH204" i="23"/>
  <c r="AH106" i="23"/>
  <c r="AJ106" i="23"/>
  <c r="AH290" i="23"/>
  <c r="AJ290" i="23"/>
  <c r="AH51" i="23"/>
  <c r="AJ51" i="23"/>
  <c r="AJ59" i="23"/>
  <c r="AH59" i="23"/>
  <c r="AH42" i="23"/>
  <c r="AJ42" i="23"/>
  <c r="AH358" i="23"/>
  <c r="AJ358" i="23"/>
  <c r="AH324" i="23"/>
  <c r="AJ324" i="23"/>
  <c r="AJ183" i="23"/>
  <c r="AH183" i="23"/>
  <c r="AH517" i="23"/>
  <c r="AJ517" i="23"/>
  <c r="AJ485" i="23"/>
  <c r="AH485" i="23"/>
  <c r="AH281" i="23"/>
  <c r="AJ281" i="23"/>
  <c r="AH361" i="23"/>
  <c r="AJ361" i="23"/>
  <c r="AJ564" i="23"/>
  <c r="AH564" i="23"/>
  <c r="AH196" i="23"/>
  <c r="AJ196" i="23"/>
  <c r="AJ317" i="23"/>
  <c r="AH317" i="23"/>
  <c r="AJ205" i="23"/>
  <c r="AH205" i="23"/>
  <c r="AH125" i="23"/>
  <c r="AJ125" i="23"/>
  <c r="AJ86" i="23"/>
  <c r="AH86" i="23"/>
  <c r="AH89" i="23"/>
  <c r="AJ89" i="23"/>
  <c r="AH479" i="23"/>
  <c r="AJ479" i="23"/>
  <c r="AH375" i="23"/>
  <c r="AJ375" i="23"/>
  <c r="AH522" i="23"/>
  <c r="AJ522" i="23"/>
  <c r="AH305" i="23"/>
  <c r="AJ305" i="23"/>
  <c r="AH147" i="23"/>
  <c r="AJ147" i="23"/>
  <c r="B114" i="2" l="1"/>
  <c r="B13" i="37" s="1"/>
  <c r="B40" i="2"/>
  <c r="F6" i="2" s="1"/>
  <c r="AK363" i="23" a="1"/>
  <c r="AK363" i="23" s="1"/>
  <c r="AK293" i="23" a="1"/>
  <c r="AK293" i="23" s="1"/>
  <c r="AK328" i="23" a="1"/>
  <c r="AK328" i="23" s="1"/>
  <c r="AK48" i="23" a="1"/>
  <c r="AK48" i="23" s="1"/>
  <c r="AK433" i="23" a="1"/>
  <c r="AK433" i="23" s="1"/>
  <c r="B115" i="2" a="1"/>
  <c r="B115" i="2" s="1"/>
  <c r="B110" i="2" s="1"/>
  <c r="B11" i="37" s="1"/>
  <c r="AK188" i="23" a="1"/>
  <c r="AK188" i="23" s="1"/>
  <c r="AK258" i="23" a="1"/>
  <c r="AK258" i="23" s="1"/>
  <c r="AK83" i="23" a="1"/>
  <c r="AK83" i="23" s="1"/>
  <c r="AJ83" i="23" a="1"/>
  <c r="AJ83" i="23" s="1"/>
  <c r="AJ188" i="23" a="1"/>
  <c r="AJ188" i="23" s="1"/>
  <c r="AJ573" i="23" a="1"/>
  <c r="AJ573" i="23" s="1"/>
  <c r="AJ538" i="23" a="1"/>
  <c r="AJ538" i="23" s="1"/>
  <c r="AJ118" i="23" a="1"/>
  <c r="AJ118" i="23" s="1"/>
  <c r="AK118" i="23" a="1"/>
  <c r="AK118" i="23" s="1"/>
  <c r="AK468" i="23" a="1"/>
  <c r="AK468" i="23" s="1"/>
  <c r="AJ468" i="23" a="1"/>
  <c r="AJ468" i="23" s="1"/>
  <c r="AK573" i="23" a="1"/>
  <c r="AK573" i="23" s="1"/>
  <c r="AJ363" i="23" a="1"/>
  <c r="AJ363" i="23" s="1"/>
  <c r="C102" i="2"/>
  <c r="C82" i="2"/>
  <c r="C83" i="2" s="1"/>
  <c r="C90" i="2"/>
  <c r="C91" i="2" s="1"/>
  <c r="C86" i="2"/>
  <c r="C87" i="2" s="1"/>
  <c r="AG574" i="23"/>
  <c r="AJ398" i="23" a="1"/>
  <c r="AJ398" i="23" s="1"/>
  <c r="AJ503" i="23" a="1"/>
  <c r="AJ503" i="23" s="1"/>
  <c r="AJ223" i="23" a="1"/>
  <c r="AJ223" i="23" s="1"/>
  <c r="AJ433" i="23" a="1"/>
  <c r="AJ433" i="23" s="1"/>
  <c r="AK538" i="23" a="1"/>
  <c r="AK538" i="23" s="1"/>
  <c r="AK153" i="23" a="1"/>
  <c r="AK153" i="23" s="1"/>
  <c r="AK503" i="23" a="1"/>
  <c r="AK503" i="23" s="1"/>
  <c r="AK398" i="23" a="1"/>
  <c r="AK398" i="23" s="1"/>
  <c r="H41" i="1"/>
  <c r="AK223" i="23" a="1"/>
  <c r="AK223" i="23" s="1"/>
  <c r="AJ258" i="23" a="1"/>
  <c r="AJ258" i="23" s="1"/>
  <c r="AJ293" i="23" a="1"/>
  <c r="AJ293" i="23" s="1"/>
  <c r="AJ153" i="23" a="1"/>
  <c r="AJ153" i="23" s="1"/>
  <c r="AJ48" i="23" a="1"/>
  <c r="AJ48" i="23" s="1"/>
  <c r="AH48" i="23" a="1"/>
  <c r="AH48" i="23" s="1"/>
  <c r="AJ328" i="23" a="1"/>
  <c r="AJ328" i="23" s="1"/>
  <c r="F27" i="2" l="1"/>
  <c r="F19" i="2"/>
  <c r="F17" i="2"/>
  <c r="F40" i="2"/>
  <c r="F26" i="2"/>
  <c r="F7" i="2"/>
  <c r="F21" i="2"/>
  <c r="F9" i="2"/>
  <c r="F20" i="2"/>
  <c r="F22" i="2"/>
  <c r="F16" i="2"/>
  <c r="F31" i="2"/>
  <c r="F24" i="2"/>
  <c r="F23" i="2"/>
  <c r="F29" i="2"/>
  <c r="F34" i="2"/>
  <c r="F12" i="2"/>
  <c r="F18" i="2"/>
  <c r="F37" i="2"/>
  <c r="F39" i="2"/>
  <c r="F25" i="2"/>
  <c r="F32" i="2"/>
  <c r="F35" i="2"/>
  <c r="F13" i="2"/>
  <c r="F30" i="2"/>
  <c r="F15" i="2"/>
  <c r="F38" i="2"/>
  <c r="F14" i="2"/>
  <c r="F33" i="2"/>
  <c r="F36" i="2"/>
  <c r="F8" i="2"/>
  <c r="F10" i="2"/>
  <c r="F28" i="2"/>
  <c r="F11" i="2"/>
  <c r="C7" i="2" a="1"/>
  <c r="C7" i="2" s="1"/>
  <c r="D7" i="2" s="1"/>
  <c r="E7" i="2" s="1"/>
  <c r="C30" i="2" a="1"/>
  <c r="C30" i="2" s="1"/>
  <c r="D30" i="2" s="1"/>
  <c r="E30" i="2" s="1"/>
  <c r="C20" i="2" a="1"/>
  <c r="C20" i="2" s="1"/>
  <c r="D20" i="2" s="1"/>
  <c r="E20" i="2" s="1"/>
  <c r="C31" i="2" a="1"/>
  <c r="C31" i="2" s="1"/>
  <c r="D31" i="2" s="1"/>
  <c r="E31" i="2" s="1"/>
  <c r="C21" i="2" a="1"/>
  <c r="C21" i="2" s="1"/>
  <c r="D21" i="2" s="1"/>
  <c r="E21" i="2" s="1"/>
  <c r="C8" i="2" a="1"/>
  <c r="C8" i="2" s="1"/>
  <c r="D8" i="2" s="1"/>
  <c r="E8" i="2" s="1"/>
  <c r="B116" i="2"/>
  <c r="C26" i="2" a="1"/>
  <c r="C26" i="2" s="1"/>
  <c r="D26" i="2" s="1"/>
  <c r="E26" i="2" s="1"/>
  <c r="C92" i="2"/>
  <c r="C93" i="2" s="1"/>
  <c r="C39" i="2" a="1"/>
  <c r="C39" i="2" s="1"/>
  <c r="D39" i="2" s="1"/>
  <c r="E39" i="2" s="1"/>
  <c r="C10" i="2" a="1"/>
  <c r="C10" i="2" s="1"/>
  <c r="D10" i="2" s="1"/>
  <c r="E10" i="2" s="1"/>
  <c r="B14" i="37"/>
  <c r="C28" i="2" a="1"/>
  <c r="C28" i="2" s="1"/>
  <c r="D28" i="2" s="1"/>
  <c r="E28" i="2" s="1"/>
  <c r="C6" i="2" a="1"/>
  <c r="C6" i="2" s="1"/>
  <c r="AK574" i="23" a="1"/>
  <c r="AK574" i="23" s="1"/>
  <c r="E8" i="23" s="1"/>
  <c r="C33" i="2" a="1"/>
  <c r="C33" i="2" s="1"/>
  <c r="D33" i="2" s="1"/>
  <c r="E33" i="2" s="1"/>
  <c r="C34" i="2" a="1"/>
  <c r="C34" i="2" s="1"/>
  <c r="D34" i="2" s="1"/>
  <c r="E34" i="2" s="1"/>
  <c r="C32" i="2" a="1"/>
  <c r="C32" i="2" s="1"/>
  <c r="D32" i="2" s="1"/>
  <c r="E32" i="2" s="1"/>
  <c r="C36" i="2" a="1"/>
  <c r="C36" i="2" s="1"/>
  <c r="D36" i="2" s="1"/>
  <c r="E36" i="2" s="1"/>
  <c r="C12" i="2" a="1"/>
  <c r="C12" i="2" s="1"/>
  <c r="D12" i="2" s="1"/>
  <c r="E12" i="2" s="1"/>
  <c r="C11" i="2" a="1"/>
  <c r="C11" i="2" s="1"/>
  <c r="D11" i="2" s="1"/>
  <c r="E11" i="2" s="1"/>
  <c r="C25" i="2" a="1"/>
  <c r="C25" i="2" s="1"/>
  <c r="D25" i="2" s="1"/>
  <c r="E25" i="2" s="1"/>
  <c r="C22" i="2" a="1"/>
  <c r="C22" i="2" s="1"/>
  <c r="D22" i="2" s="1"/>
  <c r="E22" i="2" s="1"/>
  <c r="C15" i="2" a="1"/>
  <c r="C15" i="2" s="1"/>
  <c r="D15" i="2" s="1"/>
  <c r="E15" i="2" s="1"/>
  <c r="C24" i="2" a="1"/>
  <c r="C24" i="2" s="1"/>
  <c r="D24" i="2" s="1"/>
  <c r="E24" i="2" s="1"/>
  <c r="C9" i="2" a="1"/>
  <c r="C9" i="2" s="1"/>
  <c r="D9" i="2" s="1"/>
  <c r="E9" i="2" s="1"/>
  <c r="E4" i="37"/>
  <c r="B70" i="2"/>
  <c r="C18" i="2" a="1"/>
  <c r="C18" i="2" s="1"/>
  <c r="D18" i="2" s="1"/>
  <c r="E18" i="2" s="1"/>
  <c r="AY16" i="23"/>
  <c r="E7" i="23"/>
  <c r="C17" i="2" a="1"/>
  <c r="C17" i="2" s="1"/>
  <c r="D17" i="2" s="1"/>
  <c r="E17" i="2" s="1"/>
  <c r="AJ574" i="23"/>
  <c r="C38" i="2" a="1"/>
  <c r="C38" i="2" s="1"/>
  <c r="D38" i="2" s="1"/>
  <c r="E38" i="2" s="1"/>
  <c r="C14" i="2" a="1"/>
  <c r="C14" i="2" s="1"/>
  <c r="D14" i="2" s="1"/>
  <c r="E14" i="2" s="1"/>
  <c r="C29" i="2" a="1"/>
  <c r="C29" i="2" s="1"/>
  <c r="D29" i="2" s="1"/>
  <c r="E29" i="2" s="1"/>
  <c r="C35" i="2" a="1"/>
  <c r="C35" i="2" s="1"/>
  <c r="D35" i="2" s="1"/>
  <c r="E35" i="2" s="1"/>
  <c r="C37" i="2" a="1"/>
  <c r="C37" i="2" s="1"/>
  <c r="D37" i="2" s="1"/>
  <c r="E37" i="2" s="1"/>
  <c r="C16" i="2" a="1"/>
  <c r="C16" i="2" s="1"/>
  <c r="D16" i="2" s="1"/>
  <c r="E16" i="2" s="1"/>
  <c r="C19" i="2" a="1"/>
  <c r="C19" i="2" s="1"/>
  <c r="D19" i="2" s="1"/>
  <c r="E19" i="2" s="1"/>
  <c r="C13" i="2" a="1"/>
  <c r="C13" i="2" s="1"/>
  <c r="D13" i="2" s="1"/>
  <c r="E13" i="2" s="1"/>
  <c r="C27" i="2" a="1"/>
  <c r="C27" i="2" s="1"/>
  <c r="D27" i="2" s="1"/>
  <c r="E27" i="2" s="1"/>
  <c r="C23" i="2" a="1"/>
  <c r="C23" i="2" s="1"/>
  <c r="D23" i="2" s="1"/>
  <c r="E23" i="2" s="1"/>
  <c r="C98" i="2" l="1"/>
  <c r="AY17" i="23"/>
  <c r="B10" i="37"/>
  <c r="H3" i="37"/>
  <c r="D6" i="2"/>
  <c r="E6" i="2" s="1"/>
  <c r="C40" i="2"/>
  <c r="C100" i="2" l="1"/>
  <c r="C105" i="2"/>
  <c r="D40" i="2"/>
  <c r="E40" i="2" s="1"/>
  <c r="AY19" i="23"/>
  <c r="AY18" i="23"/>
  <c r="AJ587" i="23"/>
  <c r="B12" i="37" l="1"/>
  <c r="B29" i="37" s="1"/>
  <c r="B31" i="37" s="1"/>
  <c r="C106" i="2"/>
  <c r="C10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<sst xmlns="http://schemas.openxmlformats.org/spreadsheetml/2006/main" count="7047" uniqueCount="2962">
  <si>
    <t xml:space="preserve">COTIZACION #  </t>
  </si>
  <si>
    <t>500-AÑO/MES/DIA/HORA</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</si>
  <si>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</si>
  <si>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</si>
  <si>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</si>
  <si>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</si>
  <si>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</si>
  <si>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</si>
  <si>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</si>
  <si>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</si>
  <si>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</si>
  <si>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</si>
  <si>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</si>
  <si>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</si>
  <si>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</si>
  <si>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</si>
  <si>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</si>
  <si>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</si>
  <si>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</si>
  <si>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 E INSTALACIÓN:</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</si>
  <si>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</si>
  <si>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</si>
  <si>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</si>
  <si>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</si>
  <si>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</si>
  <si>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</si>
  <si>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</si>
  <si>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</si>
  <si>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</si>
  <si>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+ 30% Contra Aviso de Embarque + 10%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</si>
  <si>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</si>
  <si>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</si>
  <si>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</si>
  <si>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</si>
  <si>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</si>
  <si>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</si>
  <si>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</si>
  <si>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</si>
  <si>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t xml:space="preserve">a. Los precios por concepto de envío e instalación establecidos en esta cotización tienen como destino de entrega en </t>
    </r>
    <r>
      <rPr>
        <b/>
        <u/>
        <sz val="14"/>
        <color rgb="FF119FFF"/>
        <rFont val="Roboto"/>
      </rPr>
      <t>Irapuato</t>
    </r>
  </si>
  <si>
    <t>CDMX</t>
  </si>
  <si>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</si>
  <si>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8:30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</si>
  <si>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</si>
  <si>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</si>
  <si>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</si>
  <si>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</si>
  <si>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</si>
  <si>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</si>
  <si>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</si>
  <si>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se tiene un plazo máximo de 48 horas para cualquier cambio, despues de este limite, no se podrá realizar ningún cambio.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</si>
  <si>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</si>
  <si>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</si>
  <si>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</si>
  <si>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</si>
  <si>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</si>
  <si>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r>
      <t xml:space="preserve">a. Esta cotización tiene una vigencia de </t>
    </r>
    <r>
      <rPr>
        <b/>
        <u/>
        <sz val="14"/>
        <color rgb="FFFF0000"/>
        <rFont val="Roboto"/>
      </rPr>
      <t>20 días hábiles</t>
    </r>
    <r>
      <rPr>
        <b/>
        <sz val="14"/>
        <color theme="0" tint="-0.499984740745262"/>
        <rFont val="Roboto"/>
      </rPr>
      <t xml:space="preserve"> a partir de la fecha mencionada en el encabezado de la misma.        </t>
    </r>
  </si>
  <si>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</si>
  <si>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</si>
  <si>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</si>
  <si>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</si>
  <si>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</si>
  <si>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</si>
  <si>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</si>
  <si>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</si>
  <si>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</si>
  <si>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</si>
  <si>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LISTA:</t>
  </si>
  <si>
    <t>DÓLARES</t>
  </si>
  <si>
    <t>DESCUENTO SOLICITADO:</t>
  </si>
  <si>
    <t>OJO: BUSCAR EL NO DAR EL MÁXIMO DESCUENTO DE INICIO PARA TENER PODER DE NEGOCIACIÓN</t>
  </si>
  <si>
    <t>DESCUENTO MÁXIMO PONDERADO:</t>
  </si>
  <si>
    <t>PRECIO TOTAL DESPUES DE DESCUENTO:</t>
  </si>
  <si>
    <t>GP COMERCIAL DEL PROYECTO:</t>
  </si>
  <si>
    <t>Lugar de entrega:</t>
  </si>
  <si>
    <t>COMISIÓN INTERMEDIARIO</t>
  </si>
  <si>
    <t>DESCUENTO GLOBAL CLIENTE:</t>
  </si>
  <si>
    <t>Tipo de Proyecto:</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</si>
  <si>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</si>
  <si>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FACTOR LOGÍSTICO PROYECTO</t>
  </si>
  <si>
    <t>Intermediario</t>
  </si>
  <si>
    <t>NA</t>
  </si>
  <si>
    <t>Tipo de Moneda a Cotizar</t>
  </si>
  <si>
    <t>Código de Producto</t>
  </si>
  <si>
    <t>Producto</t>
  </si>
  <si>
    <t>Proveedor</t>
  </si>
  <si>
    <t>Código de Proveedor</t>
  </si>
  <si>
    <t>Cantidad</t>
  </si>
  <si>
    <t>CÁLCULO COSTO</t>
  </si>
  <si>
    <t>PRECIO DE VENTA</t>
  </si>
  <si>
    <t>Descuento Proveedor</t>
  </si>
  <si>
    <t>Costo Proveedor</t>
  </si>
  <si>
    <t>Nacional o Importado</t>
  </si>
  <si>
    <t>Factor de Importación</t>
  </si>
  <si>
    <t>Costo Puesto en Sitio</t>
  </si>
  <si>
    <t>Factor Maniobras</t>
  </si>
  <si>
    <t>Costo Comercial Real</t>
  </si>
  <si>
    <t>M3</t>
  </si>
  <si>
    <t>M3 TOTALES</t>
  </si>
  <si>
    <t>Costo Total</t>
  </si>
  <si>
    <t>Región</t>
  </si>
  <si>
    <t>Instalación</t>
  </si>
  <si>
    <t>Instalación Individual por Región</t>
  </si>
  <si>
    <t>Factor de Instalación</t>
  </si>
  <si>
    <t>Total Factor</t>
  </si>
  <si>
    <t>Instalación por Región</t>
  </si>
  <si>
    <t>Precio Mínimo a Vender</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</si>
  <si>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</si>
  <si>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</si>
  <si>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</si>
  <si>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</si>
  <si>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</si>
  <si>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</si>
  <si>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</si>
  <si>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</si>
  <si>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</si>
  <si>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</si>
  <si>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</si>
  <si>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</si>
  <si>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</si>
  <si>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</si>
  <si>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</si>
  <si>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</si>
  <si>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</si>
  <si>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</si>
  <si>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</si>
  <si>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</si>
  <si>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</si>
  <si>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</si>
  <si>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</si>
  <si>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</si>
  <si>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</si>
  <si>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</si>
  <si>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</si>
  <si>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</si>
  <si>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</si>
  <si>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</si>
  <si>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</si>
  <si>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</si>
  <si>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</si>
  <si>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</si>
  <si>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</si>
  <si>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</si>
  <si>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</si>
  <si>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</si>
  <si>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</si>
  <si>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</si>
  <si>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</si>
  <si>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</si>
  <si>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</si>
  <si>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</si>
  <si>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</si>
  <si>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</si>
  <si>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</si>
  <si>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</si>
  <si>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</si>
  <si>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</si>
  <si>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</si>
  <si>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</si>
  <si>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</si>
  <si>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</si>
  <si>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</si>
  <si>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</si>
  <si>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</si>
  <si>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</si>
  <si>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</si>
  <si>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</si>
  <si>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</si>
  <si>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</si>
  <si>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</si>
  <si>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</si>
  <si>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</si>
  <si>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</si>
  <si>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</si>
  <si>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</si>
  <si>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</si>
  <si>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</si>
  <si>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</si>
  <si>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</si>
  <si>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</si>
  <si>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Lumbro CH</t>
  </si>
  <si>
    <t>Santeco</t>
  </si>
  <si>
    <t>Jome</t>
  </si>
  <si>
    <t>Offiho</t>
  </si>
  <si>
    <t>Tarkett MX</t>
  </si>
  <si>
    <t>Lumbro</t>
  </si>
  <si>
    <t>Sunon Mty</t>
  </si>
  <si>
    <t>Conceptos Sofas</t>
  </si>
  <si>
    <t>Lauco Sofas</t>
  </si>
  <si>
    <t>CR Global - Mesas Ajustables</t>
  </si>
  <si>
    <t>Vandesk</t>
  </si>
  <si>
    <t>Mamparas Tela</t>
  </si>
  <si>
    <t>Mampara Cristales</t>
  </si>
  <si>
    <t>Herrajes</t>
  </si>
  <si>
    <t>MetalWork</t>
  </si>
  <si>
    <t>Requiez</t>
  </si>
  <si>
    <t>Labenze</t>
  </si>
  <si>
    <t>Infinity</t>
  </si>
  <si>
    <t>Idelika</t>
  </si>
  <si>
    <t>All Chairs</t>
  </si>
  <si>
    <t>Sonara</t>
  </si>
  <si>
    <t>Proveedor Externo</t>
  </si>
  <si>
    <t>CONTROL ADMINISTRATIVO DEL PROYECTO</t>
  </si>
  <si>
    <t>Cotización</t>
  </si>
  <si>
    <t>Venta antes de IVA</t>
  </si>
  <si>
    <t>GP Comercial</t>
  </si>
  <si>
    <t>Fecha</t>
  </si>
  <si>
    <t>Total con IVA</t>
  </si>
  <si>
    <t>Descuento Global</t>
  </si>
  <si>
    <t>PENDIENTE</t>
  </si>
  <si>
    <t>Máximo Ponderado</t>
  </si>
  <si>
    <t xml:space="preserve">COMPLETO </t>
  </si>
  <si>
    <t>NO APLICA</t>
  </si>
  <si>
    <t>VALIDACIONES AUTOMÁTICAS</t>
  </si>
  <si>
    <t>Descuento permitido</t>
  </si>
  <si>
    <t>Importación</t>
  </si>
  <si>
    <t>Estrategia Comercial</t>
  </si>
  <si>
    <t>Comisión</t>
  </si>
  <si>
    <t>APROBACIONES</t>
  </si>
  <si>
    <t>Responsable</t>
  </si>
  <si>
    <t>Estado</t>
  </si>
  <si>
    <t>Nombre</t>
  </si>
  <si>
    <t>Observaciones</t>
  </si>
  <si>
    <t>Validación</t>
  </si>
  <si>
    <t>Elaboró Cotización</t>
  </si>
  <si>
    <t>Revisión Comercial</t>
  </si>
  <si>
    <t>Revisión Financiera</t>
  </si>
  <si>
    <t>Dirección</t>
  </si>
  <si>
    <t>Ejecutivo de Ventas</t>
  </si>
  <si>
    <t>Cliente</t>
  </si>
  <si>
    <t>Orden de Compra</t>
  </si>
  <si>
    <t>Anticipo Recibido</t>
  </si>
  <si>
    <t>ESTADO PARA ENVIAR</t>
  </si>
  <si>
    <t>ESTADO DE FIRMAS</t>
  </si>
  <si>
    <t>ESTADO DEL PROYECTO</t>
  </si>
  <si>
    <t>PLM Y COSTOS DE PRODUCTO POR PROVEEDOR</t>
  </si>
  <si>
    <t>PROVEEDOR</t>
  </si>
  <si>
    <t>COSTO PRODUCTO</t>
  </si>
  <si>
    <t>UTILIDAD BRUTA</t>
  </si>
  <si>
    <t>GP PROVEEDOR</t>
  </si>
  <si>
    <t>PARTICIPACIÓN EN LA VENTA</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</si>
  <si>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</si>
  <si>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</si>
  <si>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</si>
  <si>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</si>
  <si>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</si>
  <si>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</si>
  <si>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</si>
  <si>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</si>
  <si>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</si>
  <si>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</si>
  <si>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</si>
  <si>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</si>
  <si>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</si>
  <si>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</si>
  <si>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</si>
  <si>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</si>
  <si>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</si>
  <si>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</si>
  <si>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</si>
  <si>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SUNON MTY</t>
  </si>
  <si>
    <t>CONCEPTOS SOFAS</t>
  </si>
  <si>
    <t>LAUCO SOFAS</t>
  </si>
  <si>
    <t>CR GLOBAL - MESAS AJUSTABLES</t>
  </si>
  <si>
    <t>VANDESK</t>
  </si>
  <si>
    <t>MAMPARAS TELAS</t>
  </si>
  <si>
    <t>MAMPARAS CRISTALES</t>
  </si>
  <si>
    <t>HERRAJES</t>
  </si>
  <si>
    <t>METALWORK</t>
  </si>
  <si>
    <t>REQUIEZ</t>
  </si>
  <si>
    <t>LABENZE</t>
  </si>
  <si>
    <t>INFINITY</t>
  </si>
  <si>
    <t>PROVEEDOR EXTERNO</t>
  </si>
  <si>
    <t>IDELIKA</t>
  </si>
  <si>
    <t>ALL CHAIRS</t>
  </si>
  <si>
    <t>TOTAL PRODUCTOS</t>
  </si>
  <si>
    <t>COSTO DE CUSTOMER EXPERIENCE</t>
  </si>
  <si>
    <t>Costo de mercancía de muestra (con importación)</t>
  </si>
  <si>
    <t>Costo de envío e instalación de muestra /préstamos</t>
  </si>
  <si>
    <t>Costo de marketing (termos, libretas)</t>
  </si>
  <si>
    <t>Costo de gastos de representación</t>
  </si>
  <si>
    <t>Costos de otros gastos</t>
  </si>
  <si>
    <t>TOTAL COSTOS DE PREVENTA Y CUSTOMER EXPERIENCE</t>
  </si>
  <si>
    <t>COSTO DE PROYECTOS</t>
  </si>
  <si>
    <t>Para usar MXN, dejar en 0 los USD</t>
  </si>
  <si>
    <t>MXN</t>
  </si>
  <si>
    <t>Costo de Diseño (x Hora)</t>
  </si>
  <si>
    <t>Horas de Diseño</t>
  </si>
  <si>
    <t>Costo</t>
  </si>
  <si>
    <t>M³ importados</t>
  </si>
  <si>
    <t>TOTAL COSTO DE PROYECTOS</t>
  </si>
  <si>
    <t>Contenedor recomendado</t>
  </si>
  <si>
    <t>Ocupación</t>
  </si>
  <si>
    <t>Factor de importación</t>
  </si>
  <si>
    <t>ENVÍO</t>
  </si>
  <si>
    <t>Costo logístico</t>
  </si>
  <si>
    <t>Para ingresar cantidad específica en $, dejar porcentaje en 0</t>
  </si>
  <si>
    <t>Costo real de flete:</t>
  </si>
  <si>
    <t>Precio de venta de flete:</t>
  </si>
  <si>
    <t>Utilidad de flete:</t>
  </si>
  <si>
    <t>GP de flete:</t>
  </si>
  <si>
    <t>TOTALES EN COTIZACIÓN</t>
  </si>
  <si>
    <t>ENVÍO E INSTALACIÓN (EN COTI)</t>
  </si>
  <si>
    <t>IVA</t>
  </si>
  <si>
    <t>TOTAL</t>
  </si>
  <si>
    <t>COSTO FINANCIERO</t>
  </si>
  <si>
    <t>Fianza</t>
  </si>
  <si>
    <t>Tasa semanal fianza</t>
  </si>
  <si>
    <t>¿Lleva fianza? (si/no)</t>
  </si>
  <si>
    <t>NO</t>
  </si>
  <si>
    <t>Monto de fianza (calculado al monto de anticipo)</t>
  </si>
  <si>
    <t>SI</t>
  </si>
  <si>
    <t>Semanas de fianza (calculado a último pago)</t>
  </si>
  <si>
    <t>Costo de Fianza</t>
  </si>
  <si>
    <t>Pagos Diferidos</t>
  </si>
  <si>
    <t>Costo financiero semanal</t>
  </si>
  <si>
    <t>Pago 1</t>
  </si>
  <si>
    <t>Porcentaje</t>
  </si>
  <si>
    <t>Semanas Post OC</t>
  </si>
  <si>
    <t>Costo:</t>
  </si>
  <si>
    <t>Pago 2</t>
  </si>
  <si>
    <t>Pago 3</t>
  </si>
  <si>
    <t>Costo Por Pagos Diferidos</t>
  </si>
  <si>
    <t>TOTAL COSTO FINANCIERO</t>
  </si>
  <si>
    <t>COSTO DE COMISIONES EXTERNAS</t>
  </si>
  <si>
    <t>¿Se dbe pagar una comisión externa del proyecto?</t>
  </si>
  <si>
    <t>Porcentaje de ajuste sobre precio base</t>
  </si>
  <si>
    <t>TOTAL COSTO DE COMISIONES EXTERNAS</t>
  </si>
  <si>
    <t>COSTO TOTAL</t>
  </si>
  <si>
    <t>PRECIO DE VENTA TOTAL</t>
  </si>
  <si>
    <t>% DE MARGEN Y UTILIDAD DE PROYECTO</t>
  </si>
  <si>
    <t>MARGEN BRUTO (GP COMERCIAL)</t>
  </si>
  <si>
    <t>UTILIDAD OPERATIVA</t>
  </si>
  <si>
    <t>GOP COMISIONABLE</t>
  </si>
  <si>
    <t>COMISIÓN ESTIMADA</t>
  </si>
  <si>
    <t>TIPO DE PROYECTO</t>
  </si>
  <si>
    <t>COMPONENTE</t>
  </si>
  <si>
    <t>BASE COMISIONABLE</t>
  </si>
  <si>
    <t>TASA</t>
  </si>
  <si>
    <t>COMISIÓN</t>
  </si>
  <si>
    <t>NACIONAL</t>
  </si>
  <si>
    <t>IMPORTADO</t>
  </si>
  <si>
    <t>TOTAL COMISIÓN VENTAS</t>
  </si>
  <si>
    <t>VENTA IMPORTADA (CONTROL)</t>
  </si>
  <si>
    <t>GP IMPORTADO (CONTROL)</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</si>
  <si>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</si>
  <si>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</si>
  <si>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</si>
  <si>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</si>
  <si>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</si>
  <si>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</si>
  <si>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</si>
  <si>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</si>
  <si>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</si>
  <si>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</si>
  <si>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</si>
  <si>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</si>
  <si>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</si>
  <si>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</si>
  <si>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</si>
  <si>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</si>
  <si>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</si>
  <si>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</si>
  <si>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</si>
  <si>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</si>
  <si>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</si>
  <si>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</si>
  <si>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</si>
  <si>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</si>
  <si>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Paneles</t>
  </si>
  <si>
    <t>Centro</t>
  </si>
  <si>
    <t>Pisos</t>
  </si>
  <si>
    <t>CANTIDAD TOTAL DE MUEBLES</t>
  </si>
  <si>
    <t>FLETE A AÑADIR P/PRODUCTO</t>
  </si>
  <si>
    <t>FACTOR TOTAL</t>
  </si>
  <si>
    <t>CELDAS MODIFICABLES</t>
  </si>
  <si>
    <t>Factor</t>
  </si>
  <si>
    <t>REGIONES</t>
  </si>
  <si>
    <t>SELECCIONAR EL FLETE A LA ZONA MÁS CERCANA / CANTIDAD DE MUEBLES</t>
  </si>
  <si>
    <t>MONEDA</t>
  </si>
  <si>
    <t>Pesos</t>
  </si>
  <si>
    <t>REGION / CIUDAD</t>
  </si>
  <si>
    <t>% Recuperación Logístico</t>
  </si>
  <si>
    <t>Desde</t>
  </si>
  <si>
    <t>Hasta</t>
  </si>
  <si>
    <t>Multiplicador</t>
  </si>
  <si>
    <t>Jalisco</t>
  </si>
  <si>
    <t>ZMG</t>
  </si>
  <si>
    <t>Nuevo León</t>
  </si>
  <si>
    <t>Baja California Norte</t>
  </si>
  <si>
    <t>Baja California Sur</t>
  </si>
  <si>
    <t>Yucatán</t>
  </si>
  <si>
    <t>Querétaro</t>
  </si>
  <si>
    <t>EDO México</t>
  </si>
  <si>
    <t>Guanajuato</t>
  </si>
  <si>
    <t>Quintana Roo</t>
  </si>
  <si>
    <t>FACTOR LOGÍSTICO</t>
  </si>
  <si>
    <t>Concepto</t>
  </si>
  <si>
    <t>Valor</t>
  </si>
  <si>
    <t>Modo calculo logística</t>
  </si>
  <si>
    <t>PRORRATEADO</t>
  </si>
  <si>
    <t>Valor mercancía importada</t>
  </si>
  <si>
    <t>% ocupación contenedor</t>
  </si>
  <si>
    <t>CONTENEDOR COMPLETO</t>
  </si>
  <si>
    <t>Contenedores 20'</t>
  </si>
  <si>
    <t>Costo asignado al proyecto</t>
  </si>
  <si>
    <t>Contenedores 40HC</t>
  </si>
  <si>
    <t>Factor Manual</t>
  </si>
  <si>
    <t>MANUAL</t>
  </si>
  <si>
    <t>Costo total contenedores</t>
  </si>
  <si>
    <t>IVA importación</t>
  </si>
  <si>
    <t>M3 Importados</t>
  </si>
  <si>
    <t>PRORREATADO</t>
  </si>
  <si>
    <t>Mínimo Importación</t>
  </si>
  <si>
    <t>CONTENEDOR RECOMENDADO</t>
  </si>
  <si>
    <t>Máximo Importación</t>
  </si>
  <si>
    <t>PARAMETROS CONTENEDORES</t>
  </si>
  <si>
    <t>No. 40HC</t>
  </si>
  <si>
    <t>M³ cubiertos</t>
  </si>
  <si>
    <t>M³ restantes</t>
  </si>
  <si>
    <t>No. 20'</t>
  </si>
  <si>
    <t>Capacidad total</t>
  </si>
  <si>
    <t>Capacidad útil 20' (m³)</t>
  </si>
  <si>
    <t>Costo contenedor 20'</t>
  </si>
  <si>
    <t>IVA contenedor 20'</t>
  </si>
  <si>
    <t>Capacidad útil 40HC (m³)</t>
  </si>
  <si>
    <t>Costo contenedor 40HC</t>
  </si>
  <si>
    <t>IVA contenedor 40HC</t>
  </si>
  <si>
    <t>IVA mercancía</t>
  </si>
  <si>
    <t>Otros costos importación</t>
  </si>
  <si>
    <t>TIPO DE CAMBIO MXN/USD</t>
  </si>
  <si>
    <t>EMPRESA</t>
  </si>
  <si>
    <t>CLAVE</t>
  </si>
  <si>
    <t>PORCENTAJE</t>
  </si>
  <si>
    <t>MARGEN EXTRA</t>
  </si>
  <si>
    <t>CATEGORÍA</t>
  </si>
  <si>
    <t>M3 ESTIMADO P/UNIDAD</t>
  </si>
  <si>
    <t>GO OBJETIVO</t>
  </si>
  <si>
    <t>DESCUENTO MÁXIMO COMERCIAL</t>
  </si>
  <si>
    <t>DESCUENTO OTROGADO POR PROVEEDOR</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</si>
  <si>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</si>
  <si>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</si>
  <si>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</si>
  <si>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</si>
  <si>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</si>
  <si>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</si>
  <si>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</si>
  <si>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</si>
  <si>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</si>
  <si>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</si>
  <si>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</si>
  <si>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</si>
  <si>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</si>
  <si>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</si>
  <si>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</si>
  <si>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</si>
  <si>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</si>
  <si>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</si>
  <si>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</si>
  <si>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</si>
  <si>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</si>
  <si>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</si>
  <si>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</si>
  <si>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</si>
  <si>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Nacional</t>
  </si>
  <si>
    <t>LUMBRO INTERNACIONAL S.A. DE C.V.</t>
  </si>
  <si>
    <t>P00715</t>
  </si>
  <si>
    <t>P00209</t>
  </si>
  <si>
    <t>GRUPO INDUSTRIAL JOME SA DE CV</t>
  </si>
  <si>
    <t>P00131</t>
  </si>
  <si>
    <t>OFFIHO, SA DE CV</t>
  </si>
  <si>
    <t>P00251</t>
  </si>
  <si>
    <t>P00741</t>
  </si>
  <si>
    <t>CREACION SOLUCIONES INTELIGENTES SA DE CV</t>
  </si>
  <si>
    <t>P00176</t>
  </si>
  <si>
    <t>OSCAR HERNANDEZ</t>
  </si>
  <si>
    <t>P00375</t>
  </si>
  <si>
    <t xml:space="preserve">GUSTAVO </t>
  </si>
  <si>
    <t>P00376</t>
  </si>
  <si>
    <t>MRCT TRADING</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</si>
  <si>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</si>
  <si>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</si>
  <si>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</si>
  <si>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</si>
  <si>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</si>
  <si>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</si>
  <si>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</si>
  <si>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</si>
  <si>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</si>
  <si>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</si>
  <si>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</si>
  <si>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</si>
  <si>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</si>
  <si>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</si>
  <si>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P0538</t>
  </si>
  <si>
    <t>B2B MANUFACTURAS S.A. DE C.V.</t>
  </si>
  <si>
    <t>P0537</t>
  </si>
  <si>
    <t>PEAR IMPORTS GROUP</t>
  </si>
  <si>
    <t>P0541</t>
  </si>
  <si>
    <t>SONARA S.A. DE C.V.</t>
  </si>
  <si>
    <t>P00539</t>
  </si>
  <si>
    <t>PROVEEDORES EXTRAORDNIARIOS</t>
  </si>
  <si>
    <t>OPCION</t>
  </si>
  <si>
    <t>MIXTO</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</si>
  <si>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</si>
  <si>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</si>
  <si>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</si>
  <si>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</si>
  <si>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</si>
  <si>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</si>
  <si>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</si>
  <si>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</si>
  <si>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</si>
  <si>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</si>
  <si>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</si>
  <si>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</si>
  <si>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</si>
  <si>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</si>
  <si>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</si>
  <si>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</si>
  <si>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</si>
  <si>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</si>
  <si>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</si>
  <si>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</si>
  <si>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</si>
  <si>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</si>
  <si>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</si>
  <si>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</si>
  <si>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</si>
  <si>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</si>
  <si>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</si>
  <si>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</si>
  <si>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</si>
  <si>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</si>
  <si>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</si>
  <si>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</si>
  <si>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</si>
  <si>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</si>
  <si>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</si>
  <si>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</si>
  <si>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</si>
  <si>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</si>
  <si>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</si>
  <si>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</si>
  <si>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</si>
  <si>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</si>
  <si>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</si>
  <si>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</si>
  <si>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</si>
  <si>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</si>
  <si>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</si>
  <si>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</si>
  <si>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</si>
  <si>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</si>
  <si>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</si>
  <si>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</si>
  <si>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</si>
  <si>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</si>
  <si>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</si>
  <si>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</si>
  <si>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</si>
  <si>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</si>
  <si>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</si>
  <si>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</si>
  <si>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</si>
  <si>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</si>
  <si>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</si>
  <si>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</si>
  <si>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</si>
  <si>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</si>
  <si>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</si>
  <si>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</si>
  <si>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</si>
  <si>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</si>
  <si>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</si>
  <si>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</si>
  <si>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</si>
  <si>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</si>
  <si>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</si>
  <si>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</si>
  <si>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</si>
  <si>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</si>
  <si>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</si>
  <si>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</si>
  <si>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</si>
  <si>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</si>
  <si>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</si>
  <si>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</si>
  <si>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</si>
  <si>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</si>
  <si>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</si>
  <si>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</si>
  <si>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</si>
  <si>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</si>
  <si>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</si>
  <si>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</si>
  <si>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</si>
  <si>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</si>
  <si>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</si>
  <si>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</si>
  <si>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</si>
  <si>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</si>
  <si>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</si>
  <si>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</si>
  <si>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</si>
  <si>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</si>
  <si>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</si>
  <si>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</si>
  <si>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</si>
  <si>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</si>
  <si>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</si>
  <si>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</si>
  <si>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</si>
  <si>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</si>
  <si>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</si>
  <si>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</si>
  <si>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</si>
  <si>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</si>
  <si>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</si>
  <si>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</si>
  <si>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</si>
  <si>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</si>
  <si>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</si>
  <si>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</si>
  <si>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</si>
  <si>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</si>
  <si>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</si>
  <si>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</si>
  <si>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</si>
  <si>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</si>
  <si>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</si>
  <si>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</si>
  <si>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</si>
  <si>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</si>
  <si>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</si>
  <si>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</si>
  <si>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</si>
  <si>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</si>
  <si>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</si>
  <si>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</si>
  <si>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</si>
  <si>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</si>
  <si>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</si>
  <si>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</si>
  <si>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</si>
  <si>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</si>
  <si>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</si>
  <si>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</si>
  <si>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</si>
  <si>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</si>
  <si>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</si>
  <si>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</si>
  <si>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</si>
  <si>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</si>
  <si>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</si>
  <si>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</si>
  <si>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</si>
  <si>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</si>
  <si>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</si>
  <si>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</si>
  <si>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</si>
  <si>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</si>
  <si>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</si>
  <si>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</si>
  <si>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</si>
  <si>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</si>
  <si>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</si>
  <si>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</si>
  <si>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</si>
  <si>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</si>
  <si>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</si>
  <si>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</si>
  <si>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</si>
  <si>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</si>
  <si>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</si>
  <si>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</si>
  <si>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</si>
  <si>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</si>
  <si>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</si>
  <si>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</si>
  <si>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</si>
  <si>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</si>
  <si>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</si>
  <si>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</si>
  <si>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</si>
  <si>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</si>
  <si>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</si>
  <si>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</si>
  <si>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</si>
  <si>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</si>
  <si>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</si>
  <si>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</si>
  <si>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</si>
  <si>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</si>
  <si>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</si>
  <si>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</si>
  <si>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</si>
  <si>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</si>
  <si>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</si>
  <si>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</si>
  <si>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</si>
  <si>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</si>
  <si>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</si>
  <si>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</si>
  <si>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</si>
  <si>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</si>
  <si>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</si>
  <si>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</si>
  <si>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</si>
  <si>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</si>
  <si>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</si>
  <si>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</si>
  <si>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</si>
  <si>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</si>
  <si>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</si>
  <si>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</si>
  <si>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</si>
  <si>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</si>
  <si>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</si>
  <si>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</si>
  <si>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</si>
  <si>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</si>
  <si>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</si>
  <si>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</si>
  <si>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</si>
  <si>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</si>
  <si>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</si>
  <si>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</si>
  <si>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</si>
  <si>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</si>
  <si>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</si>
  <si>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</si>
  <si>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</si>
  <si>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</si>
  <si>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</si>
  <si>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</si>
  <si>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</si>
  <si>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</si>
  <si>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</si>
  <si>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</si>
  <si>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</si>
  <si>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</si>
  <si>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</si>
  <si>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</si>
  <si>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</si>
  <si>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</si>
  <si>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</si>
  <si>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</si>
  <si>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</si>
  <si>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</si>
  <si>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</si>
  <si>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</si>
  <si>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</si>
  <si>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</si>
  <si>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</si>
  <si>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</si>
  <si>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</si>
  <si>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</si>
  <si>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</si>
  <si>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</si>
  <si>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</si>
  <si>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</si>
  <si>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</si>
  <si>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</si>
  <si>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</si>
  <si>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</si>
  <si>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</si>
  <si>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</si>
  <si>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</si>
  <si>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</si>
  <si>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</si>
  <si>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</si>
  <si>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</si>
  <si>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</si>
  <si>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</si>
  <si>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</si>
  <si>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</si>
  <si>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</si>
  <si>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</si>
  <si>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</si>
  <si>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</si>
  <si>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</si>
  <si>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</si>
  <si>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</si>
  <si>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</si>
  <si>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</si>
  <si>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</si>
  <si>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</si>
  <si>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</si>
  <si>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</si>
  <si>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</si>
  <si>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</si>
  <si>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</si>
  <si>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</si>
  <si>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</si>
  <si>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</si>
  <si>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</si>
  <si>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</si>
  <si>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</si>
  <si>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</si>
  <si>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</si>
  <si>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</si>
  <si>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</si>
  <si>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</si>
  <si>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</si>
  <si>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</si>
  <si>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</si>
  <si>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</si>
  <si>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</si>
  <si>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</si>
  <si>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</si>
  <si>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</si>
  <si>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</si>
  <si>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</si>
  <si>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</si>
  <si>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</si>
  <si>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</si>
  <si>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</si>
  <si>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</si>
  <si>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</si>
  <si>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</si>
  <si>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</si>
  <si>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</si>
  <si>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</si>
  <si>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</si>
  <si>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</si>
  <si>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</si>
  <si>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</si>
  <si>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</si>
  <si>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</si>
  <si>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</si>
  <si>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</si>
  <si>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</si>
  <si>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</si>
  <si>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</si>
  <si>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</si>
  <si>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</si>
  <si>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</si>
  <si>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</si>
  <si>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</si>
  <si>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</si>
  <si>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</si>
  <si>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</si>
  <si>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</si>
  <si>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</si>
  <si>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</si>
  <si>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</si>
  <si>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</si>
  <si>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</si>
  <si>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</si>
  <si>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</si>
  <si>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</si>
  <si>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</si>
  <si>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</si>
  <si>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</si>
  <si>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</si>
  <si>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</si>
  <si>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</si>
  <si>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</si>
  <si>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</si>
  <si>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</si>
  <si>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</si>
  <si>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</si>
  <si>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</si>
  <si>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</si>
  <si>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</si>
  <si>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</si>
  <si>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</si>
  <si>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</si>
  <si>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</si>
  <si>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</si>
  <si>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</si>
  <si>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</si>
  <si>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</si>
  <si>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</si>
  <si>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</si>
  <si>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</si>
  <si>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</si>
  <si>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</si>
  <si>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</si>
  <si>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</si>
  <si>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</si>
  <si>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</si>
  <si>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</si>
  <si>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</si>
  <si>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</si>
  <si>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</si>
  <si>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</si>
  <si>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</si>
  <si>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</si>
  <si>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</si>
  <si>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</si>
  <si>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</si>
  <si>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</si>
  <si>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</si>
  <si>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</si>
  <si>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</si>
  <si>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</si>
  <si>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</si>
  <si>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</si>
  <si>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</si>
  <si>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</si>
  <si>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</si>
  <si>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</si>
  <si>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</si>
  <si>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</si>
  <si>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</si>
  <si>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</si>
  <si>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</si>
  <si>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</si>
  <si>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</si>
  <si>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</si>
  <si>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</si>
  <si>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</si>
  <si>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</si>
  <si>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</si>
  <si>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</si>
  <si>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</si>
  <si>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</si>
  <si>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</si>
  <si>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</si>
  <si>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</si>
  <si>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</si>
  <si>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</si>
  <si>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</si>
  <si>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</si>
  <si>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</si>
  <si>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</si>
  <si>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</si>
  <si>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</si>
  <si>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</si>
  <si>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</si>
  <si>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</si>
  <si>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</si>
  <si>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</si>
  <si>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</si>
  <si>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</si>
  <si>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</si>
  <si>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</si>
  <si>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</si>
  <si>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</si>
  <si>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</si>
  <si>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</si>
  <si>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</si>
  <si>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</si>
  <si>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</si>
  <si>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</si>
  <si>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</si>
  <si>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</si>
  <si>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</si>
  <si>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</si>
  <si>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</si>
  <si>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</si>
  <si>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</si>
  <si>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</si>
  <si>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</si>
  <si>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</si>
  <si>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</si>
  <si>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</si>
  <si>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</si>
  <si>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</si>
  <si>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</si>
  <si>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</si>
  <si>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</si>
  <si>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</si>
  <si>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</si>
  <si>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</si>
  <si>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</si>
  <si>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</si>
  <si>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</si>
  <si>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</si>
  <si>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</si>
  <si>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</si>
  <si>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</si>
  <si>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</si>
  <si>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</si>
  <si>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</si>
  <si>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</si>
  <si>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</si>
  <si>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</si>
  <si>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</si>
  <si>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</si>
  <si>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</si>
  <si>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</si>
  <si>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</si>
  <si>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</si>
  <si>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</si>
  <si>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</si>
  <si>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</si>
  <si>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</si>
  <si>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</si>
  <si>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</si>
  <si>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</si>
  <si>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</si>
  <si>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</si>
  <si>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</si>
  <si>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</si>
  <si>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</si>
  <si>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</si>
  <si>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</si>
  <si>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</si>
  <si>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</si>
  <si>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</si>
  <si>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</si>
  <si>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</si>
  <si>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</si>
  <si>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</si>
  <si>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</si>
  <si>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</si>
  <si>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</si>
  <si>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</si>
  <si>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</si>
  <si>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</si>
  <si>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</si>
  <si>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</si>
  <si>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</si>
  <si>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</si>
  <si>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</si>
  <si>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</si>
  <si>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</si>
  <si>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</si>
  <si>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</si>
  <si>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</si>
  <si>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</si>
  <si>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</si>
  <si>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</si>
  <si>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</si>
  <si>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</si>
  <si>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</si>
  <si>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</si>
  <si>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</si>
  <si>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</si>
  <si>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</si>
  <si>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</si>
  <si>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</si>
  <si>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</si>
  <si>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</si>
  <si>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</si>
  <si>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</si>
  <si>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</si>
  <si>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</si>
  <si>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</si>
  <si>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</si>
  <si>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</si>
  <si>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</si>
  <si>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</si>
  <si>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</si>
  <si>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</si>
  <si>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</si>
  <si>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</si>
  <si>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</si>
  <si>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</si>
  <si>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</si>
  <si>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</si>
  <si>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</si>
  <si>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</si>
  <si>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</si>
  <si>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</si>
  <si>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</si>
  <si>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</si>
  <si>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</si>
  <si>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</si>
  <si>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</si>
  <si>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</si>
  <si>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</si>
  <si>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</si>
  <si>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</si>
  <si>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</si>
  <si>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</si>
  <si>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</si>
  <si>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</si>
  <si>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</si>
  <si>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</si>
  <si>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</si>
  <si>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</si>
  <si>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</si>
  <si>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</si>
  <si>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</si>
  <si>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</si>
  <si>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</si>
  <si>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</si>
  <si>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</si>
  <si>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</si>
  <si>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</si>
  <si>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</si>
  <si>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</si>
  <si>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</si>
  <si>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</si>
  <si>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</si>
  <si>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</si>
  <si>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</si>
  <si>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</si>
  <si>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</si>
  <si>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</si>
  <si>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</si>
  <si>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</si>
  <si>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</si>
  <si>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</si>
  <si>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</si>
  <si>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</si>
  <si>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</si>
  <si>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</si>
  <si>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</si>
  <si>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</si>
  <si>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</si>
  <si>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</si>
  <si>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</si>
  <si>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</si>
  <si>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</si>
  <si>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</si>
  <si>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</si>
  <si>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</si>
  <si>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</si>
  <si>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</si>
  <si>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</si>
  <si>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</si>
  <si>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</si>
  <si>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</si>
  <si>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</si>
  <si>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</si>
  <si>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</si>
  <si>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</si>
  <si>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</si>
  <si>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</si>
  <si>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</si>
  <si>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</si>
  <si>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</si>
  <si>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</si>
  <si>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</si>
  <si>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</si>
  <si>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</si>
  <si>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</si>
  <si>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</si>
  <si>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</si>
  <si>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</si>
  <si>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</si>
  <si>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</si>
  <si>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</si>
  <si>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</si>
  <si>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</si>
  <si>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</si>
  <si>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</si>
  <si>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</si>
  <si>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</si>
  <si>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</si>
  <si>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</si>
  <si>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</si>
  <si>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</si>
  <si>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</si>
  <si>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</si>
  <si>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</si>
  <si>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</si>
  <si>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</si>
  <si>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</si>
  <si>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</si>
  <si>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</si>
  <si>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</si>
  <si>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</si>
  <si>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</si>
  <si>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</si>
  <si>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</si>
  <si>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</si>
  <si>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</si>
  <si>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</si>
  <si>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</si>
  <si>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</si>
  <si>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</si>
  <si>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</si>
  <si>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</si>
  <si>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</si>
  <si>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</si>
  <si>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</si>
  <si>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</si>
  <si>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</si>
  <si>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</si>
  <si>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</si>
  <si>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</si>
  <si>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</si>
  <si>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</si>
  <si>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</si>
  <si>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</si>
  <si>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</si>
  <si>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</si>
  <si>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</si>
  <si>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</si>
  <si>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</si>
  <si>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</si>
  <si>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</si>
  <si>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</si>
  <si>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</si>
  <si>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</si>
  <si>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</si>
  <si>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</si>
  <si>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</si>
  <si>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</si>
  <si>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</si>
  <si>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</si>
  <si>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</si>
  <si>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</si>
  <si>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</si>
  <si>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</si>
  <si>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</si>
  <si>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</si>
  <si>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</si>
  <si>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</si>
  <si>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</si>
  <si>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</si>
  <si>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</si>
  <si>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</si>
  <si>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</si>
  <si>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</si>
  <si>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</si>
  <si>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</si>
  <si>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</si>
  <si>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</si>
  <si>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</si>
  <si>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</si>
  <si>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</si>
  <si>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</si>
  <si>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</si>
  <si>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</si>
  <si>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</si>
  <si>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</si>
  <si>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</si>
  <si>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</si>
  <si>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</si>
  <si>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</si>
  <si>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</si>
  <si>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</si>
  <si>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</si>
  <si>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</si>
  <si>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</si>
  <si>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</si>
  <si>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</si>
  <si>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</si>
  <si>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</si>
  <si>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</si>
  <si>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</si>
  <si>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</si>
  <si>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</si>
  <si>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</si>
  <si>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</si>
  <si>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</si>
  <si>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</si>
  <si>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</si>
  <si>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</si>
  <si>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</si>
  <si>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</si>
  <si>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</si>
  <si>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</si>
  <si>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</si>
  <si>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</si>
  <si>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</si>
  <si>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</si>
  <si>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</si>
  <si>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</si>
  <si>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</si>
  <si>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</si>
  <si>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</si>
  <si>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</si>
  <si>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</si>
  <si>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</si>
  <si>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</si>
  <si>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</si>
  <si>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</si>
  <si>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</si>
  <si>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</si>
  <si>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</si>
  <si>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</si>
  <si>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</si>
  <si>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</si>
  <si>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</si>
  <si>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</si>
  <si>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</si>
  <si>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</si>
  <si>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</si>
  <si>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</si>
  <si>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</si>
  <si>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</si>
  <si>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</si>
  <si>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</si>
  <si>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</si>
  <si>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</si>
  <si>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</si>
  <si>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</si>
  <si>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</si>
  <si>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</si>
  <si>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</si>
  <si>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</si>
  <si>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</si>
  <si>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</si>
  <si>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</si>
  <si>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</si>
  <si>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</si>
  <si>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</si>
  <si>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</si>
  <si>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</si>
  <si>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</si>
  <si>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</si>
  <si>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</si>
  <si>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</si>
  <si>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</si>
  <si>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</si>
  <si>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</si>
  <si>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</si>
  <si>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</si>
  <si>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</si>
  <si>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</si>
  <si>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</si>
  <si>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</si>
  <si>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</si>
  <si>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</si>
  <si>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</si>
  <si>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</si>
  <si>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</si>
  <si>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</si>
  <si>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</si>
  <si>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</si>
  <si>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</si>
  <si>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</si>
  <si>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</si>
  <si>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</si>
  <si>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</si>
  <si>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</si>
  <si>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</si>
  <si>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</si>
  <si>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</si>
  <si>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</si>
  <si>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</si>
  <si>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</si>
  <si>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</si>
  <si>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</si>
  <si>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</si>
  <si>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</si>
  <si>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</si>
  <si>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</si>
  <si>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</si>
  <si>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</si>
  <si>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</si>
  <si>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</si>
  <si>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</si>
  <si>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</si>
  <si>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</si>
  <si>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</si>
  <si>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</si>
  <si>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</si>
  <si>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</si>
  <si>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</si>
  <si>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</si>
  <si>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</si>
  <si>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</si>
  <si>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</si>
  <si>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</si>
  <si>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</si>
  <si>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</si>
  <si>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</si>
  <si>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</si>
  <si>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</si>
  <si>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</si>
  <si>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</si>
  <si>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</si>
  <si>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</si>
  <si>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</si>
  <si>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</si>
  <si>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</si>
  <si>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</si>
  <si>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</si>
  <si>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</si>
  <si>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</si>
  <si>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</si>
  <si>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</si>
  <si>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</si>
  <si>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</si>
  <si>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</si>
  <si>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</si>
  <si>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</si>
  <si>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</si>
  <si>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</si>
  <si>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</si>
  <si>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</si>
  <si>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</si>
  <si>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</si>
  <si>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</si>
  <si>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</si>
  <si>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</si>
  <si>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</si>
  <si>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</si>
  <si>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</si>
  <si>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</si>
  <si>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</si>
  <si>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</si>
  <si>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</si>
  <si>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</si>
  <si>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</si>
  <si>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</si>
  <si>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</si>
  <si>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</si>
  <si>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</si>
  <si>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</si>
  <si>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</si>
  <si>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</si>
  <si>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</si>
  <si>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</si>
  <si>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</si>
  <si>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</si>
  <si>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</si>
  <si>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</si>
  <si>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</si>
  <si>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</si>
  <si>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</si>
  <si>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</si>
  <si>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</si>
  <si>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</si>
  <si>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</si>
  <si>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</si>
  <si>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</si>
  <si>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</si>
  <si>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</si>
  <si>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</si>
  <si>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</si>
  <si>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</si>
  <si>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</si>
  <si>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</si>
  <si>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</si>
  <si>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</si>
  <si>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</si>
  <si>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</si>
  <si>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</si>
  <si>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</si>
  <si>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</si>
  <si>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</si>
  <si>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</si>
  <si>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</si>
  <si>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</si>
  <si>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</si>
  <si>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</si>
  <si>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</si>
  <si>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</si>
  <si>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</si>
  <si>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</si>
  <si>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</si>
  <si>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</si>
  <si>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</si>
  <si>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</si>
  <si>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</si>
  <si>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</si>
  <si>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</si>
  <si>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</si>
  <si>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</si>
  <si>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</si>
  <si>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</si>
  <si>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</si>
  <si>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</si>
  <si>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</si>
  <si>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</si>
  <si>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</si>
  <si>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</si>
  <si>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</si>
  <si>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</si>
  <si>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</si>
  <si>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</si>
  <si>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</si>
  <si>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</si>
  <si>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</si>
  <si>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</si>
  <si>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</si>
  <si>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</si>
  <si>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</si>
  <si>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</si>
  <si>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</si>
  <si>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</si>
  <si>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</si>
  <si>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</si>
  <si>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</si>
  <si>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</si>
  <si>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</si>
  <si>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</si>
  <si>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</si>
  <si>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</si>
  <si>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</si>
  <si>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</si>
  <si>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</si>
  <si>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</si>
  <si>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</si>
  <si>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</si>
  <si>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</si>
  <si>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</si>
  <si>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</si>
  <si>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</si>
  <si>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</si>
  <si>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</si>
  <si>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</si>
  <si>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</si>
  <si>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</si>
  <si>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</si>
  <si>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</si>
  <si>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</si>
  <si>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</si>
  <si>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</si>
  <si>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</si>
  <si>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</si>
  <si>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</si>
  <si>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</si>
  <si>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</si>
  <si>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</si>
  <si>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</si>
  <si>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</si>
  <si>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</si>
  <si>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</si>
  <si>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</si>
  <si>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</si>
  <si>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</si>
  <si>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</si>
  <si>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</si>
  <si>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</si>
  <si>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</si>
  <si>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</si>
  <si>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</si>
  <si>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</si>
  <si>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</si>
  <si>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</si>
  <si>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</si>
  <si>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</si>
  <si>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</si>
  <si>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</si>
  <si>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</si>
  <si>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</si>
  <si>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</si>
  <si>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</si>
  <si>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</si>
  <si>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</si>
  <si>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</si>
  <si>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</si>
  <si>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</si>
  <si>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</si>
  <si>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</si>
  <si>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</si>
  <si>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</si>
  <si>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</si>
  <si>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</si>
  <si>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</si>
  <si>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</si>
  <si>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</si>
  <si>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</si>
  <si>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</si>
  <si>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</si>
  <si>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</si>
  <si>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</si>
  <si>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</si>
  <si>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</si>
  <si>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</si>
  <si>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</si>
  <si>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</si>
  <si>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</si>
  <si>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</si>
  <si>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</si>
  <si>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</si>
  <si>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</si>
  <si>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</si>
  <si>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</si>
  <si>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</si>
  <si>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</si>
  <si>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</si>
  <si>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</si>
  <si>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</si>
  <si>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</si>
  <si>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</si>
  <si>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</si>
  <si>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</si>
  <si>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</si>
  <si>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</si>
  <si>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</si>
  <si>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</si>
  <si>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</si>
  <si>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</si>
  <si>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</si>
  <si>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</si>
  <si>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</si>
  <si>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</si>
  <si>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</si>
  <si>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</si>
  <si>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</si>
  <si>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</si>
  <si>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</si>
  <si>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</si>
  <si>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</si>
  <si>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</si>
  <si>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</si>
  <si>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</si>
  <si>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</si>
  <si>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</si>
  <si>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</si>
  <si>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</si>
  <si>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</si>
  <si>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</si>
  <si>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</si>
  <si>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</si>
  <si>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</si>
  <si>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</si>
  <si>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</si>
  <si>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</si>
  <si>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</si>
  <si>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</si>
  <si>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</si>
  <si>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</si>
  <si>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</si>
  <si>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</si>
  <si>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</si>
  <si>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</si>
  <si>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</si>
  <si>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</si>
  <si>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</si>
  <si>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</si>
  <si>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</si>
  <si>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</si>
  <si>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</si>
  <si>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</si>
  <si>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</si>
  <si>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</si>
  <si>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</si>
  <si>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</si>
  <si>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</si>
  <si>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</si>
  <si>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</si>
  <si>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</si>
  <si>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</si>
  <si>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</si>
  <si>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</si>
  <si>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</si>
  <si>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</si>
  <si>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</si>
  <si>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</si>
  <si>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</si>
  <si>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</si>
  <si>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</si>
  <si>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</si>
  <si>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</si>
  <si>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</si>
  <si>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</si>
  <si>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</si>
  <si>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</si>
  <si>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</si>
  <si>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</si>
  <si>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</si>
  <si>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</si>
  <si>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</si>
  <si>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</si>
  <si>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</si>
  <si>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</si>
  <si>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</si>
  <si>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</si>
  <si>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</si>
  <si>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</si>
  <si>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</si>
  <si>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</si>
  <si>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</si>
  <si>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</si>
  <si>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</si>
  <si>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</si>
  <si>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</si>
  <si>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</si>
  <si>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</si>
  <si>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</si>
  <si>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</si>
  <si>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</si>
  <si>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</si>
  <si>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</si>
  <si>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</si>
  <si>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</si>
  <si>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</si>
  <si>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</si>
  <si>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</si>
  <si>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</si>
  <si>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</si>
  <si>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</si>
  <si>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</si>
  <si>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</si>
  <si>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</si>
  <si>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</si>
  <si>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</si>
  <si>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</si>
  <si>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</si>
  <si>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</si>
  <si>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</si>
  <si>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</si>
  <si>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</si>
  <si>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</si>
  <si>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</si>
  <si>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</si>
  <si>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</si>
  <si>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</si>
  <si>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</si>
  <si>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</si>
  <si>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</si>
  <si>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</si>
  <si>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</si>
  <si>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</si>
  <si>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</si>
  <si>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</si>
  <si>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</si>
  <si>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</si>
  <si>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</si>
  <si>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</si>
  <si>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</si>
  <si>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</si>
  <si>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</si>
  <si>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</si>
  <si>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</si>
  <si>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</si>
  <si>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</si>
  <si>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</si>
  <si>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</si>
  <si>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</si>
  <si>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</si>
  <si>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</si>
  <si>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</si>
  <si>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</si>
  <si>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</si>
  <si>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</si>
  <si>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</si>
  <si>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</si>
  <si>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</si>
  <si>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</si>
  <si>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</si>
  <si>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</si>
  <si>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</si>
  <si>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</si>
  <si>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</si>
  <si>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</si>
  <si>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</si>
  <si>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</si>
  <si>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</si>
  <si>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</si>
  <si>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</si>
  <si>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</si>
  <si>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</si>
  <si>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</si>
  <si>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</si>
  <si>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</si>
  <si>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</si>
  <si>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</si>
  <si>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</si>
  <si>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</si>
  <si>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</si>
  <si>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</si>
  <si>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</si>
  <si>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</si>
  <si>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</si>
  <si>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</si>
  <si>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</si>
  <si>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</si>
  <si>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</si>
  <si>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</si>
  <si>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</si>
  <si>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</si>
  <si>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</si>
  <si>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</si>
  <si>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</si>
  <si>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</si>
  <si>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</si>
  <si>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</si>
  <si>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</si>
  <si>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</si>
  <si>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</si>
  <si>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</si>
  <si>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</si>
  <si>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</si>
  <si>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</si>
  <si>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</si>
  <si>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</si>
  <si>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</si>
  <si>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</si>
  <si>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</si>
  <si>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</si>
  <si>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</si>
  <si>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</si>
  <si>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</si>
  <si>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</si>
  <si>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</si>
  <si>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</si>
  <si>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</si>
  <si>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</si>
  <si>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</si>
  <si>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</si>
  <si>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</si>
  <si>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</si>
  <si>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</si>
  <si>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</si>
  <si>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</si>
  <si>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</si>
  <si>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</si>
  <si>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</si>
  <si>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</si>
  <si>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</si>
  <si>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</si>
  <si>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</si>
  <si>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</si>
  <si>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</si>
  <si>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</si>
  <si>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</si>
  <si>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</si>
  <si>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</si>
  <si>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</si>
  <si>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</si>
  <si>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</si>
  <si>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</si>
  <si>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</si>
  <si>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</si>
  <si>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</si>
  <si>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</si>
  <si>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</si>
  <si>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</si>
  <si>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</si>
  <si>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</si>
  <si>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</si>
  <si>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</si>
  <si>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</si>
  <si>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</si>
  <si>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</si>
  <si>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</si>
  <si>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</si>
  <si>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</si>
  <si>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</si>
  <si>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</si>
  <si>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</si>
  <si>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</si>
  <si>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</si>
  <si>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</si>
  <si>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</si>
  <si>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</si>
  <si>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</si>
  <si>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</si>
  <si>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</si>
  <si>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</si>
  <si>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</si>
  <si>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</si>
  <si>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</si>
  <si>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</si>
  <si>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</si>
  <si>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</si>
  <si>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</si>
  <si>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</si>
  <si>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</si>
  <si>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</si>
  <si>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</si>
  <si>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</si>
  <si>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</si>
  <si>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</si>
  <si>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</si>
  <si>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</si>
  <si>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</si>
  <si>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</si>
  <si>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</si>
  <si>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</si>
  <si>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</si>
  <si>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</si>
  <si>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</si>
  <si>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</si>
  <si>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</si>
  <si>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</si>
  <si>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</si>
  <si>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</si>
  <si>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</si>
  <si>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</si>
  <si>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</si>
  <si>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</si>
  <si>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</si>
  <si>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</si>
  <si>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</si>
  <si>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</si>
  <si>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</si>
  <si>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</si>
  <si>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</si>
  <si>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</si>
  <si>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</si>
  <si>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</si>
  <si>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</si>
  <si>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</si>
  <si>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</si>
  <si>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</si>
  <si>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</si>
  <si>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</si>
  <si>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</si>
  <si>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</si>
  <si>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</si>
  <si>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</si>
  <si>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</si>
  <si>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</si>
  <si>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</si>
  <si>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</si>
  <si>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</si>
  <si>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</si>
  <si>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</si>
  <si>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</si>
  <si>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</si>
  <si>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</si>
  <si>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</si>
  <si>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</si>
  <si>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</si>
  <si>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</si>
  <si>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</si>
  <si>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</si>
  <si>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</si>
  <si>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</si>
  <si>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</si>
  <si>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</si>
  <si>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</si>
  <si>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</si>
  <si>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</si>
  <si>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</si>
  <si>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</si>
  <si>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</si>
  <si>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</si>
  <si>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</si>
  <si>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</si>
  <si>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</si>
  <si>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</si>
  <si>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</si>
  <si>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</si>
  <si>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</si>
  <si>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</si>
  <si>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</si>
  <si>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</si>
  <si>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</si>
  <si>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</si>
  <si>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</si>
  <si>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</si>
  <si>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</si>
  <si>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</si>
  <si>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</si>
  <si>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</si>
  <si>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</si>
  <si>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</si>
  <si>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</si>
  <si>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</si>
  <si>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</si>
  <si>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</si>
  <si>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</si>
  <si>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</si>
  <si>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</si>
  <si>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</si>
  <si>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</si>
  <si>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</si>
  <si>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</si>
  <si>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</si>
  <si>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</si>
  <si>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</si>
  <si>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</si>
  <si>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</si>
  <si>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</si>
  <si>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</si>
  <si>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</si>
  <si>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</si>
  <si>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</si>
  <si>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</si>
  <si>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</si>
  <si>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</si>
  <si>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</si>
  <si>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</si>
  <si>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</si>
  <si>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</si>
  <si>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</si>
  <si>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</si>
  <si>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</si>
  <si>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</si>
  <si>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</si>
  <si>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</si>
  <si>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</si>
  <si>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</si>
  <si>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USD</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</si>
  <si>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</si>
  <si>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</si>
  <si>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</si>
  <si>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</si>
  <si>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</si>
  <si>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</si>
  <si>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</si>
  <si>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</si>
  <si>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</si>
  <si>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</si>
  <si>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</si>
  <si>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</si>
  <si>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</si>
  <si>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</si>
  <si>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</si>
  <si>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</si>
  <si>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</si>
  <si>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</si>
  <si>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</si>
  <si>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</si>
  <si>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</si>
  <si>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</si>
  <si>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</si>
  <si>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</si>
  <si>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</si>
  <si>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</si>
  <si>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</si>
  <si>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</si>
  <si>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</si>
  <si>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</si>
  <si>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</si>
  <si>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</si>
  <si>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</si>
  <si>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</si>
  <si>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</si>
  <si>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</si>
  <si>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</si>
  <si>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</si>
  <si>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</si>
  <si>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</si>
  <si>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</si>
  <si>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</si>
  <si>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</si>
  <si>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</si>
  <si>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</si>
  <si>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</si>
  <si>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</si>
  <si>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</si>
  <si>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</si>
  <si>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</si>
  <si>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</si>
  <si>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</si>
  <si>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</si>
  <si>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</si>
  <si>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</si>
  <si>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</si>
  <si>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</si>
  <si>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</si>
  <si>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</si>
  <si>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</si>
  <si>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</si>
  <si>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</si>
  <si>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</si>
  <si>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</si>
  <si>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</si>
  <si>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</si>
  <si>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</si>
  <si>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</si>
  <si>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</si>
  <si>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</si>
  <si>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</si>
  <si>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</si>
  <si>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</si>
  <si>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</si>
  <si>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</si>
  <si>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</si>
  <si>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</si>
  <si>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</si>
  <si>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</si>
  <si>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</si>
  <si>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</si>
  <si>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</si>
  <si>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</si>
  <si>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</si>
  <si>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</si>
  <si>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</si>
  <si>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</si>
  <si>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</si>
  <si>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</si>
  <si>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</si>
  <si>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</si>
  <si>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</si>
  <si>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</si>
  <si>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</si>
  <si>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</si>
  <si>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</si>
  <si>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</si>
  <si>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</si>
  <si>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</si>
  <si>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</si>
  <si>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</si>
  <si>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</si>
  <si>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</si>
  <si>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</si>
  <si>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</si>
  <si>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</si>
  <si>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</si>
  <si>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</si>
  <si>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</si>
  <si>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</si>
  <si>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</si>
  <si>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</si>
  <si>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</si>
  <si>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</si>
  <si>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</si>
  <si>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</si>
  <si>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</si>
  <si>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</si>
  <si>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</si>
  <si>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</si>
  <si>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</si>
  <si>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</si>
  <si>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</si>
  <si>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</si>
  <si>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</si>
  <si>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</si>
  <si>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</si>
  <si>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</si>
  <si>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</si>
  <si>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</si>
  <si>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</si>
  <si>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</si>
  <si>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</si>
  <si>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</si>
  <si>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</si>
  <si>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</si>
  <si>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</si>
  <si>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</si>
  <si>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</si>
  <si>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</si>
  <si>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</si>
  <si>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</si>
  <si>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</si>
  <si>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</si>
  <si>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</si>
  <si>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</si>
  <si>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</si>
  <si>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</si>
  <si>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</si>
  <si>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</si>
  <si>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</si>
  <si>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</si>
  <si>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</si>
  <si>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</si>
  <si>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</si>
  <si>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</si>
  <si>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</si>
  <si>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</si>
  <si>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</si>
  <si>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</si>
  <si>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</si>
  <si>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</si>
  <si>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</si>
  <si>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</si>
  <si>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</si>
  <si>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</si>
  <si>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</si>
  <si>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</si>
  <si>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</si>
  <si>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</si>
  <si>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</si>
  <si>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</si>
  <si>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</si>
  <si>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</si>
  <si>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</si>
  <si>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</si>
  <si>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</si>
  <si>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</si>
  <si>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</si>
  <si>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</si>
  <si>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</si>
  <si>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</si>
  <si>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</si>
  <si>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</si>
  <si>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</si>
  <si>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</si>
  <si>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</si>
  <si>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</si>
  <si>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</si>
  <si>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</si>
  <si>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</si>
  <si>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</si>
  <si>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</si>
  <si>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</si>
  <si>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</si>
  <si>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</si>
  <si>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</si>
  <si>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</si>
  <si>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</si>
  <si>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</si>
  <si>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</si>
  <si>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</si>
  <si>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</si>
  <si>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</si>
  <si>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</si>
  <si>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</si>
  <si>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</si>
  <si>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</si>
  <si>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</si>
  <si>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</si>
  <si>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</si>
  <si>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</si>
  <si>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</si>
  <si>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</si>
  <si>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</si>
  <si>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</si>
  <si>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</si>
  <si>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</si>
  <si>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</si>
  <si>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</si>
  <si>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</si>
  <si>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</si>
  <si>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</si>
  <si>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</si>
  <si>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</si>
  <si>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</si>
  <si>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</si>
  <si>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</si>
  <si>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</si>
  <si>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</si>
  <si>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</si>
  <si>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</si>
  <si>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</si>
  <si>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</si>
  <si>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</si>
  <si>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</si>
  <si>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</si>
  <si>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</si>
  <si>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</si>
  <si>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</si>
  <si>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</si>
  <si>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</si>
  <si>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</si>
  <si>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</si>
  <si>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</si>
  <si>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</si>
  <si>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</si>
  <si>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</si>
  <si>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</si>
  <si>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</si>
  <si>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</si>
  <si>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</si>
  <si>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</si>
  <si>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</si>
  <si>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</si>
  <si>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</si>
  <si>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</si>
  <si>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</si>
  <si>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</si>
  <si>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</si>
  <si>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</si>
  <si>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</si>
  <si>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</si>
  <si>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</si>
  <si>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</si>
  <si>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</si>
  <si>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</si>
  <si>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</si>
  <si>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</si>
  <si>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</si>
  <si>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</si>
  <si>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</si>
  <si>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</si>
  <si>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</si>
  <si>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</si>
  <si>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</si>
  <si>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</si>
  <si>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</si>
  <si>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</si>
  <si>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</si>
  <si>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</si>
  <si>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</si>
  <si>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</si>
  <si>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</si>
  <si>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</si>
  <si>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</si>
  <si>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</si>
  <si>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</si>
  <si>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</si>
  <si>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</si>
  <si>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</si>
  <si>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</si>
  <si>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</si>
  <si>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</si>
  <si>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</si>
  <si>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</si>
  <si>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</si>
  <si>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</si>
  <si>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</si>
  <si>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</si>
  <si>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</si>
  <si>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</si>
  <si>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</si>
  <si>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</si>
  <si>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</si>
  <si>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</si>
  <si>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</si>
  <si>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</si>
  <si>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</si>
  <si>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</si>
  <si>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</si>
  <si>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</si>
  <si>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</si>
  <si>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</si>
  <si>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</si>
  <si>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</si>
  <si>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</si>
  <si>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</si>
  <si>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</si>
  <si>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</si>
  <si>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</si>
  <si>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</si>
  <si>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</si>
  <si>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</si>
  <si>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</si>
  <si>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</si>
  <si>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</si>
  <si>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</si>
  <si>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</si>
  <si>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</si>
  <si>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</si>
  <si>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</si>
  <si>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</si>
  <si>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</si>
  <si>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</si>
  <si>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</si>
  <si>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</si>
  <si>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</si>
  <si>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</si>
  <si>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</si>
  <si>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</si>
  <si>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</si>
  <si>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</si>
  <si>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</si>
  <si>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</si>
  <si>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</si>
  <si>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</si>
  <si>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</si>
  <si>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</si>
  <si>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</si>
  <si>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</si>
  <si>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</si>
  <si>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</si>
  <si>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</si>
  <si>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</si>
  <si>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</si>
  <si>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</si>
  <si>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</si>
  <si>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</si>
  <si>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</si>
  <si>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</si>
  <si>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</si>
  <si>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</si>
  <si>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</si>
  <si>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</si>
  <si>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</si>
  <si>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</si>
  <si>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</si>
  <si>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</si>
  <si>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</si>
  <si>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</si>
  <si>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</si>
  <si>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</si>
  <si>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</si>
  <si>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</si>
  <si>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</si>
  <si>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</si>
  <si>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</si>
  <si>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</si>
  <si>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</si>
  <si>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</si>
  <si>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</si>
  <si>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</si>
  <si>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</si>
  <si>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</si>
  <si>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</si>
  <si>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</si>
  <si>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</si>
  <si>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</si>
  <si>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</si>
  <si>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</si>
  <si>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</si>
  <si>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</si>
  <si>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</si>
  <si>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</si>
  <si>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</si>
  <si>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</si>
  <si>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</si>
  <si>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</si>
  <si>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</si>
  <si>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</si>
  <si>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</si>
  <si>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</si>
  <si>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</si>
  <si>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</si>
  <si>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</si>
  <si>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</si>
  <si>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</si>
  <si>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</si>
  <si>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</si>
  <si>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</si>
  <si>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</si>
  <si>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</si>
  <si>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</si>
  <si>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</si>
  <si>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</si>
  <si>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</si>
  <si>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</si>
  <si>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</si>
  <si>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</si>
  <si>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</si>
  <si>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</si>
  <si>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</si>
  <si>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</si>
  <si>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</si>
  <si>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</si>
  <si>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</si>
  <si>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</si>
  <si>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</si>
  <si>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</si>
  <si>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</si>
  <si>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</si>
  <si>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</si>
  <si>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</si>
  <si>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</si>
  <si>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</si>
  <si>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</si>
  <si>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</si>
  <si>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</si>
  <si>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</si>
  <si>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</si>
  <si>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</si>
  <si>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</si>
  <si>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</si>
  <si>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</si>
  <si>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</si>
  <si>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</si>
  <si>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</si>
  <si>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</si>
  <si>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</si>
  <si>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</si>
  <si>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</si>
  <si>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</si>
  <si>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</si>
  <si>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</si>
  <si>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</si>
  <si>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</si>
  <si>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</si>
  <si>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</si>
  <si>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</si>
  <si>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</si>
  <si>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</si>
  <si>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</si>
  <si>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</si>
  <si>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</si>
  <si>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</si>
  <si>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</si>
  <si>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</si>
  <si>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</si>
  <si>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</si>
  <si>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</si>
  <si>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</si>
  <si>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</si>
  <si>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</si>
  <si>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</si>
  <si>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</si>
  <si>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</si>
  <si>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</si>
  <si>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</si>
  <si>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</si>
  <si>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</si>
  <si>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</si>
  <si>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</si>
  <si>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</si>
  <si>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</si>
  <si>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</si>
  <si>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</si>
  <si>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</si>
  <si>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</si>
  <si>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</si>
  <si>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</si>
  <si>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</si>
  <si>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</si>
  <si>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</si>
  <si>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</si>
  <si>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</si>
  <si>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</si>
  <si>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</si>
  <si>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</si>
  <si>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</si>
  <si>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</si>
  <si>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</si>
  <si>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</si>
  <si>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</si>
  <si>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</si>
  <si>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</si>
  <si>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</si>
  <si>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</si>
  <si>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</si>
  <si>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</si>
  <si>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</si>
  <si>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</si>
  <si>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</si>
  <si>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</si>
  <si>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</si>
  <si>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</si>
  <si>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</si>
  <si>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</si>
  <si>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</si>
  <si>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</si>
  <si>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</si>
  <si>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</si>
  <si>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</si>
  <si>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</si>
  <si>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</si>
  <si>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</si>
  <si>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</si>
  <si>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</si>
  <si>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</si>
  <si>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</si>
  <si>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</si>
  <si>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</si>
  <si>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</si>
  <si>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</si>
  <si>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</si>
  <si>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</si>
  <si>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</si>
  <si>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</si>
  <si>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</si>
  <si>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</si>
  <si>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</si>
  <si>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</si>
  <si>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</si>
  <si>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</si>
  <si>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</si>
  <si>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</si>
  <si>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</si>
  <si>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</si>
  <si>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</si>
  <si>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</si>
  <si>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</si>
  <si>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</si>
  <si>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</si>
  <si>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</si>
  <si>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</si>
  <si>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</si>
  <si>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</si>
  <si>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</si>
  <si>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</si>
  <si>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</si>
  <si>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</si>
  <si>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</si>
  <si>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</si>
  <si>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</si>
  <si>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</si>
  <si>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</si>
  <si>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</si>
  <si>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</si>
  <si>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</si>
  <si>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</si>
  <si>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</si>
  <si>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</si>
  <si>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</si>
  <si>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</si>
  <si>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</si>
  <si>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</si>
  <si>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</si>
  <si>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</si>
  <si>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</si>
  <si>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</si>
  <si>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</si>
  <si>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</si>
  <si>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</si>
  <si>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</si>
  <si>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</si>
  <si>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</si>
  <si>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</si>
  <si>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</si>
  <si>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</si>
  <si>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</si>
  <si>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</si>
  <si>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</si>
  <si>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</si>
  <si>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</si>
  <si>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</si>
  <si>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</si>
  <si>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</si>
  <si>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</si>
  <si>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</si>
  <si>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</si>
  <si>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</si>
  <si>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</si>
  <si>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</si>
  <si>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</si>
  <si>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</si>
  <si>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</si>
  <si>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</si>
  <si>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</si>
  <si>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</si>
  <si>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</si>
  <si>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</si>
  <si>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</si>
  <si>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</si>
  <si>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</si>
  <si>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</si>
  <si>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</si>
  <si>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</si>
  <si>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</si>
  <si>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</si>
  <si>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</si>
  <si>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</si>
  <si>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</si>
  <si>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</si>
  <si>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</si>
  <si>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</si>
  <si>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</si>
  <si>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</si>
  <si>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</si>
  <si>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</si>
  <si>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</si>
  <si>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</si>
  <si>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</si>
  <si>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</si>
  <si>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</si>
  <si>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</si>
  <si>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</si>
  <si>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</si>
  <si>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</si>
  <si>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</si>
  <si>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</si>
  <si>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</si>
  <si>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</si>
  <si>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</si>
  <si>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</si>
  <si>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</si>
  <si>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</si>
  <si>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</si>
  <si>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</si>
  <si>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</si>
  <si>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</si>
  <si>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</si>
  <si>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</si>
  <si>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</si>
  <si>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</si>
  <si>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</si>
  <si>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</si>
  <si>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</si>
  <si>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</si>
  <si>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</si>
  <si>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</si>
  <si>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</si>
  <si>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</si>
  <si>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</si>
  <si>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</si>
  <si>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</si>
  <si>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</si>
  <si>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</si>
  <si>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</si>
  <si>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</si>
  <si>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</si>
  <si>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</si>
  <si>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</si>
  <si>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</si>
  <si>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</si>
  <si>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</si>
  <si>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</si>
  <si>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</si>
  <si>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</si>
  <si>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</si>
  <si>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</si>
  <si>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</si>
  <si>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</si>
  <si>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</si>
  <si>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</si>
  <si>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</si>
  <si>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</si>
  <si>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</si>
  <si>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</si>
  <si>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</si>
  <si>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</si>
  <si>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</si>
  <si>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</si>
  <si>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</si>
  <si>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</si>
  <si>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</si>
  <si>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</si>
  <si>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</si>
  <si>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</si>
  <si>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</si>
  <si>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</si>
  <si>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</si>
  <si>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</si>
  <si>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</si>
  <si>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</si>
  <si>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</si>
  <si>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</si>
  <si>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</si>
  <si>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</si>
  <si>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</si>
  <si>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</si>
  <si>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</si>
  <si>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</si>
  <si>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</si>
  <si>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</si>
  <si>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</si>
  <si>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</si>
  <si>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</si>
  <si>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</si>
  <si>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</si>
  <si>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</si>
  <si>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</si>
  <si>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</si>
  <si>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</si>
  <si>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</si>
  <si>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</si>
  <si>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</si>
  <si>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</si>
  <si>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</si>
  <si>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</si>
  <si>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</si>
  <si>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</si>
  <si>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</si>
  <si>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</si>
  <si>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</si>
  <si>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</si>
  <si>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</si>
  <si>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</si>
  <si>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</si>
  <si>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</si>
  <si>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</si>
  <si>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</si>
  <si>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</si>
  <si>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</si>
  <si>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</si>
  <si>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</si>
  <si>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</si>
  <si>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</si>
  <si>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</si>
  <si>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</si>
  <si>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</si>
  <si>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</si>
  <si>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</si>
  <si>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</si>
  <si>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</si>
  <si>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</si>
  <si>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</si>
  <si>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</si>
  <si>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</si>
  <si>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</si>
  <si>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</si>
  <si>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</si>
  <si>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</si>
  <si>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</si>
  <si>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</si>
  <si>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</si>
  <si>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</si>
  <si>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</si>
  <si>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</si>
  <si>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</si>
  <si>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</si>
  <si>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</si>
  <si>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</si>
  <si>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</si>
  <si>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</si>
  <si>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</si>
  <si>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</si>
  <si>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</si>
  <si>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</si>
  <si>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</si>
  <si>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</si>
  <si>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</si>
  <si>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</si>
  <si>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</si>
  <si>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</si>
  <si>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</si>
  <si>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</si>
  <si>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</si>
  <si>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</si>
  <si>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</si>
  <si>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</si>
  <si>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</si>
  <si>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</si>
  <si>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</si>
  <si>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</si>
  <si>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</si>
  <si>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</si>
  <si>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</si>
  <si>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</si>
  <si>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</si>
  <si>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</si>
  <si>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</si>
  <si>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</si>
  <si>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</si>
  <si>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</si>
  <si>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</si>
  <si>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</si>
  <si>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</si>
  <si>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</si>
  <si>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</si>
  <si>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</si>
  <si>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</si>
  <si>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</si>
  <si>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</si>
  <si>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</si>
  <si>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</si>
  <si>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</si>
  <si>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</si>
  <si>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</si>
  <si>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</si>
  <si>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</si>
  <si>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</si>
  <si>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</si>
  <si>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</si>
  <si>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</si>
  <si>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</si>
  <si>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</si>
  <si>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</si>
  <si>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</si>
  <si>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</si>
  <si>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</si>
  <si>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</si>
  <si>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</si>
  <si>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</si>
  <si>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</si>
  <si>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</si>
  <si>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</si>
  <si>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</si>
  <si>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</si>
  <si>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</si>
  <si>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</si>
  <si>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</si>
  <si>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</si>
  <si>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</si>
  <si>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</si>
  <si>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</si>
  <si>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</si>
  <si>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</si>
  <si>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</si>
  <si>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</si>
  <si>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</si>
  <si>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</si>
  <si>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</si>
  <si>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</si>
  <si>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</si>
  <si>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</si>
  <si>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</si>
  <si>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</si>
  <si>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</si>
  <si>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</si>
  <si>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</si>
  <si>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</si>
  <si>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</si>
  <si>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</si>
  <si>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</si>
  <si>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</si>
  <si>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</si>
  <si>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</si>
  <si>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</si>
  <si>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</si>
  <si>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</si>
  <si>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</si>
  <si>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</si>
  <si>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</si>
  <si>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</si>
  <si>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</si>
  <si>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</si>
  <si>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</si>
  <si>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</si>
  <si>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</si>
  <si>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</si>
  <si>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</si>
  <si>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</si>
  <si>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</si>
  <si>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</si>
  <si>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</si>
  <si>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</si>
  <si>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</si>
  <si>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</si>
  <si>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</si>
  <si>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</si>
  <si>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</si>
  <si>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</si>
  <si>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</si>
  <si>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</si>
  <si>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</si>
  <si>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</si>
  <si>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</si>
  <si>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</si>
  <si>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</si>
  <si>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</si>
  <si>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</si>
  <si>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</si>
  <si>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</si>
  <si>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</si>
  <si>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</si>
  <si>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</si>
  <si>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</si>
  <si>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</si>
  <si>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</si>
  <si>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</si>
  <si>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</si>
  <si>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</si>
  <si>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</si>
  <si>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</si>
  <si>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</si>
  <si>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</si>
  <si>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</si>
  <si>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</si>
  <si>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</si>
  <si>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</si>
  <si>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</si>
  <si>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</si>
  <si>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</si>
  <si>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</si>
  <si>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</si>
  <si>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</si>
  <si>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</si>
  <si>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</si>
  <si>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</si>
  <si>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</si>
  <si>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</si>
  <si>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</si>
  <si>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</si>
  <si>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</si>
  <si>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</si>
  <si>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</si>
  <si>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</si>
  <si>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</si>
  <si>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</si>
  <si>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</si>
  <si>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</si>
  <si>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</si>
  <si>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</si>
  <si>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</si>
  <si>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</si>
  <si>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</si>
  <si>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</si>
  <si>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</si>
  <si>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</si>
  <si>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</si>
  <si>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</si>
  <si>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</si>
  <si>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</si>
  <si>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</si>
  <si>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</si>
  <si>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</si>
  <si>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</si>
  <si>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</si>
  <si>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</si>
  <si>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</si>
  <si>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</si>
  <si>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</si>
  <si>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</si>
  <si>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</si>
  <si>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</si>
  <si>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</si>
  <si>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</si>
  <si>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</si>
  <si>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</si>
  <si>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</si>
  <si>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</si>
  <si>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</si>
  <si>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</si>
  <si>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</si>
  <si>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</si>
  <si>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</si>
  <si>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</si>
  <si>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</si>
  <si>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</si>
  <si>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</si>
  <si>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</si>
  <si>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</si>
  <si>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</si>
  <si>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</si>
  <si>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</si>
  <si>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</si>
  <si>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</si>
  <si>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</si>
  <si>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</si>
  <si>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Total ( Suma Mes con Iva + Tasa Efectiva)</t>
  </si>
  <si>
    <t>Total Comisión</t>
  </si>
  <si>
    <t>Tasa Efectiva</t>
  </si>
  <si>
    <t>Visa / Mastercard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</si>
</sst>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
  </numFmts>
  <fonts count="186">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sz val="11"/>
      <color rgb="FFFF0000"/>
      <name val="Calibri"/>
      <family val="2"/>
      <scheme val="minor"/>
    </font>
    <font>
      <b/>
      <sz val="12"/>
      <color rgb="FF474747"/>
      <name val="Century Gothic"/>
      <family val="1"/>
    </font>
    <font>
      <b/>
      <sz val="18"/>
      <color rgb="FF474747"/>
      <name val="Century Gothic"/>
      <family val="1"/>
    </font>
    <font>
      <b/>
      <u/>
      <sz val="14"/>
      <color rgb="FFFF0000"/>
      <name val="Roboto"/>
    </font>
    <font>
      <sz val="24"/>
      <color theme="0" tint="-0.34998626667073579"/>
      <name val="Roboto"/>
    </font>
    <font>
      <sz val="22"/>
      <color theme="0" tint="-0.34998626667073579"/>
      <name val="Roboto"/>
    </font>
    <font>
      <sz val="9"/>
      <color theme="0" tint="-0.34998626667073579"/>
      <name val="Roboto"/>
    </font>
    <font>
      <b/>
      <sz val="18"/>
      <color theme="0" tint="-0.34998626667073579"/>
      <name val="Roboto"/>
    </font>
  </fonts>
  <fills count="53">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
      <patternFill patternType="solid">
        <fgColor theme="7" tint="0.59999389629810485"/>
        <bgColor indexed="64"/>
      </patternFill>
    </fill>
    <fill>
      <patternFill patternType="solid">
        <fgColor theme="4" tint="0.79998168889431442"/>
        <bgColor theme="4" tint="0.79998168889431442"/>
      </patternFill>
    </fill>
    <fill>
      <patternFill patternType="solid">
        <fgColor theme="4" tint="0.59999389629810485"/>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s>
  <cellStyleXfs count="105">
    <xf numFmtId="0" fontId="0" fillId="0" borderId="0"/>
    <xf numFmtId="164" fontId="10" fillId="0" borderId="0" applyFont="0" applyFill="0" applyBorder="0" applyAlignment="0" applyProtection="0"/>
    <xf numFmtId="0" fontId="11"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9"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0" fontId="10" fillId="0" borderId="0">
      <alignment vertical="center"/>
    </xf>
    <xf numFmtId="0" fontId="47" fillId="0" borderId="0">
      <alignment vertical="center"/>
    </xf>
    <xf numFmtId="0" fontId="10" fillId="0" borderId="0" applyBorder="0">
      <alignment vertical="center"/>
    </xf>
    <xf numFmtId="0" fontId="48" fillId="0" borderId="0" applyBorder="0">
      <alignment vertical="center"/>
    </xf>
    <xf numFmtId="0" fontId="48" fillId="0" borderId="0"/>
    <xf numFmtId="0" fontId="48" fillId="0" borderId="0" applyBorder="0"/>
    <xf numFmtId="0" fontId="48" fillId="0" borderId="0" applyBorder="0">
      <alignment vertical="center"/>
    </xf>
    <xf numFmtId="0" fontId="48" fillId="0" borderId="0" applyProtection="0">
      <alignment vertical="center"/>
    </xf>
    <xf numFmtId="0" fontId="48" fillId="0" borderId="0"/>
    <xf numFmtId="0" fontId="49" fillId="0" borderId="0">
      <alignment vertical="center"/>
    </xf>
    <xf numFmtId="0" fontId="49" fillId="0" borderId="0">
      <alignment vertical="center"/>
    </xf>
    <xf numFmtId="0" fontId="48" fillId="0" borderId="0" applyBorder="0">
      <alignment vertical="center"/>
    </xf>
    <xf numFmtId="168" fontId="10" fillId="0" borderId="0"/>
    <xf numFmtId="168" fontId="50" fillId="0" borderId="0" applyNumberFormat="0" applyFill="0" applyBorder="0" applyAlignment="0" applyProtection="0"/>
    <xf numFmtId="168" fontId="10" fillId="0" borderId="0"/>
    <xf numFmtId="0" fontId="10" fillId="0" borderId="0"/>
    <xf numFmtId="0" fontId="10" fillId="0" borderId="0"/>
    <xf numFmtId="0" fontId="10" fillId="0" borderId="0"/>
    <xf numFmtId="0" fontId="10" fillId="0" borderId="0"/>
    <xf numFmtId="0" fontId="50" fillId="0" borderId="0" applyNumberFormat="0" applyFill="0" applyBorder="0" applyAlignment="0" applyProtection="0"/>
    <xf numFmtId="168" fontId="50" fillId="0" borderId="0" applyNumberFormat="0" applyFill="0" applyBorder="0" applyAlignment="0" applyProtection="0"/>
    <xf numFmtId="0" fontId="51" fillId="0" borderId="0">
      <alignment horizontal="center" vertical="center"/>
    </xf>
    <xf numFmtId="0" fontId="9" fillId="0" borderId="0">
      <alignment horizontal="left" vertical="center"/>
    </xf>
    <xf numFmtId="0" fontId="29" fillId="0" borderId="18">
      <alignment horizontal="center" vertical="center"/>
    </xf>
    <xf numFmtId="0" fontId="33" fillId="0" borderId="18">
      <alignment horizontal="center" vertical="center" wrapText="1"/>
    </xf>
    <xf numFmtId="0" fontId="53" fillId="0" borderId="18">
      <alignment horizontal="left" vertical="center" wrapText="1"/>
    </xf>
    <xf numFmtId="169" fontId="53" fillId="0" borderId="18">
      <alignment horizontal="right" vertical="center" shrinkToFit="1"/>
    </xf>
    <xf numFmtId="0" fontId="52" fillId="0" borderId="0">
      <alignment horizontal="left" vertical="center"/>
    </xf>
    <xf numFmtId="0" fontId="54" fillId="0" borderId="0">
      <alignment horizontal="right" vertical="center" indent="1"/>
    </xf>
    <xf numFmtId="170" fontId="53" fillId="0" borderId="0">
      <alignment horizontal="right" vertical="center"/>
    </xf>
    <xf numFmtId="170" fontId="26" fillId="0" borderId="0">
      <alignment horizontal="right" vertical="center"/>
    </xf>
    <xf numFmtId="0" fontId="28" fillId="0" borderId="0">
      <alignment horizontal="right"/>
    </xf>
    <xf numFmtId="0" fontId="87" fillId="0" borderId="0">
      <alignment horizontal="center" vertical="center"/>
    </xf>
    <xf numFmtId="0" fontId="9" fillId="0" borderId="0">
      <alignment horizontal="left" vertical="center"/>
    </xf>
    <xf numFmtId="0" fontId="29" fillId="0" borderId="18">
      <alignment horizontal="center" vertical="center"/>
    </xf>
    <xf numFmtId="0" fontId="29" fillId="0" borderId="22">
      <alignment horizontal="left" vertical="center"/>
    </xf>
    <xf numFmtId="0" fontId="29" fillId="0" borderId="23">
      <alignment horizontal="center" vertical="center"/>
    </xf>
    <xf numFmtId="169" fontId="88" fillId="0" borderId="11">
      <alignment horizontal="right" vertical="center"/>
    </xf>
    <xf numFmtId="0" fontId="29" fillId="0" borderId="24">
      <alignment horizontal="center" vertical="center"/>
    </xf>
    <xf numFmtId="0" fontId="33" fillId="0" borderId="18">
      <alignment horizontal="left" vertical="center" wrapText="1"/>
    </xf>
    <xf numFmtId="171" fontId="33" fillId="0" borderId="18">
      <alignment horizontal="right" vertical="center" wrapText="1"/>
    </xf>
    <xf numFmtId="0" fontId="52" fillId="0" borderId="0">
      <alignment horizontal="left" vertical="center"/>
    </xf>
    <xf numFmtId="171" fontId="26" fillId="0" borderId="0">
      <alignment horizontal="right" vertical="center"/>
    </xf>
    <xf numFmtId="169" fontId="26" fillId="0" borderId="11">
      <alignment horizontal="right" vertical="center"/>
    </xf>
    <xf numFmtId="0" fontId="28" fillId="0" borderId="0">
      <alignment horizontal="left" wrapText="1"/>
    </xf>
    <xf numFmtId="0" fontId="28" fillId="24" borderId="0">
      <alignment horizontal="left" wrapText="1"/>
    </xf>
    <xf numFmtId="171" fontId="33" fillId="24" borderId="18">
      <alignment horizontal="right" vertical="center" wrapText="1"/>
    </xf>
    <xf numFmtId="0" fontId="8" fillId="0" borderId="0">
      <alignment horizontal="left" vertical="center"/>
    </xf>
    <xf numFmtId="0" fontId="7" fillId="0" borderId="0">
      <alignment horizontal="left" vertical="center"/>
    </xf>
    <xf numFmtId="0" fontId="113" fillId="0" borderId="0"/>
    <xf numFmtId="165" fontId="113" fillId="0" borderId="0" applyFont="0" applyFill="0" applyBorder="0" applyAlignment="0" applyProtection="0"/>
    <xf numFmtId="175" fontId="113" fillId="0" borderId="0" applyFont="0" applyFill="0" applyBorder="0" applyAlignment="0" applyProtection="0"/>
    <xf numFmtId="9" fontId="113" fillId="0" borderId="0" applyFont="0" applyFill="0" applyBorder="0" applyAlignment="0" applyProtection="0"/>
    <xf numFmtId="168" fontId="10" fillId="0" borderId="0"/>
    <xf numFmtId="168" fontId="135" fillId="0" borderId="0"/>
    <xf numFmtId="168" fontId="135" fillId="0" borderId="0"/>
    <xf numFmtId="168" fontId="135" fillId="0" borderId="0"/>
    <xf numFmtId="168" fontId="135" fillId="0" borderId="0"/>
    <xf numFmtId="0" fontId="158" fillId="0" borderId="32" applyNumberFormat="0" applyFill="0" applyAlignment="0" applyProtection="0"/>
    <xf numFmtId="0" fontId="6" fillId="0" borderId="0"/>
    <xf numFmtId="43" fontId="113" fillId="0" borderId="0" applyFont="0" applyFill="0" applyBorder="0" applyAlignment="0" applyProtection="0"/>
    <xf numFmtId="0" fontId="159" fillId="0" borderId="0"/>
    <xf numFmtId="0" fontId="161" fillId="0" borderId="0"/>
    <xf numFmtId="0" fontId="47" fillId="0" borderId="0">
      <alignment vertical="center"/>
    </xf>
    <xf numFmtId="0" fontId="5" fillId="0" borderId="0">
      <alignment horizontal="left" vertical="center"/>
    </xf>
    <xf numFmtId="0" fontId="4" fillId="0" borderId="0">
      <alignment horizontal="left" vertical="center"/>
    </xf>
    <xf numFmtId="0" fontId="33" fillId="0" borderId="0">
      <alignment horizontal="left" vertical="center"/>
    </xf>
    <xf numFmtId="168" fontId="10" fillId="0" borderId="0"/>
    <xf numFmtId="168" fontId="50" fillId="0" borderId="0" applyNumberFormat="0" applyFill="0" applyBorder="0" applyAlignment="0" applyProtection="0"/>
    <xf numFmtId="0" fontId="50" fillId="0" borderId="0" applyNumberFormat="0" applyFill="0" applyBorder="0" applyAlignment="0" applyProtection="0"/>
    <xf numFmtId="0" fontId="164" fillId="0" borderId="18">
      <alignment horizontal="center" vertical="center"/>
    </xf>
    <xf numFmtId="0" fontId="165" fillId="0" borderId="18">
      <alignment horizontal="center" vertical="center" wrapText="1"/>
    </xf>
    <xf numFmtId="0" fontId="165" fillId="0" borderId="18">
      <alignment horizontal="left" vertical="center" wrapText="1"/>
    </xf>
    <xf numFmtId="0" fontId="166" fillId="0" borderId="18">
      <alignment horizontal="left" vertical="center" wrapText="1"/>
    </xf>
    <xf numFmtId="171" fontId="165" fillId="0" borderId="18">
      <alignment horizontal="right" vertical="center" wrapText="1"/>
    </xf>
    <xf numFmtId="169" fontId="166" fillId="0" borderId="18">
      <alignment horizontal="right" vertical="center" shrinkToFit="1"/>
    </xf>
    <xf numFmtId="0" fontId="167" fillId="0" borderId="0">
      <alignment horizontal="left" vertical="center"/>
    </xf>
    <xf numFmtId="171" fontId="168" fillId="0" borderId="0">
      <alignment horizontal="right" vertical="center"/>
    </xf>
    <xf numFmtId="169" fontId="168" fillId="0" borderId="11">
      <alignment horizontal="right" vertical="center"/>
    </xf>
    <xf numFmtId="0" fontId="169" fillId="0" borderId="0">
      <alignment horizontal="left" wrapText="1"/>
    </xf>
    <xf numFmtId="0" fontId="169" fillId="24" borderId="0">
      <alignment horizontal="left" wrapText="1"/>
    </xf>
    <xf numFmtId="0" fontId="47" fillId="0" borderId="0"/>
    <xf numFmtId="0" fontId="169" fillId="0" borderId="0">
      <alignment horizontal="right"/>
    </xf>
    <xf numFmtId="0" fontId="170" fillId="0" borderId="0">
      <alignment horizontal="center" vertical="center"/>
    </xf>
    <xf numFmtId="171" fontId="165" fillId="24" borderId="18">
      <alignment horizontal="right" vertical="center" wrapText="1"/>
    </xf>
    <xf numFmtId="168" fontId="10" fillId="0" borderId="0"/>
    <xf numFmtId="0" fontId="3" fillId="0" borderId="0">
      <alignment horizontal="left" vertical="center"/>
    </xf>
    <xf numFmtId="43" fontId="10" fillId="0" borderId="0" applyFont="0" applyFill="0" applyBorder="0" applyAlignment="0" applyProtection="0"/>
    <xf numFmtId="0" fontId="2" fillId="0" borderId="0">
      <alignment horizontal="left" vertical="center"/>
    </xf>
  </cellStyleXfs>
  <cellXfs count="1557">
    <xf numFmtId="0" fontId="0" fillId="0" borderId="0" xfId="0"/>
    <xf numFmtId="0" fontId="0" fillId="4" borderId="0" xfId="0" applyFill="1"/>
    <xf numFmtId="9" fontId="0" fillId="0" borderId="0" xfId="12" applyFont="1"/>
    <xf numFmtId="9" fontId="0" fillId="0" borderId="0" xfId="12" applyFont="1" applyFill="1"/>
    <xf numFmtId="164" fontId="31" fillId="4" borderId="0" xfId="1" applyFont="1" applyFill="1" applyBorder="1" applyAlignment="1" applyProtection="1">
      <alignment horizontal="center"/>
    </xf>
    <xf numFmtId="164" fontId="0" fillId="8" borderId="0" xfId="1" applyFont="1" applyFill="1" applyBorder="1" applyProtection="1"/>
    <xf numFmtId="164" fontId="43" fillId="18" borderId="9" xfId="1" applyFont="1" applyFill="1" applyBorder="1" applyAlignment="1" applyProtection="1">
      <alignment horizontal="left"/>
    </xf>
    <xf numFmtId="164" fontId="43" fillId="16" borderId="11" xfId="1" applyFont="1" applyFill="1" applyBorder="1" applyAlignment="1" applyProtection="1">
      <alignment horizontal="center"/>
    </xf>
    <xf numFmtId="164" fontId="29" fillId="8" borderId="9" xfId="1" applyFont="1" applyFill="1" applyBorder="1" applyProtection="1"/>
    <xf numFmtId="164" fontId="29" fillId="8" borderId="8" xfId="1" applyFont="1" applyFill="1" applyBorder="1" applyProtection="1"/>
    <xf numFmtId="164" fontId="32" fillId="8" borderId="9" xfId="1" applyFont="1" applyFill="1" applyBorder="1" applyAlignment="1" applyProtection="1">
      <alignment horizontal="center"/>
    </xf>
    <xf numFmtId="0" fontId="46" fillId="20" borderId="9" xfId="0" applyFont="1" applyFill="1" applyBorder="1" applyProtection="1">
      <protection locked="0"/>
    </xf>
    <xf numFmtId="0" fontId="21" fillId="9" borderId="9" xfId="1" applyNumberFormat="1" applyFont="1" applyFill="1" applyBorder="1" applyAlignment="1" applyProtection="1">
      <alignment horizontal="center" vertical="center"/>
      <protection locked="0"/>
    </xf>
    <xf numFmtId="0" fontId="46" fillId="20" borderId="9" xfId="0" applyFont="1" applyFill="1" applyBorder="1" applyAlignment="1" applyProtection="1">
      <alignment vertical="center"/>
      <protection locked="0"/>
    </xf>
    <xf numFmtId="0" fontId="26" fillId="20" borderId="9" xfId="0" applyFont="1" applyFill="1" applyBorder="1" applyAlignment="1" applyProtection="1">
      <alignment vertical="center"/>
      <protection locked="0"/>
    </xf>
    <xf numFmtId="0" fontId="26" fillId="20" borderId="9" xfId="0" applyFont="1" applyFill="1" applyBorder="1" applyProtection="1">
      <protection locked="0"/>
    </xf>
    <xf numFmtId="9" fontId="25"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5" fillId="2" borderId="0" xfId="0" applyFont="1" applyFill="1"/>
    <xf numFmtId="0" fontId="55" fillId="2" borderId="0" xfId="0" applyFont="1" applyFill="1" applyAlignment="1">
      <alignment shrinkToFit="1"/>
    </xf>
    <xf numFmtId="0" fontId="55" fillId="2" borderId="0" xfId="0" applyFont="1" applyFill="1" applyAlignment="1">
      <alignment horizontal="center"/>
    </xf>
    <xf numFmtId="164" fontId="56" fillId="2" borderId="0" xfId="1" applyFont="1" applyFill="1"/>
    <xf numFmtId="164" fontId="55" fillId="2" borderId="0" xfId="1" applyFont="1" applyFill="1"/>
    <xf numFmtId="164" fontId="57" fillId="19" borderId="0" xfId="1" applyFont="1" applyFill="1" applyBorder="1" applyAlignment="1">
      <alignment horizontal="right" vertical="center"/>
    </xf>
    <xf numFmtId="164" fontId="62" fillId="19" borderId="0" xfId="1" applyFont="1" applyFill="1" applyBorder="1" applyAlignment="1">
      <alignment horizontal="right" vertical="center"/>
    </xf>
    <xf numFmtId="164" fontId="61" fillId="19" borderId="0" xfId="1" applyFont="1" applyFill="1" applyBorder="1" applyAlignment="1">
      <alignment horizontal="right" vertical="center"/>
    </xf>
    <xf numFmtId="0" fontId="66" fillId="3" borderId="0" xfId="0" applyFont="1" applyFill="1"/>
    <xf numFmtId="0" fontId="67" fillId="3" borderId="0" xfId="0" applyFont="1" applyFill="1" applyAlignment="1">
      <alignment wrapText="1"/>
    </xf>
    <xf numFmtId="0" fontId="55" fillId="2" borderId="0" xfId="0" applyFont="1" applyFill="1" applyProtection="1">
      <protection locked="0"/>
    </xf>
    <xf numFmtId="0" fontId="68" fillId="4" borderId="0" xfId="0" applyFont="1" applyFill="1" applyProtection="1">
      <protection locked="0"/>
    </xf>
    <xf numFmtId="0" fontId="70" fillId="4" borderId="0" xfId="0" applyFont="1" applyFill="1" applyAlignment="1" applyProtection="1">
      <alignment vertical="center"/>
      <protection locked="0"/>
    </xf>
    <xf numFmtId="0" fontId="70" fillId="4" borderId="0" xfId="0" applyFont="1" applyFill="1" applyProtection="1">
      <protection locked="0"/>
    </xf>
    <xf numFmtId="0" fontId="72" fillId="3" borderId="0" xfId="0" applyFont="1" applyFill="1" applyAlignment="1">
      <alignment vertical="center"/>
    </xf>
    <xf numFmtId="0" fontId="72" fillId="3" borderId="0" xfId="0" applyFont="1" applyFill="1" applyAlignment="1">
      <alignment vertical="center" shrinkToFit="1"/>
    </xf>
    <xf numFmtId="0" fontId="72" fillId="3" borderId="0" xfId="0" applyFont="1" applyFill="1" applyAlignment="1">
      <alignment horizontal="center" vertical="center"/>
    </xf>
    <xf numFmtId="164" fontId="62" fillId="3" borderId="0" xfId="1" applyFont="1" applyFill="1" applyAlignment="1">
      <alignment vertical="center"/>
    </xf>
    <xf numFmtId="164" fontId="72" fillId="3" borderId="0" xfId="1" applyFont="1" applyFill="1" applyAlignment="1">
      <alignment vertical="center"/>
    </xf>
    <xf numFmtId="0" fontId="55" fillId="4" borderId="0" xfId="0" applyFont="1" applyFill="1" applyAlignment="1">
      <alignment vertical="center"/>
    </xf>
    <xf numFmtId="0" fontId="60" fillId="19" borderId="0" xfId="0" applyFont="1" applyFill="1" applyAlignment="1">
      <alignment horizontal="center" wrapText="1"/>
    </xf>
    <xf numFmtId="0" fontId="61" fillId="19" borderId="0" xfId="0" applyFont="1" applyFill="1" applyAlignment="1">
      <alignment horizontal="right" vertical="center"/>
    </xf>
    <xf numFmtId="0" fontId="63" fillId="19" borderId="0" xfId="0" applyFont="1" applyFill="1" applyAlignment="1">
      <alignment horizontal="right" vertical="center"/>
    </xf>
    <xf numFmtId="0" fontId="74" fillId="2" borderId="0" xfId="0" applyFont="1" applyFill="1"/>
    <xf numFmtId="164" fontId="75" fillId="2" borderId="0" xfId="1" applyFont="1" applyFill="1"/>
    <xf numFmtId="164" fontId="74" fillId="2" borderId="0" xfId="1" applyFont="1" applyFill="1"/>
    <xf numFmtId="0" fontId="74" fillId="2" borderId="0" xfId="0" applyFont="1" applyFill="1" applyAlignment="1">
      <alignment horizontal="left" shrinkToFit="1"/>
    </xf>
    <xf numFmtId="0" fontId="76" fillId="19" borderId="0" xfId="0" applyFont="1" applyFill="1" applyAlignment="1">
      <alignment horizontal="right" vertical="center"/>
    </xf>
    <xf numFmtId="164" fontId="77" fillId="19" borderId="0" xfId="1" applyFont="1" applyFill="1" applyBorder="1" applyAlignment="1">
      <alignment horizontal="right" vertical="center"/>
    </xf>
    <xf numFmtId="164" fontId="76" fillId="19" borderId="0" xfId="1" applyFont="1" applyFill="1" applyBorder="1" applyAlignment="1">
      <alignment horizontal="right" vertical="center"/>
    </xf>
    <xf numFmtId="0" fontId="78" fillId="11" borderId="0" xfId="0" applyFont="1" applyFill="1" applyAlignment="1">
      <alignment horizontal="center" vertical="center"/>
    </xf>
    <xf numFmtId="0" fontId="79" fillId="19" borderId="0" xfId="0" applyFont="1" applyFill="1" applyAlignment="1">
      <alignment wrapText="1"/>
    </xf>
    <xf numFmtId="164" fontId="64" fillId="4" borderId="0" xfId="1" applyFont="1" applyFill="1" applyBorder="1" applyAlignment="1">
      <alignment horizontal="right"/>
    </xf>
    <xf numFmtId="0" fontId="65" fillId="4" borderId="0" xfId="2" applyFont="1" applyFill="1" applyBorder="1" applyAlignment="1">
      <alignment horizontal="right" vertical="top"/>
    </xf>
    <xf numFmtId="164" fontId="62" fillId="19" borderId="20" xfId="1" applyFont="1" applyFill="1" applyBorder="1" applyAlignment="1">
      <alignment horizontal="right" vertical="center"/>
    </xf>
    <xf numFmtId="0" fontId="81" fillId="2" borderId="0" xfId="0" applyFont="1" applyFill="1" applyAlignment="1">
      <alignment horizontal="center"/>
    </xf>
    <xf numFmtId="0" fontId="74" fillId="4" borderId="0" xfId="0" applyFont="1" applyFill="1"/>
    <xf numFmtId="0" fontId="78" fillId="4" borderId="0" xfId="0" applyFont="1" applyFill="1" applyAlignment="1">
      <alignment horizontal="center" vertical="center"/>
    </xf>
    <xf numFmtId="0" fontId="55" fillId="4" borderId="0" xfId="0" applyFont="1" applyFill="1"/>
    <xf numFmtId="0" fontId="59" fillId="4" borderId="0" xfId="0" applyFont="1" applyFill="1" applyAlignment="1">
      <alignment horizontal="center" vertical="center"/>
    </xf>
    <xf numFmtId="0" fontId="81" fillId="4" borderId="0" xfId="0" applyFont="1" applyFill="1" applyAlignment="1">
      <alignment horizontal="center"/>
    </xf>
    <xf numFmtId="0" fontId="82" fillId="4" borderId="0" xfId="0" applyFont="1" applyFill="1" applyAlignment="1">
      <alignment horizontal="center" vertical="center"/>
    </xf>
    <xf numFmtId="0" fontId="77" fillId="19" borderId="0" xfId="0" applyFont="1" applyFill="1" applyAlignment="1">
      <alignment horizontal="right" vertical="center"/>
    </xf>
    <xf numFmtId="0" fontId="80" fillId="19" borderId="0" xfId="0" applyFont="1" applyFill="1" applyAlignment="1">
      <alignment horizontal="right" vertical="center"/>
    </xf>
    <xf numFmtId="0" fontId="58" fillId="19" borderId="0" xfId="0" applyFont="1" applyFill="1" applyAlignment="1">
      <alignment horizontal="right" vertical="center"/>
    </xf>
    <xf numFmtId="164" fontId="68" fillId="4" borderId="0" xfId="0" applyNumberFormat="1" applyFont="1" applyFill="1" applyProtection="1">
      <protection locked="0"/>
    </xf>
    <xf numFmtId="0" fontId="69" fillId="4" borderId="0" xfId="0" applyFont="1" applyFill="1" applyAlignment="1" applyProtection="1">
      <alignment vertical="center"/>
      <protection locked="0"/>
    </xf>
    <xf numFmtId="0" fontId="69" fillId="2" borderId="0" xfId="0" applyFont="1" applyFill="1" applyProtection="1">
      <protection locked="0"/>
    </xf>
    <xf numFmtId="0" fontId="69" fillId="4" borderId="0" xfId="0" applyFont="1" applyFill="1" applyProtection="1">
      <protection locked="0"/>
    </xf>
    <xf numFmtId="164" fontId="71" fillId="4" borderId="0" xfId="0" applyNumberFormat="1" applyFont="1" applyFill="1"/>
    <xf numFmtId="0" fontId="71" fillId="4" borderId="0" xfId="0" applyFont="1" applyFill="1"/>
    <xf numFmtId="0" fontId="59" fillId="2" borderId="0" xfId="0" applyFont="1" applyFill="1" applyAlignment="1">
      <alignment horizontal="center" vertical="center"/>
    </xf>
    <xf numFmtId="0" fontId="66" fillId="19" borderId="0" xfId="0" applyFont="1" applyFill="1"/>
    <xf numFmtId="0" fontId="67" fillId="19" borderId="0" xfId="0" applyFont="1" applyFill="1" applyAlignment="1">
      <alignment wrapText="1"/>
    </xf>
    <xf numFmtId="0" fontId="55" fillId="4" borderId="0" xfId="0" applyFont="1" applyFill="1" applyProtection="1">
      <protection locked="0"/>
    </xf>
    <xf numFmtId="164" fontId="61" fillId="19" borderId="20" xfId="1" applyFont="1" applyFill="1" applyBorder="1" applyAlignment="1">
      <alignment horizontal="right" vertical="center"/>
    </xf>
    <xf numFmtId="0" fontId="63" fillId="19" borderId="20" xfId="0" applyFont="1" applyFill="1" applyBorder="1" applyAlignment="1">
      <alignment horizontal="right" vertical="center"/>
    </xf>
    <xf numFmtId="0" fontId="83" fillId="4" borderId="0" xfId="0" applyFont="1" applyFill="1"/>
    <xf numFmtId="0" fontId="83" fillId="25" borderId="0" xfId="0" applyFont="1" applyFill="1"/>
    <xf numFmtId="0" fontId="55" fillId="4" borderId="0" xfId="0" applyFont="1" applyFill="1" applyAlignment="1">
      <alignment horizontal="center" vertical="center"/>
    </xf>
    <xf numFmtId="0" fontId="55" fillId="25" borderId="0" xfId="0" applyFont="1" applyFill="1" applyAlignment="1">
      <alignment horizontal="center" vertical="center"/>
    </xf>
    <xf numFmtId="0" fontId="74" fillId="4" borderId="0" xfId="0" applyFont="1" applyFill="1" applyAlignment="1">
      <alignment horizontal="center" vertical="center"/>
    </xf>
    <xf numFmtId="0" fontId="74" fillId="2" borderId="20" xfId="0" applyFont="1" applyFill="1" applyBorder="1" applyAlignment="1">
      <alignment horizontal="center" vertical="center"/>
    </xf>
    <xf numFmtId="0" fontId="0" fillId="0" borderId="0" xfId="0" applyAlignment="1">
      <alignment vertical="center"/>
    </xf>
    <xf numFmtId="44" fontId="55" fillId="2" borderId="0" xfId="0" applyNumberFormat="1" applyFont="1" applyFill="1"/>
    <xf numFmtId="44" fontId="74" fillId="2" borderId="0" xfId="0" applyNumberFormat="1" applyFont="1" applyFill="1"/>
    <xf numFmtId="44" fontId="76" fillId="19" borderId="0" xfId="0" applyNumberFormat="1" applyFont="1" applyFill="1" applyAlignment="1">
      <alignment horizontal="right" vertical="center"/>
    </xf>
    <xf numFmtId="44" fontId="61" fillId="19" borderId="0" xfId="0" applyNumberFormat="1" applyFont="1" applyFill="1" applyAlignment="1">
      <alignment horizontal="right" vertical="center"/>
    </xf>
    <xf numFmtId="44" fontId="72" fillId="3" borderId="0" xfId="0" applyNumberFormat="1" applyFont="1" applyFill="1" applyAlignment="1">
      <alignment vertical="center"/>
    </xf>
    <xf numFmtId="0" fontId="67" fillId="3" borderId="5" xfId="0" applyFont="1" applyFill="1" applyBorder="1" applyAlignment="1">
      <alignment wrapText="1"/>
    </xf>
    <xf numFmtId="0" fontId="66" fillId="3" borderId="5" xfId="0" applyFont="1" applyFill="1" applyBorder="1"/>
    <xf numFmtId="0" fontId="55" fillId="2" borderId="5" xfId="0" applyFont="1" applyFill="1" applyBorder="1"/>
    <xf numFmtId="0" fontId="74" fillId="2" borderId="0" xfId="0" applyFont="1" applyFill="1" applyAlignment="1">
      <alignment horizontal="center"/>
    </xf>
    <xf numFmtId="0" fontId="73" fillId="4" borderId="0" xfId="0" applyFont="1" applyFill="1" applyAlignment="1">
      <alignment horizontal="left" vertical="center"/>
    </xf>
    <xf numFmtId="0" fontId="55" fillId="2" borderId="0" xfId="0" applyFont="1" applyFill="1" applyAlignment="1">
      <alignment horizontal="center" vertical="center"/>
    </xf>
    <xf numFmtId="0" fontId="55" fillId="2" borderId="0" xfId="0" applyFont="1" applyFill="1" applyAlignment="1">
      <alignment vertical="center" shrinkToFit="1"/>
    </xf>
    <xf numFmtId="0" fontId="73" fillId="2" borderId="0" xfId="0" applyFont="1" applyFill="1" applyAlignment="1">
      <alignment horizontal="left" vertical="center"/>
    </xf>
    <xf numFmtId="164" fontId="0" fillId="4" borderId="0" xfId="1" applyFont="1" applyFill="1" applyAlignment="1" applyProtection="1">
      <alignment horizontal="left"/>
    </xf>
    <xf numFmtId="164" fontId="0" fillId="27" borderId="9" xfId="1" applyFont="1" applyFill="1" applyBorder="1" applyAlignment="1" applyProtection="1">
      <alignment horizontal="right"/>
      <protection locked="0"/>
    </xf>
    <xf numFmtId="164" fontId="0" fillId="27" borderId="9" xfId="1" applyFont="1" applyFill="1" applyBorder="1" applyProtection="1">
      <protection locked="0"/>
    </xf>
    <xf numFmtId="16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64" fontId="0" fillId="8" borderId="9" xfId="12" applyNumberFormat="1" applyFont="1" applyFill="1" applyBorder="1" applyAlignment="1" applyProtection="1">
      <alignment horizontal="right"/>
    </xf>
    <xf numFmtId="164" fontId="26" fillId="4" borderId="0" xfId="1" applyFont="1" applyFill="1" applyBorder="1" applyAlignment="1" applyProtection="1">
      <alignment horizontal="center" vertical="center"/>
    </xf>
    <xf numFmtId="1" fontId="0" fillId="27" borderId="9" xfId="0" applyNumberFormat="1" applyFill="1" applyBorder="1" applyAlignment="1" applyProtection="1">
      <alignment horizontal="right" vertical="center"/>
      <protection locked="0"/>
    </xf>
    <xf numFmtId="1" fontId="0" fillId="27" borderId="9" xfId="0" applyNumberFormat="1" applyFill="1" applyBorder="1" applyProtection="1">
      <protection locked="0"/>
    </xf>
    <xf numFmtId="10" fontId="26" fillId="8" borderId="9" xfId="12" applyNumberFormat="1" applyFont="1" applyFill="1" applyBorder="1" applyAlignment="1" applyProtection="1">
      <alignment horizontal="right"/>
    </xf>
    <xf numFmtId="10" fontId="32" fillId="8" borderId="9" xfId="12" applyNumberFormat="1" applyFont="1" applyFill="1" applyBorder="1" applyAlignment="1" applyProtection="1">
      <alignment horizontal="right" vertical="center"/>
    </xf>
    <xf numFmtId="0" fontId="0" fillId="0" borderId="0" xfId="0" applyAlignment="1">
      <alignment horizontal="center" vertical="center"/>
    </xf>
    <xf numFmtId="173" fontId="0" fillId="0" borderId="0" xfId="0" applyNumberFormat="1" applyAlignment="1">
      <alignment horizontal="center" vertical="center"/>
    </xf>
    <xf numFmtId="0" fontId="26" fillId="0" borderId="0" xfId="0" applyFont="1" applyAlignment="1">
      <alignment horizontal="center" vertical="center"/>
    </xf>
    <xf numFmtId="10" fontId="25" fillId="17" borderId="0" xfId="0" applyNumberFormat="1" applyFont="1" applyFill="1" applyAlignment="1">
      <alignment horizontal="center" vertical="center"/>
    </xf>
    <xf numFmtId="174" fontId="26" fillId="0" borderId="0" xfId="0" applyNumberFormat="1" applyFont="1" applyAlignment="1">
      <alignment horizontal="center" vertical="center"/>
    </xf>
    <xf numFmtId="174" fontId="0" fillId="24" borderId="0" xfId="1" applyNumberFormat="1" applyFont="1" applyFill="1" applyAlignment="1">
      <alignment vertical="center"/>
    </xf>
    <xf numFmtId="164" fontId="0" fillId="0" borderId="0" xfId="1" applyFont="1" applyAlignment="1">
      <alignment vertical="center"/>
    </xf>
    <xf numFmtId="164" fontId="0" fillId="0" borderId="0" xfId="1" applyFont="1" applyFill="1" applyAlignment="1">
      <alignment vertical="center"/>
    </xf>
    <xf numFmtId="164" fontId="0" fillId="0" borderId="0" xfId="0" applyNumberFormat="1" applyAlignment="1">
      <alignment vertical="center"/>
    </xf>
    <xf numFmtId="173" fontId="0" fillId="0" borderId="0" xfId="0" applyNumberFormat="1" applyAlignment="1">
      <alignment vertical="center"/>
    </xf>
    <xf numFmtId="164" fontId="0" fillId="0" borderId="0" xfId="1" applyFont="1" applyAlignment="1">
      <alignment horizontal="right" vertical="center"/>
    </xf>
    <xf numFmtId="174" fontId="0" fillId="0" borderId="0" xfId="0" applyNumberFormat="1" applyAlignment="1">
      <alignment vertical="center"/>
    </xf>
    <xf numFmtId="164" fontId="26" fillId="0" borderId="0" xfId="1" applyFont="1" applyAlignment="1">
      <alignment vertical="center"/>
    </xf>
    <xf numFmtId="164" fontId="26" fillId="0" borderId="0" xfId="1" applyFont="1" applyFill="1" applyAlignment="1">
      <alignment vertical="center"/>
    </xf>
    <xf numFmtId="10" fontId="0" fillId="0" borderId="0" xfId="0" applyNumberFormat="1" applyAlignment="1">
      <alignment vertical="center"/>
    </xf>
    <xf numFmtId="10" fontId="25"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164" fontId="0" fillId="0" borderId="9" xfId="1" applyFont="1" applyBorder="1" applyAlignment="1">
      <alignment vertical="center"/>
    </xf>
    <xf numFmtId="10" fontId="26" fillId="0" borderId="9" xfId="12" applyNumberFormat="1" applyFont="1" applyBorder="1" applyAlignment="1">
      <alignment horizontal="right" vertical="center"/>
    </xf>
    <xf numFmtId="164" fontId="26" fillId="0" borderId="9" xfId="1" applyFont="1" applyBorder="1" applyAlignment="1">
      <alignment vertical="center"/>
    </xf>
    <xf numFmtId="9" fontId="0" fillId="0" borderId="0" xfId="12" applyFont="1" applyAlignment="1">
      <alignment vertical="center"/>
    </xf>
    <xf numFmtId="0" fontId="55" fillId="2" borderId="0" xfId="0" applyFont="1" applyFill="1" applyAlignment="1">
      <alignment horizontal="center" shrinkToFit="1"/>
    </xf>
    <xf numFmtId="0" fontId="74" fillId="2" borderId="0" xfId="0" applyFont="1" applyFill="1" applyAlignment="1">
      <alignment horizontal="center" shrinkToFit="1"/>
    </xf>
    <xf numFmtId="0" fontId="76" fillId="19" borderId="0" xfId="0" applyFont="1" applyFill="1" applyAlignment="1">
      <alignment horizontal="center" vertical="center" shrinkToFit="1"/>
    </xf>
    <xf numFmtId="0" fontId="61" fillId="19" borderId="0" xfId="0" applyFont="1" applyFill="1" applyAlignment="1">
      <alignment horizontal="center" vertical="center" shrinkToFit="1"/>
    </xf>
    <xf numFmtId="0" fontId="72" fillId="3" borderId="0" xfId="0" applyFont="1" applyFill="1" applyAlignment="1">
      <alignment horizontal="center" vertical="center" shrinkToFit="1"/>
    </xf>
    <xf numFmtId="9" fontId="56" fillId="2" borderId="0" xfId="12" applyFont="1" applyFill="1" applyAlignment="1">
      <alignment horizontal="center"/>
    </xf>
    <xf numFmtId="9" fontId="75" fillId="2" borderId="0" xfId="12" applyFont="1" applyFill="1" applyAlignment="1">
      <alignment horizontal="center"/>
    </xf>
    <xf numFmtId="9" fontId="77" fillId="19" borderId="0" xfId="12" applyFont="1" applyFill="1" applyBorder="1" applyAlignment="1">
      <alignment horizontal="center" vertical="center"/>
    </xf>
    <xf numFmtId="9" fontId="62" fillId="19" borderId="0" xfId="12" applyFont="1" applyFill="1" applyBorder="1" applyAlignment="1">
      <alignment horizontal="center" vertical="center"/>
    </xf>
    <xf numFmtId="9" fontId="62" fillId="3" borderId="0" xfId="12" applyFont="1" applyFill="1" applyAlignment="1">
      <alignment horizontal="center" vertical="center"/>
    </xf>
    <xf numFmtId="0" fontId="93" fillId="4" borderId="5" xfId="0" applyFont="1" applyFill="1" applyBorder="1" applyAlignment="1">
      <alignment horizontal="center" vertical="center" wrapText="1"/>
    </xf>
    <xf numFmtId="0" fontId="93" fillId="4" borderId="0" xfId="0" applyFont="1" applyFill="1" applyAlignment="1">
      <alignment horizontal="left" vertical="center" shrinkToFit="1"/>
    </xf>
    <xf numFmtId="0" fontId="93" fillId="4" borderId="0" xfId="0" applyFont="1" applyFill="1" applyAlignment="1">
      <alignment horizontal="center" vertical="center" wrapText="1"/>
    </xf>
    <xf numFmtId="0" fontId="93" fillId="4" borderId="0" xfId="0" applyFont="1" applyFill="1" applyAlignment="1">
      <alignment horizontal="center" vertical="center" shrinkToFit="1"/>
    </xf>
    <xf numFmtId="0" fontId="93" fillId="4" borderId="0" xfId="0" applyFont="1" applyFill="1" applyAlignment="1">
      <alignment horizontal="left" vertical="center" wrapText="1"/>
    </xf>
    <xf numFmtId="44" fontId="93" fillId="4" borderId="0" xfId="0" applyNumberFormat="1" applyFont="1" applyFill="1" applyAlignment="1">
      <alignment horizontal="left" vertical="center" wrapText="1"/>
    </xf>
    <xf numFmtId="9" fontId="98" fillId="4" borderId="0" xfId="12" applyFont="1" applyFill="1" applyBorder="1" applyAlignment="1">
      <alignment horizontal="center" vertical="center" wrapText="1"/>
    </xf>
    <xf numFmtId="164" fontId="98" fillId="4" borderId="0" xfId="1" applyFont="1" applyFill="1" applyBorder="1" applyAlignment="1">
      <alignment horizontal="left" vertical="center" wrapText="1"/>
    </xf>
    <xf numFmtId="164" fontId="93" fillId="4" borderId="0" xfId="1" applyFont="1" applyFill="1" applyBorder="1" applyAlignment="1">
      <alignment horizontal="left" vertical="center" wrapText="1"/>
    </xf>
    <xf numFmtId="166" fontId="107" fillId="4" borderId="0" xfId="0" applyNumberFormat="1" applyFont="1" applyFill="1" applyAlignment="1" applyProtection="1">
      <alignment horizontal="left" vertical="center" wrapText="1"/>
      <protection locked="0"/>
    </xf>
    <xf numFmtId="0" fontId="108" fillId="2" borderId="0" xfId="0" applyFont="1" applyFill="1" applyAlignment="1">
      <alignment horizontal="left" vertical="center"/>
    </xf>
    <xf numFmtId="0" fontId="109" fillId="2" borderId="27" xfId="0" applyFont="1" applyFill="1" applyBorder="1" applyAlignment="1">
      <alignment horizontal="center" vertical="center"/>
    </xf>
    <xf numFmtId="0" fontId="109" fillId="2" borderId="19" xfId="0" applyFont="1" applyFill="1" applyBorder="1" applyAlignment="1">
      <alignment horizontal="center" vertical="center" shrinkToFit="1"/>
    </xf>
    <xf numFmtId="0" fontId="109" fillId="19" borderId="19" xfId="0" applyFont="1" applyFill="1" applyBorder="1" applyAlignment="1">
      <alignment horizontal="center" vertical="center" wrapText="1"/>
    </xf>
    <xf numFmtId="0" fontId="109" fillId="19" borderId="19" xfId="0" applyFont="1" applyFill="1" applyBorder="1" applyAlignment="1">
      <alignment horizontal="center" vertical="center" shrinkToFit="1"/>
    </xf>
    <xf numFmtId="0" fontId="109" fillId="19" borderId="19" xfId="0" applyFont="1" applyFill="1" applyBorder="1" applyAlignment="1">
      <alignment horizontal="center" vertical="center"/>
    </xf>
    <xf numFmtId="44" fontId="109" fillId="19" borderId="19" xfId="0" applyNumberFormat="1" applyFont="1" applyFill="1" applyBorder="1" applyAlignment="1">
      <alignment horizontal="center" vertical="center"/>
    </xf>
    <xf numFmtId="9" fontId="109" fillId="19" borderId="19" xfId="12" applyFont="1" applyFill="1" applyBorder="1" applyAlignment="1">
      <alignment horizontal="center" vertical="center"/>
    </xf>
    <xf numFmtId="164" fontId="109" fillId="19" borderId="19" xfId="1" applyFont="1" applyFill="1" applyBorder="1" applyAlignment="1">
      <alignment horizontal="center" vertical="center"/>
    </xf>
    <xf numFmtId="0" fontId="109" fillId="19" borderId="25" xfId="0" applyFont="1" applyFill="1" applyBorder="1" applyAlignment="1">
      <alignment horizontal="center" vertical="center"/>
    </xf>
    <xf numFmtId="0" fontId="110" fillId="2" borderId="1" xfId="0" applyFont="1" applyFill="1" applyBorder="1" applyAlignment="1">
      <alignment horizontal="center" vertical="center" shrinkToFit="1"/>
    </xf>
    <xf numFmtId="0" fontId="110" fillId="19" borderId="1" xfId="0" applyFont="1" applyFill="1" applyBorder="1" applyAlignment="1">
      <alignment horizontal="center" vertical="center" wrapText="1"/>
    </xf>
    <xf numFmtId="0" fontId="110" fillId="19" borderId="1" xfId="0" applyFont="1" applyFill="1" applyBorder="1" applyAlignment="1">
      <alignment horizontal="center" vertical="center" shrinkToFit="1"/>
    </xf>
    <xf numFmtId="0" fontId="84" fillId="19" borderId="1" xfId="0" applyFont="1" applyFill="1" applyBorder="1" applyAlignment="1">
      <alignment horizontal="center" vertical="center"/>
    </xf>
    <xf numFmtId="44" fontId="84" fillId="19" borderId="1" xfId="0" applyNumberFormat="1" applyFont="1" applyFill="1" applyBorder="1" applyAlignment="1">
      <alignment horizontal="center" vertical="center"/>
    </xf>
    <xf numFmtId="0" fontId="74" fillId="2" borderId="0" xfId="0" applyFont="1" applyFill="1" applyAlignment="1">
      <alignment horizontal="center" vertical="center"/>
    </xf>
    <xf numFmtId="0" fontId="110" fillId="2" borderId="11" xfId="0" applyFont="1" applyFill="1" applyBorder="1" applyAlignment="1">
      <alignment horizontal="center" vertical="center" shrinkToFit="1"/>
    </xf>
    <xf numFmtId="168" fontId="116" fillId="0" borderId="12" xfId="69" applyFont="1" applyBorder="1"/>
    <xf numFmtId="168" fontId="116" fillId="0" borderId="4" xfId="69" applyFont="1" applyBorder="1" applyAlignment="1">
      <alignment horizontal="center" shrinkToFit="1"/>
    </xf>
    <xf numFmtId="168" fontId="116" fillId="0" borderId="4" xfId="69" applyFont="1" applyBorder="1" applyAlignment="1">
      <alignment vertical="top"/>
    </xf>
    <xf numFmtId="168" fontId="116" fillId="0" borderId="0" xfId="69" applyFont="1"/>
    <xf numFmtId="168" fontId="116" fillId="4" borderId="0" xfId="69" applyFont="1" applyFill="1"/>
    <xf numFmtId="168" fontId="118" fillId="2" borderId="5" xfId="69" applyFont="1" applyFill="1" applyBorder="1"/>
    <xf numFmtId="168" fontId="118" fillId="2" borderId="0" xfId="69" applyFont="1" applyFill="1" applyAlignment="1">
      <alignment horizontal="center" shrinkToFit="1"/>
    </xf>
    <xf numFmtId="168" fontId="119" fillId="3" borderId="0" xfId="69" applyFont="1" applyFill="1" applyAlignment="1">
      <alignment horizontal="right" vertical="top" wrapText="1"/>
    </xf>
    <xf numFmtId="168" fontId="121" fillId="3" borderId="0" xfId="69" applyFont="1" applyFill="1" applyAlignment="1">
      <alignment horizontal="right" vertical="center" wrapText="1"/>
    </xf>
    <xf numFmtId="168" fontId="118" fillId="2" borderId="0" xfId="69" applyFont="1" applyFill="1"/>
    <xf numFmtId="168" fontId="121" fillId="3" borderId="0" xfId="69" applyFont="1" applyFill="1" applyAlignment="1">
      <alignment horizontal="right" vertical="top"/>
    </xf>
    <xf numFmtId="168" fontId="118" fillId="2" borderId="29" xfId="69" applyFont="1" applyFill="1" applyBorder="1"/>
    <xf numFmtId="168" fontId="118" fillId="2" borderId="1" xfId="69" applyFont="1" applyFill="1" applyBorder="1" applyAlignment="1">
      <alignment horizontal="center" shrinkToFit="1"/>
    </xf>
    <xf numFmtId="168" fontId="122" fillId="3" borderId="1" xfId="29" applyNumberFormat="1" applyFont="1" applyFill="1" applyBorder="1" applyAlignment="1" applyProtection="1">
      <alignment horizontal="right" vertical="top"/>
    </xf>
    <xf numFmtId="168" fontId="124" fillId="23" borderId="29" xfId="69" applyFont="1" applyFill="1" applyBorder="1" applyAlignment="1">
      <alignment horizontal="center" vertical="center"/>
    </xf>
    <xf numFmtId="168" fontId="124" fillId="23" borderId="0" xfId="69" applyFont="1" applyFill="1" applyAlignment="1">
      <alignment vertical="center"/>
    </xf>
    <xf numFmtId="168" fontId="118" fillId="0" borderId="0" xfId="69" applyFont="1" applyAlignment="1">
      <alignment horizontal="center"/>
    </xf>
    <xf numFmtId="168" fontId="118" fillId="2" borderId="0" xfId="69" applyFont="1" applyFill="1" applyAlignment="1">
      <alignment horizontal="center"/>
    </xf>
    <xf numFmtId="168" fontId="124" fillId="30" borderId="12" xfId="69" applyFont="1" applyFill="1" applyBorder="1" applyAlignment="1">
      <alignment vertical="center"/>
    </xf>
    <xf numFmtId="168" fontId="124" fillId="30" borderId="3" xfId="69" applyFont="1" applyFill="1" applyBorder="1" applyAlignment="1">
      <alignment horizontal="center" vertical="center" shrinkToFit="1"/>
    </xf>
    <xf numFmtId="168" fontId="124" fillId="30" borderId="12" xfId="69" applyFont="1" applyFill="1" applyBorder="1" applyAlignment="1">
      <alignment vertical="center" wrapText="1"/>
    </xf>
    <xf numFmtId="164" fontId="124" fillId="30" borderId="4" xfId="1" applyFont="1" applyFill="1" applyBorder="1" applyAlignment="1">
      <alignment vertical="center" wrapText="1"/>
    </xf>
    <xf numFmtId="168" fontId="124" fillId="30" borderId="3" xfId="69" applyFont="1" applyFill="1" applyBorder="1" applyAlignment="1">
      <alignment vertical="center" wrapText="1"/>
    </xf>
    <xf numFmtId="168" fontId="118" fillId="4" borderId="0" xfId="69" applyFont="1" applyFill="1" applyAlignment="1">
      <alignment horizontal="center"/>
    </xf>
    <xf numFmtId="168" fontId="124" fillId="30" borderId="29" xfId="69" applyFont="1" applyFill="1" applyBorder="1" applyAlignment="1">
      <alignment horizontal="left" vertical="center"/>
    </xf>
    <xf numFmtId="168" fontId="124" fillId="30" borderId="7" xfId="69" applyFont="1" applyFill="1" applyBorder="1" applyAlignment="1">
      <alignment horizontal="center" vertical="center" shrinkToFit="1"/>
    </xf>
    <xf numFmtId="168" fontId="124" fillId="30" borderId="29" xfId="69" applyFont="1" applyFill="1" applyBorder="1" applyAlignment="1">
      <alignment vertical="center" wrapText="1"/>
    </xf>
    <xf numFmtId="164" fontId="124" fillId="30" borderId="1" xfId="1" applyFont="1" applyFill="1" applyBorder="1" applyAlignment="1">
      <alignment vertical="center" wrapText="1"/>
    </xf>
    <xf numFmtId="168" fontId="124" fillId="30" borderId="7" xfId="69" applyFont="1" applyFill="1" applyBorder="1" applyAlignment="1">
      <alignment vertical="center" wrapText="1"/>
    </xf>
    <xf numFmtId="168" fontId="116" fillId="0" borderId="0" xfId="69" applyFont="1" applyAlignment="1">
      <alignment horizontal="center"/>
    </xf>
    <xf numFmtId="168" fontId="116" fillId="4" borderId="0" xfId="69" applyFont="1" applyFill="1" applyAlignment="1">
      <alignment horizontal="center"/>
    </xf>
    <xf numFmtId="168" fontId="116" fillId="6" borderId="0" xfId="69" applyFont="1" applyFill="1" applyAlignment="1">
      <alignment horizontal="center"/>
    </xf>
    <xf numFmtId="168" fontId="126" fillId="31" borderId="6" xfId="69" applyFont="1" applyFill="1" applyBorder="1" applyAlignment="1">
      <alignment horizontal="center" vertical="center"/>
    </xf>
    <xf numFmtId="168" fontId="126" fillId="31" borderId="6" xfId="69" applyFont="1" applyFill="1" applyBorder="1" applyAlignment="1">
      <alignment horizontal="center" vertical="center" shrinkToFit="1"/>
    </xf>
    <xf numFmtId="167" fontId="126" fillId="31" borderId="9" xfId="1" applyNumberFormat="1" applyFont="1" applyFill="1" applyBorder="1" applyAlignment="1" applyProtection="1">
      <alignment horizontal="center" vertical="center"/>
    </xf>
    <xf numFmtId="164" fontId="126" fillId="31" borderId="29" xfId="1" applyFont="1" applyFill="1" applyBorder="1" applyAlignment="1">
      <alignment horizontal="center" vertical="center"/>
    </xf>
    <xf numFmtId="164" fontId="126" fillId="31" borderId="6" xfId="1" applyFont="1" applyFill="1" applyBorder="1" applyAlignment="1">
      <alignment horizontal="center" vertical="center"/>
    </xf>
    <xf numFmtId="168" fontId="127" fillId="3" borderId="0" xfId="69" applyFont="1" applyFill="1" applyAlignment="1">
      <alignment horizontal="center" vertical="center" wrapText="1"/>
    </xf>
    <xf numFmtId="168" fontId="127" fillId="19" borderId="0" xfId="69" applyFont="1" applyFill="1" applyAlignment="1">
      <alignment horizontal="center" vertical="center" wrapText="1"/>
    </xf>
    <xf numFmtId="168" fontId="128" fillId="32" borderId="8" xfId="69" applyFont="1" applyFill="1" applyBorder="1"/>
    <xf numFmtId="168" fontId="128" fillId="32" borderId="9" xfId="69" applyFont="1" applyFill="1" applyBorder="1" applyAlignment="1">
      <alignment horizontal="center" vertical="center" shrinkToFit="1"/>
    </xf>
    <xf numFmtId="168" fontId="128" fillId="32" borderId="11" xfId="69" applyFont="1" applyFill="1" applyBorder="1" applyAlignment="1">
      <alignment horizontal="center" vertical="top"/>
    </xf>
    <xf numFmtId="168" fontId="128" fillId="32" borderId="8" xfId="69" applyFont="1" applyFill="1" applyBorder="1" applyAlignment="1">
      <alignment horizontal="center" vertical="center" shrinkToFit="1"/>
    </xf>
    <xf numFmtId="164" fontId="129" fillId="32" borderId="9" xfId="1" applyFont="1" applyFill="1" applyBorder="1" applyAlignment="1">
      <alignment horizontal="left" vertical="center" shrinkToFit="1"/>
    </xf>
    <xf numFmtId="164" fontId="130" fillId="32" borderId="9" xfId="1" applyFont="1" applyFill="1" applyBorder="1" applyAlignment="1">
      <alignment horizontal="left" vertical="center" shrinkToFit="1"/>
    </xf>
    <xf numFmtId="168" fontId="131" fillId="4" borderId="5" xfId="69" applyFont="1" applyFill="1" applyBorder="1"/>
    <xf numFmtId="168" fontId="116" fillId="0" borderId="30" xfId="69" applyFont="1" applyBorder="1" applyAlignment="1">
      <alignment horizontal="center" vertical="center" shrinkToFit="1"/>
    </xf>
    <xf numFmtId="168" fontId="116" fillId="0" borderId="2" xfId="69" applyFont="1" applyBorder="1" applyAlignment="1">
      <alignment horizontal="center" vertical="top"/>
    </xf>
    <xf numFmtId="168" fontId="116" fillId="0" borderId="5" xfId="69" applyFont="1" applyBorder="1" applyAlignment="1">
      <alignment horizontal="center" vertical="center" shrinkToFit="1"/>
    </xf>
    <xf numFmtId="164" fontId="116" fillId="0" borderId="30" xfId="1" applyFont="1" applyFill="1" applyBorder="1" applyAlignment="1">
      <alignment horizontal="left" vertical="center" shrinkToFit="1"/>
    </xf>
    <xf numFmtId="164" fontId="116" fillId="0" borderId="30" xfId="1" applyFont="1" applyFill="1" applyBorder="1" applyAlignment="1">
      <alignment horizontal="center" vertical="center" shrinkToFit="1"/>
    </xf>
    <xf numFmtId="168" fontId="116" fillId="0" borderId="30" xfId="69" applyFont="1" applyBorder="1" applyAlignment="1">
      <alignment horizontal="center" vertical="top"/>
    </xf>
    <xf numFmtId="176" fontId="116" fillId="0" borderId="30" xfId="69" applyNumberFormat="1" applyFont="1" applyBorder="1" applyAlignment="1">
      <alignment horizontal="center" vertical="center" shrinkToFit="1"/>
    </xf>
    <xf numFmtId="168" fontId="116" fillId="0" borderId="30" xfId="69" applyFont="1" applyBorder="1" applyAlignment="1">
      <alignment horizontal="left" vertical="top"/>
    </xf>
    <xf numFmtId="168" fontId="116" fillId="4" borderId="30" xfId="69" applyFont="1" applyFill="1" applyBorder="1" applyAlignment="1">
      <alignment horizontal="center" vertical="center" shrinkToFit="1"/>
    </xf>
    <xf numFmtId="164" fontId="129" fillId="0" borderId="30" xfId="1" applyFont="1" applyFill="1" applyBorder="1" applyAlignment="1">
      <alignment horizontal="left" vertical="center" shrinkToFit="1"/>
    </xf>
    <xf numFmtId="164" fontId="130" fillId="0" borderId="30" xfId="1" applyFont="1" applyFill="1" applyBorder="1" applyAlignment="1">
      <alignment horizontal="left" vertical="center" shrinkToFit="1"/>
    </xf>
    <xf numFmtId="168" fontId="116" fillId="4" borderId="6" xfId="69" applyFont="1" applyFill="1" applyBorder="1" applyAlignment="1">
      <alignment horizontal="center" vertical="center" shrinkToFit="1"/>
    </xf>
    <xf numFmtId="168" fontId="132" fillId="4" borderId="0" xfId="69" applyFont="1" applyFill="1" applyAlignment="1">
      <alignment horizontal="center" vertical="top"/>
    </xf>
    <xf numFmtId="168" fontId="116" fillId="4" borderId="5" xfId="69" applyFont="1" applyFill="1" applyBorder="1" applyAlignment="1">
      <alignment horizontal="center" vertical="center" shrinkToFit="1"/>
    </xf>
    <xf numFmtId="164" fontId="129" fillId="4" borderId="30" xfId="1" applyFont="1" applyFill="1" applyBorder="1" applyAlignment="1">
      <alignment horizontal="left" vertical="center" shrinkToFit="1"/>
    </xf>
    <xf numFmtId="164" fontId="130" fillId="4" borderId="30" xfId="1" applyFont="1" applyFill="1" applyBorder="1" applyAlignment="1">
      <alignment horizontal="left" vertical="center" shrinkToFit="1"/>
    </xf>
    <xf numFmtId="176" fontId="116" fillId="0" borderId="2" xfId="69" applyNumberFormat="1" applyFont="1" applyBorder="1" applyAlignment="1">
      <alignment horizontal="center" vertical="center" shrinkToFit="1"/>
    </xf>
    <xf numFmtId="164" fontId="116" fillId="0" borderId="5" xfId="1" applyFont="1" applyFill="1" applyBorder="1"/>
    <xf numFmtId="164" fontId="133" fillId="0" borderId="5" xfId="1" applyFont="1" applyFill="1" applyBorder="1"/>
    <xf numFmtId="168" fontId="124" fillId="33" borderId="12" xfId="69" applyFont="1" applyFill="1" applyBorder="1" applyAlignment="1">
      <alignment vertical="center"/>
    </xf>
    <xf numFmtId="168" fontId="124" fillId="33" borderId="3" xfId="69" applyFont="1" applyFill="1" applyBorder="1" applyAlignment="1">
      <alignment horizontal="center" vertical="center" shrinkToFit="1"/>
    </xf>
    <xf numFmtId="168" fontId="125" fillId="33" borderId="4" xfId="69" applyFont="1" applyFill="1" applyBorder="1" applyAlignment="1">
      <alignment horizontal="center" vertical="center"/>
    </xf>
    <xf numFmtId="164" fontId="129" fillId="33" borderId="4" xfId="1" applyFont="1" applyFill="1" applyBorder="1" applyAlignment="1">
      <alignment horizontal="left" vertical="center"/>
    </xf>
    <xf numFmtId="164" fontId="130" fillId="33" borderId="3" xfId="1" applyFont="1" applyFill="1" applyBorder="1" applyAlignment="1">
      <alignment horizontal="left" vertical="center"/>
    </xf>
    <xf numFmtId="168" fontId="124" fillId="33" borderId="29" xfId="69" applyFont="1" applyFill="1" applyBorder="1" applyAlignment="1">
      <alignment horizontal="left" vertical="center"/>
    </xf>
    <xf numFmtId="168" fontId="124" fillId="33" borderId="7" xfId="69" applyFont="1" applyFill="1" applyBorder="1" applyAlignment="1">
      <alignment horizontal="center" vertical="center" shrinkToFit="1"/>
    </xf>
    <xf numFmtId="164" fontId="129" fillId="33" borderId="1" xfId="1" applyFont="1" applyFill="1" applyBorder="1" applyAlignment="1">
      <alignment horizontal="left" vertical="center"/>
    </xf>
    <xf numFmtId="164" fontId="130" fillId="33" borderId="7" xfId="1" applyFont="1" applyFill="1" applyBorder="1" applyAlignment="1">
      <alignment horizontal="left" vertical="center"/>
    </xf>
    <xf numFmtId="168" fontId="116" fillId="4" borderId="2" xfId="69" applyFont="1" applyFill="1" applyBorder="1" applyAlignment="1">
      <alignment horizontal="center" vertical="top"/>
    </xf>
    <xf numFmtId="164" fontId="116" fillId="4" borderId="30" xfId="1" applyFont="1" applyFill="1" applyBorder="1" applyAlignment="1">
      <alignment horizontal="left" vertical="center" shrinkToFit="1"/>
    </xf>
    <xf numFmtId="168" fontId="116" fillId="4" borderId="30" xfId="69" applyFont="1" applyFill="1" applyBorder="1" applyAlignment="1">
      <alignment horizontal="center" vertical="top"/>
    </xf>
    <xf numFmtId="168" fontId="116" fillId="4" borderId="0" xfId="69" applyFont="1" applyFill="1" applyAlignment="1">
      <alignment vertical="top"/>
    </xf>
    <xf numFmtId="168" fontId="124" fillId="34" borderId="8" xfId="69" applyFont="1" applyFill="1" applyBorder="1" applyAlignment="1">
      <alignment vertical="center"/>
    </xf>
    <xf numFmtId="168" fontId="133" fillId="34" borderId="9" xfId="69" applyFont="1" applyFill="1" applyBorder="1" applyAlignment="1">
      <alignment horizontal="center" vertical="center" shrinkToFit="1"/>
    </xf>
    <xf numFmtId="168" fontId="133" fillId="34" borderId="8" xfId="69" applyFont="1" applyFill="1" applyBorder="1" applyAlignment="1">
      <alignment vertical="center" shrinkToFit="1"/>
    </xf>
    <xf numFmtId="164" fontId="129" fillId="34" borderId="9" xfId="1" applyFont="1" applyFill="1" applyBorder="1" applyAlignment="1">
      <alignment horizontal="left" vertical="center" shrinkToFit="1"/>
    </xf>
    <xf numFmtId="164" fontId="130" fillId="34" borderId="9" xfId="1" applyFont="1" applyFill="1" applyBorder="1" applyAlignment="1">
      <alignment horizontal="left" vertical="center" shrinkToFit="1"/>
    </xf>
    <xf numFmtId="168" fontId="133" fillId="4" borderId="30" xfId="69" applyFont="1" applyFill="1" applyBorder="1" applyAlignment="1">
      <alignment horizontal="center" vertical="top"/>
    </xf>
    <xf numFmtId="168" fontId="128" fillId="32" borderId="9" xfId="69" applyFont="1" applyFill="1" applyBorder="1"/>
    <xf numFmtId="168" fontId="128" fillId="32" borderId="11" xfId="69" applyFont="1" applyFill="1" applyBorder="1" applyAlignment="1">
      <alignment horizontal="center" vertical="center" shrinkToFit="1"/>
    </xf>
    <xf numFmtId="168" fontId="128" fillId="32" borderId="9" xfId="69" applyFont="1" applyFill="1" applyBorder="1" applyAlignment="1">
      <alignment horizontal="center" vertical="top"/>
    </xf>
    <xf numFmtId="164" fontId="134" fillId="32" borderId="10" xfId="1" applyFont="1" applyFill="1" applyBorder="1" applyAlignment="1">
      <alignment horizontal="left" vertical="center" shrinkToFit="1"/>
    </xf>
    <xf numFmtId="168" fontId="127" fillId="4" borderId="30" xfId="30" applyFont="1" applyFill="1" applyBorder="1"/>
    <xf numFmtId="168" fontId="118" fillId="0" borderId="0" xfId="70" applyFont="1" applyAlignment="1">
      <alignment horizontal="center" shrinkToFit="1"/>
    </xf>
    <xf numFmtId="168" fontId="118" fillId="4" borderId="30" xfId="70" applyFont="1" applyFill="1" applyBorder="1" applyAlignment="1">
      <alignment horizontal="center" wrapText="1"/>
    </xf>
    <xf numFmtId="3" fontId="118" fillId="4" borderId="0" xfId="71" applyNumberFormat="1" applyFont="1" applyFill="1" applyAlignment="1">
      <alignment horizontal="center" vertical="center" wrapText="1"/>
    </xf>
    <xf numFmtId="164" fontId="116" fillId="0" borderId="13" xfId="1" applyFont="1" applyFill="1" applyBorder="1" applyAlignment="1">
      <alignment horizontal="center" vertical="center" shrinkToFit="1"/>
    </xf>
    <xf numFmtId="168" fontId="118" fillId="4" borderId="0" xfId="71" applyFont="1" applyFill="1" applyAlignment="1">
      <alignment wrapText="1"/>
    </xf>
    <xf numFmtId="177" fontId="118" fillId="4" borderId="0" xfId="71" applyNumberFormat="1" applyFont="1" applyFill="1" applyAlignment="1">
      <alignment horizontal="right" vertical="center" wrapText="1"/>
    </xf>
    <xf numFmtId="4" fontId="118" fillId="4" borderId="0" xfId="71" applyNumberFormat="1" applyFont="1" applyFill="1" applyAlignment="1">
      <alignment horizontal="right" wrapText="1"/>
    </xf>
    <xf numFmtId="168" fontId="127" fillId="4" borderId="0" xfId="30" applyFont="1" applyFill="1"/>
    <xf numFmtId="168" fontId="118" fillId="4" borderId="0" xfId="70" applyFont="1" applyFill="1" applyAlignment="1">
      <alignment horizontal="center" shrinkToFit="1"/>
    </xf>
    <xf numFmtId="164" fontId="129" fillId="4" borderId="30" xfId="1" applyFont="1" applyFill="1" applyBorder="1" applyAlignment="1">
      <alignment horizontal="left" vertical="center" wrapText="1"/>
    </xf>
    <xf numFmtId="164" fontId="134" fillId="4" borderId="13" xfId="1" applyFont="1" applyFill="1" applyBorder="1" applyAlignment="1">
      <alignment horizontal="left" vertical="center" wrapText="1"/>
    </xf>
    <xf numFmtId="168" fontId="118" fillId="4" borderId="30" xfId="70" applyFont="1" applyFill="1" applyBorder="1" applyAlignment="1">
      <alignment wrapText="1"/>
    </xf>
    <xf numFmtId="177" fontId="134" fillId="4" borderId="13" xfId="71" applyNumberFormat="1" applyFont="1" applyFill="1" applyBorder="1" applyAlignment="1">
      <alignment horizontal="left" vertical="center" wrapText="1"/>
    </xf>
    <xf numFmtId="164" fontId="129" fillId="4" borderId="6" xfId="1" applyFont="1" applyFill="1" applyBorder="1" applyAlignment="1">
      <alignment horizontal="left" vertical="center" wrapText="1"/>
    </xf>
    <xf numFmtId="168" fontId="128" fillId="32" borderId="4" xfId="69" applyFont="1" applyFill="1" applyBorder="1" applyAlignment="1">
      <alignment horizontal="center" vertical="top"/>
    </xf>
    <xf numFmtId="164" fontId="134" fillId="32" borderId="9" xfId="1" applyFont="1" applyFill="1" applyBorder="1" applyAlignment="1">
      <alignment horizontal="left" vertical="center" shrinkToFit="1"/>
    </xf>
    <xf numFmtId="168" fontId="131" fillId="0" borderId="5" xfId="69" applyFont="1" applyBorder="1"/>
    <xf numFmtId="168" fontId="116" fillId="0" borderId="2" xfId="69" applyFont="1" applyBorder="1" applyAlignment="1">
      <alignment horizontal="center" vertical="top" wrapText="1"/>
    </xf>
    <xf numFmtId="168" fontId="116" fillId="0" borderId="0" xfId="69" applyFont="1" applyAlignment="1">
      <alignment horizontal="center" vertical="center" shrinkToFit="1"/>
    </xf>
    <xf numFmtId="164" fontId="116" fillId="4" borderId="30" xfId="1" applyFont="1" applyFill="1" applyBorder="1" applyAlignment="1">
      <alignment horizontal="left"/>
    </xf>
    <xf numFmtId="168" fontId="116" fillId="0" borderId="30" xfId="69" applyFont="1" applyBorder="1" applyAlignment="1">
      <alignment horizontal="center" vertical="top" wrapText="1"/>
    </xf>
    <xf numFmtId="164" fontId="129" fillId="0" borderId="30" xfId="1" applyFont="1" applyFill="1" applyBorder="1" applyAlignment="1">
      <alignment horizontal="left"/>
    </xf>
    <xf numFmtId="164" fontId="134" fillId="0" borderId="30" xfId="1" applyFont="1" applyFill="1" applyBorder="1" applyAlignment="1">
      <alignment horizontal="left"/>
    </xf>
    <xf numFmtId="164" fontId="136" fillId="0" borderId="5" xfId="1" applyFont="1" applyFill="1" applyBorder="1" applyAlignment="1">
      <alignment horizontal="left"/>
    </xf>
    <xf numFmtId="164" fontId="134" fillId="4" borderId="30" xfId="1" applyFont="1" applyFill="1" applyBorder="1" applyAlignment="1">
      <alignment horizontal="left"/>
    </xf>
    <xf numFmtId="168" fontId="116" fillId="0" borderId="30" xfId="69" applyFont="1" applyBorder="1" applyAlignment="1">
      <alignment vertical="top" wrapText="1"/>
    </xf>
    <xf numFmtId="164" fontId="116" fillId="0" borderId="30" xfId="1" applyFont="1" applyFill="1" applyBorder="1" applyAlignment="1">
      <alignment vertical="center"/>
    </xf>
    <xf numFmtId="164" fontId="116" fillId="0" borderId="6" xfId="1" applyFont="1" applyFill="1" applyBorder="1" applyAlignment="1">
      <alignment vertical="center"/>
    </xf>
    <xf numFmtId="164" fontId="130" fillId="4" borderId="30" xfId="1" applyFont="1" applyFill="1" applyBorder="1" applyAlignment="1">
      <alignment horizontal="left"/>
    </xf>
    <xf numFmtId="168" fontId="124" fillId="35" borderId="29" xfId="69" applyFont="1" applyFill="1" applyBorder="1" applyAlignment="1">
      <alignment vertical="center"/>
    </xf>
    <xf numFmtId="164" fontId="129" fillId="35" borderId="1" xfId="1" applyFont="1" applyFill="1" applyBorder="1" applyAlignment="1">
      <alignment horizontal="left" vertical="center"/>
    </xf>
    <xf numFmtId="164" fontId="130" fillId="35" borderId="7" xfId="1" applyFont="1" applyFill="1" applyBorder="1" applyAlignment="1">
      <alignment horizontal="left" vertical="center"/>
    </xf>
    <xf numFmtId="0" fontId="127" fillId="0" borderId="30" xfId="31" applyFont="1" applyBorder="1" applyAlignment="1">
      <alignment horizontal="center" vertical="center" shrinkToFit="1"/>
    </xf>
    <xf numFmtId="168" fontId="116" fillId="2" borderId="0" xfId="69" applyFont="1" applyFill="1" applyAlignment="1">
      <alignment horizontal="center" vertical="top"/>
    </xf>
    <xf numFmtId="164" fontId="116" fillId="4" borderId="30" xfId="1" applyFont="1" applyFill="1" applyBorder="1" applyAlignment="1">
      <alignment horizontal="center" vertical="center"/>
    </xf>
    <xf numFmtId="0" fontId="116" fillId="0" borderId="30" xfId="31" applyFont="1" applyBorder="1" applyAlignment="1">
      <alignment horizontal="center" vertical="center" shrinkToFit="1"/>
    </xf>
    <xf numFmtId="168" fontId="137" fillId="4" borderId="0" xfId="69" applyFont="1" applyFill="1" applyAlignment="1">
      <alignment horizontal="center" vertical="top"/>
    </xf>
    <xf numFmtId="164" fontId="129" fillId="4" borderId="30" xfId="1" applyFont="1" applyFill="1" applyBorder="1" applyAlignment="1">
      <alignment horizontal="left"/>
    </xf>
    <xf numFmtId="168" fontId="131" fillId="4" borderId="30" xfId="69" applyFont="1" applyFill="1" applyBorder="1" applyAlignment="1">
      <alignment horizontal="center" vertical="center" shrinkToFit="1"/>
    </xf>
    <xf numFmtId="168" fontId="116" fillId="4" borderId="0" xfId="69" applyFont="1" applyFill="1" applyAlignment="1">
      <alignment horizontal="center" vertical="top"/>
    </xf>
    <xf numFmtId="164" fontId="134" fillId="4" borderId="30" xfId="1" applyFont="1" applyFill="1" applyBorder="1" applyAlignment="1">
      <alignment horizontal="left" vertical="center" shrinkToFit="1"/>
    </xf>
    <xf numFmtId="168" fontId="116" fillId="0" borderId="0" xfId="69" applyFont="1" applyAlignment="1">
      <alignment vertical="top"/>
    </xf>
    <xf numFmtId="164" fontId="134" fillId="34" borderId="9" xfId="1" applyFont="1" applyFill="1" applyBorder="1" applyAlignment="1">
      <alignment horizontal="left" vertical="center" shrinkToFit="1"/>
    </xf>
    <xf numFmtId="168" fontId="116" fillId="4" borderId="30" xfId="69" applyFont="1" applyFill="1" applyBorder="1" applyAlignment="1">
      <alignment vertical="top"/>
    </xf>
    <xf numFmtId="168" fontId="131" fillId="4" borderId="2" xfId="69" applyFont="1" applyFill="1" applyBorder="1"/>
    <xf numFmtId="0" fontId="127" fillId="4" borderId="30" xfId="31" applyFont="1" applyFill="1" applyBorder="1" applyAlignment="1">
      <alignment horizontal="center" vertical="center" shrinkToFit="1"/>
    </xf>
    <xf numFmtId="168" fontId="131" fillId="4" borderId="30" xfId="69" applyFont="1" applyFill="1" applyBorder="1"/>
    <xf numFmtId="0" fontId="116" fillId="4" borderId="30" xfId="31" applyFont="1" applyFill="1" applyBorder="1" applyAlignment="1">
      <alignment horizontal="center" vertical="center" shrinkToFit="1"/>
    </xf>
    <xf numFmtId="168" fontId="131" fillId="4" borderId="6" xfId="69" applyFont="1" applyFill="1" applyBorder="1"/>
    <xf numFmtId="168" fontId="116" fillId="4" borderId="12" xfId="69" applyFont="1" applyFill="1" applyBorder="1" applyAlignment="1">
      <alignment horizontal="center" vertical="center" shrinkToFit="1"/>
    </xf>
    <xf numFmtId="168" fontId="116" fillId="4" borderId="29" xfId="69" applyFont="1" applyFill="1" applyBorder="1" applyAlignment="1">
      <alignment horizontal="center" vertical="center" shrinkToFit="1"/>
    </xf>
    <xf numFmtId="164" fontId="129" fillId="4" borderId="6" xfId="1" applyFont="1" applyFill="1" applyBorder="1" applyAlignment="1">
      <alignment horizontal="left" vertical="center" shrinkToFit="1"/>
    </xf>
    <xf numFmtId="164" fontId="133" fillId="4" borderId="30" xfId="1" applyFont="1" applyFill="1" applyBorder="1" applyAlignment="1">
      <alignment horizontal="left" vertical="center" shrinkToFit="1"/>
    </xf>
    <xf numFmtId="168" fontId="116" fillId="4" borderId="30" xfId="69" applyFont="1" applyFill="1" applyBorder="1" applyAlignment="1">
      <alignment horizontal="left" vertical="top"/>
    </xf>
    <xf numFmtId="164" fontId="138" fillId="4" borderId="30" xfId="1" applyFont="1" applyFill="1" applyBorder="1" applyAlignment="1">
      <alignment horizontal="left" vertical="center" shrinkToFit="1"/>
    </xf>
    <xf numFmtId="164" fontId="129" fillId="33" borderId="3" xfId="1" applyFont="1" applyFill="1" applyBorder="1" applyAlignment="1">
      <alignment horizontal="left" vertical="center"/>
    </xf>
    <xf numFmtId="164" fontId="134" fillId="33" borderId="3" xfId="1" applyFont="1" applyFill="1" applyBorder="1" applyAlignment="1">
      <alignment horizontal="left" vertical="center"/>
    </xf>
    <xf numFmtId="164" fontId="129" fillId="35" borderId="7" xfId="1" applyFont="1" applyFill="1" applyBorder="1" applyAlignment="1">
      <alignment horizontal="left" vertical="center"/>
    </xf>
    <xf numFmtId="164" fontId="134" fillId="35" borderId="7" xfId="1" applyFont="1" applyFill="1" applyBorder="1" applyAlignment="1">
      <alignment horizontal="left" vertical="center"/>
    </xf>
    <xf numFmtId="168" fontId="124" fillId="34" borderId="9" xfId="69" applyFont="1" applyFill="1" applyBorder="1" applyAlignment="1">
      <alignment horizontal="center" vertical="center" shrinkToFit="1"/>
    </xf>
    <xf numFmtId="168" fontId="124" fillId="34" borderId="11" xfId="69" applyFont="1" applyFill="1" applyBorder="1" applyAlignment="1">
      <alignment horizontal="center" vertical="top"/>
    </xf>
    <xf numFmtId="168" fontId="124" fillId="34" borderId="8" xfId="69" applyFont="1" applyFill="1" applyBorder="1" applyAlignment="1">
      <alignment vertical="center" shrinkToFit="1"/>
    </xf>
    <xf numFmtId="164" fontId="129" fillId="34" borderId="9" xfId="1" applyFont="1" applyFill="1" applyBorder="1" applyAlignment="1">
      <alignment vertical="center" shrinkToFit="1"/>
    </xf>
    <xf numFmtId="168" fontId="134" fillId="34" borderId="9" xfId="69" applyFont="1" applyFill="1" applyBorder="1" applyAlignment="1">
      <alignment vertical="center" shrinkToFit="1"/>
    </xf>
    <xf numFmtId="164" fontId="116" fillId="4" borderId="2" xfId="1" applyFont="1" applyFill="1" applyBorder="1" applyAlignment="1">
      <alignment horizontal="left" vertical="center" shrinkToFit="1"/>
    </xf>
    <xf numFmtId="0" fontId="116" fillId="0" borderId="0" xfId="69" applyNumberFormat="1" applyFont="1"/>
    <xf numFmtId="168" fontId="139" fillId="4" borderId="0" xfId="69" applyFont="1" applyFill="1" applyAlignment="1">
      <alignment horizontal="center" vertical="top"/>
    </xf>
    <xf numFmtId="168" fontId="116" fillId="4" borderId="13" xfId="69" applyFont="1" applyFill="1" applyBorder="1" applyAlignment="1">
      <alignment horizontal="center" vertical="center" shrinkToFit="1"/>
    </xf>
    <xf numFmtId="164" fontId="129" fillId="32" borderId="2" xfId="1" applyFont="1" applyFill="1" applyBorder="1" applyAlignment="1">
      <alignment horizontal="left" vertical="center" shrinkToFit="1"/>
    </xf>
    <xf numFmtId="164" fontId="129" fillId="0" borderId="30" xfId="1" applyFont="1" applyBorder="1" applyAlignment="1">
      <alignment horizontal="left"/>
    </xf>
    <xf numFmtId="164" fontId="134" fillId="4" borderId="13" xfId="1" applyFont="1" applyFill="1" applyBorder="1" applyAlignment="1">
      <alignment horizontal="left" vertical="center" shrinkToFit="1"/>
    </xf>
    <xf numFmtId="164" fontId="116" fillId="4" borderId="6" xfId="1" applyFont="1" applyFill="1" applyBorder="1" applyAlignment="1">
      <alignment horizontal="left" vertical="center" shrinkToFit="1"/>
    </xf>
    <xf numFmtId="168" fontId="116" fillId="32" borderId="8" xfId="69" applyFont="1" applyFill="1" applyBorder="1" applyAlignment="1">
      <alignment horizontal="center" vertical="center" shrinkToFit="1"/>
    </xf>
    <xf numFmtId="168" fontId="116" fillId="34" borderId="8" xfId="69" applyFont="1" applyFill="1" applyBorder="1" applyAlignment="1">
      <alignment vertical="center" shrinkToFit="1"/>
    </xf>
    <xf numFmtId="164" fontId="129" fillId="0" borderId="0" xfId="1" applyFont="1" applyAlignment="1">
      <alignment horizontal="left"/>
    </xf>
    <xf numFmtId="168" fontId="116" fillId="0" borderId="2" xfId="69" applyFont="1" applyBorder="1" applyAlignment="1">
      <alignment horizontal="center" vertical="center" shrinkToFit="1"/>
    </xf>
    <xf numFmtId="164" fontId="134" fillId="4" borderId="7" xfId="1" applyFont="1" applyFill="1" applyBorder="1" applyAlignment="1">
      <alignment horizontal="left" vertical="center" shrinkToFit="1"/>
    </xf>
    <xf numFmtId="168" fontId="131" fillId="4" borderId="12" xfId="69" applyFont="1" applyFill="1" applyBorder="1"/>
    <xf numFmtId="168" fontId="116" fillId="4" borderId="4" xfId="69" applyFont="1" applyFill="1" applyBorder="1" applyAlignment="1">
      <alignment horizontal="center" vertical="center" shrinkToFit="1"/>
    </xf>
    <xf numFmtId="168" fontId="116" fillId="4" borderId="4" xfId="69" applyFont="1" applyFill="1" applyBorder="1" applyAlignment="1">
      <alignment horizontal="center" vertical="top" wrapText="1"/>
    </xf>
    <xf numFmtId="164" fontId="129" fillId="4" borderId="4" xfId="1" applyFont="1" applyFill="1" applyBorder="1" applyAlignment="1">
      <alignment horizontal="left"/>
    </xf>
    <xf numFmtId="164" fontId="130" fillId="4" borderId="3" xfId="1" applyFont="1" applyFill="1" applyBorder="1" applyAlignment="1">
      <alignment horizontal="left"/>
    </xf>
    <xf numFmtId="168" fontId="116" fillId="4" borderId="0" xfId="69" applyFont="1" applyFill="1" applyAlignment="1">
      <alignment horizontal="center" vertical="center" shrinkToFit="1"/>
    </xf>
    <xf numFmtId="168" fontId="116" fillId="4" borderId="0" xfId="69" applyFont="1" applyFill="1" applyAlignment="1">
      <alignment horizontal="center" vertical="top" wrapText="1"/>
    </xf>
    <xf numFmtId="164" fontId="129" fillId="4" borderId="0" xfId="1" applyFont="1" applyFill="1" applyBorder="1" applyAlignment="1">
      <alignment horizontal="left"/>
    </xf>
    <xf numFmtId="164" fontId="130" fillId="4" borderId="13" xfId="1" applyFont="1" applyFill="1" applyBorder="1" applyAlignment="1">
      <alignment horizontal="left"/>
    </xf>
    <xf numFmtId="168" fontId="131" fillId="4" borderId="29" xfId="69" applyFont="1" applyFill="1" applyBorder="1"/>
    <xf numFmtId="168" fontId="116" fillId="4" borderId="1" xfId="69" applyFont="1" applyFill="1" applyBorder="1" applyAlignment="1">
      <alignment horizontal="center" vertical="center" shrinkToFit="1"/>
    </xf>
    <xf numFmtId="168" fontId="116" fillId="4" borderId="1" xfId="69" applyFont="1" applyFill="1" applyBorder="1" applyAlignment="1">
      <alignment horizontal="center" vertical="top" wrapText="1"/>
    </xf>
    <xf numFmtId="164" fontId="129" fillId="4" borderId="1" xfId="1" applyFont="1" applyFill="1" applyBorder="1" applyAlignment="1">
      <alignment horizontal="left"/>
    </xf>
    <xf numFmtId="164" fontId="130" fillId="4" borderId="7" xfId="1" applyFont="1" applyFill="1" applyBorder="1" applyAlignment="1">
      <alignment horizontal="left"/>
    </xf>
    <xf numFmtId="164" fontId="116" fillId="32" borderId="9" xfId="1" applyFont="1" applyFill="1" applyBorder="1" applyAlignment="1">
      <alignment horizontal="left" vertical="center" shrinkToFit="1"/>
    </xf>
    <xf numFmtId="168" fontId="116" fillId="4" borderId="30" xfId="69" applyFont="1" applyFill="1" applyBorder="1" applyAlignment="1">
      <alignment horizontal="center" vertical="top" shrinkToFit="1"/>
    </xf>
    <xf numFmtId="164" fontId="116" fillId="4" borderId="30" xfId="1" applyFont="1" applyFill="1" applyBorder="1" applyAlignment="1">
      <alignment vertical="center" wrapText="1"/>
    </xf>
    <xf numFmtId="164" fontId="116" fillId="4" borderId="6" xfId="1" applyFont="1" applyFill="1" applyBorder="1" applyAlignment="1">
      <alignment vertical="center" wrapText="1"/>
    </xf>
    <xf numFmtId="168" fontId="140" fillId="4" borderId="30" xfId="69" applyFont="1" applyFill="1" applyBorder="1" applyAlignment="1">
      <alignment horizontal="center" vertical="center" shrinkToFit="1"/>
    </xf>
    <xf numFmtId="164" fontId="129" fillId="33" borderId="12" xfId="1" applyFont="1" applyFill="1" applyBorder="1" applyAlignment="1">
      <alignment horizontal="left" vertical="center"/>
    </xf>
    <xf numFmtId="168" fontId="130" fillId="33" borderId="2" xfId="69" applyFont="1" applyFill="1" applyBorder="1" applyAlignment="1">
      <alignment horizontal="left" vertical="center"/>
    </xf>
    <xf numFmtId="164" fontId="129" fillId="35" borderId="29" xfId="1" applyFont="1" applyFill="1" applyBorder="1" applyAlignment="1">
      <alignment horizontal="left" vertical="center"/>
    </xf>
    <xf numFmtId="168" fontId="130" fillId="35" borderId="6" xfId="69" applyFont="1" applyFill="1" applyBorder="1" applyAlignment="1">
      <alignment horizontal="left" vertical="center"/>
    </xf>
    <xf numFmtId="168" fontId="116" fillId="4" borderId="2" xfId="69" applyFont="1" applyFill="1" applyBorder="1" applyAlignment="1">
      <alignment horizontal="center" vertical="center" shrinkToFit="1"/>
    </xf>
    <xf numFmtId="168" fontId="116" fillId="4" borderId="2" xfId="69" applyFont="1" applyFill="1" applyBorder="1" applyAlignment="1">
      <alignment horizontal="center" vertical="top" wrapText="1"/>
    </xf>
    <xf numFmtId="168" fontId="116" fillId="4" borderId="30" xfId="69" applyFont="1" applyFill="1" applyBorder="1" applyAlignment="1">
      <alignment horizontal="center" vertical="top" wrapText="1"/>
    </xf>
    <xf numFmtId="168" fontId="130" fillId="4" borderId="30" xfId="69" applyFont="1" applyFill="1" applyBorder="1" applyAlignment="1">
      <alignment horizontal="center" vertical="top"/>
    </xf>
    <xf numFmtId="164" fontId="116" fillId="4" borderId="5"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16" fillId="4" borderId="6" xfId="69" applyFont="1" applyFill="1" applyBorder="1" applyAlignment="1">
      <alignment horizontal="center" vertical="top" wrapText="1"/>
    </xf>
    <xf numFmtId="0" fontId="116" fillId="0" borderId="30" xfId="69" applyNumberFormat="1" applyFont="1" applyBorder="1" applyAlignment="1">
      <alignment horizontal="center"/>
    </xf>
    <xf numFmtId="164" fontId="116" fillId="0" borderId="5" xfId="1" applyFont="1" applyFill="1" applyBorder="1" applyAlignment="1">
      <alignment horizontal="left" vertical="center" shrinkToFit="1"/>
    </xf>
    <xf numFmtId="164" fontId="130" fillId="32" borderId="9" xfId="1" applyFont="1" applyFill="1" applyBorder="1" applyAlignment="1">
      <alignment horizontal="center" vertical="center" shrinkToFit="1"/>
    </xf>
    <xf numFmtId="164" fontId="130" fillId="4" borderId="30" xfId="1" applyFont="1" applyFill="1" applyBorder="1" applyAlignment="1"/>
    <xf numFmtId="168" fontId="116" fillId="4" borderId="30" xfId="69" applyFont="1" applyFill="1" applyBorder="1" applyAlignment="1">
      <alignment vertical="top" wrapText="1"/>
    </xf>
    <xf numFmtId="168" fontId="132" fillId="4" borderId="30" xfId="69" applyFont="1" applyFill="1" applyBorder="1" applyAlignment="1">
      <alignment horizontal="center" vertical="top"/>
    </xf>
    <xf numFmtId="168" fontId="128" fillId="4" borderId="5" xfId="69" applyFont="1" applyFill="1" applyBorder="1"/>
    <xf numFmtId="168" fontId="116" fillId="0" borderId="30" xfId="69" applyFont="1" applyBorder="1"/>
    <xf numFmtId="168" fontId="128" fillId="0" borderId="5" xfId="69" applyFont="1" applyBorder="1" applyAlignment="1">
      <alignment horizontal="center" vertical="center" shrinkToFit="1"/>
    </xf>
    <xf numFmtId="168" fontId="128" fillId="4" borderId="30" xfId="69" applyFont="1" applyFill="1" applyBorder="1" applyAlignment="1">
      <alignment horizontal="center" vertical="top"/>
    </xf>
    <xf numFmtId="168" fontId="128" fillId="4" borderId="0" xfId="69" applyFont="1" applyFill="1" applyAlignment="1">
      <alignment horizontal="center" vertical="center" shrinkToFit="1"/>
    </xf>
    <xf numFmtId="168" fontId="128" fillId="32" borderId="29" xfId="69" applyFont="1" applyFill="1" applyBorder="1"/>
    <xf numFmtId="168" fontId="128" fillId="32" borderId="6" xfId="69" applyFont="1" applyFill="1" applyBorder="1" applyAlignment="1">
      <alignment horizontal="center" vertical="center" shrinkToFit="1"/>
    </xf>
    <xf numFmtId="168" fontId="128" fillId="32" borderId="1" xfId="69" applyFont="1" applyFill="1" applyBorder="1" applyAlignment="1">
      <alignment horizontal="center" vertical="top"/>
    </xf>
    <xf numFmtId="168" fontId="128" fillId="32" borderId="29" xfId="69" applyFont="1" applyFill="1" applyBorder="1" applyAlignment="1">
      <alignment horizontal="center" vertical="center" shrinkToFit="1"/>
    </xf>
    <xf numFmtId="164" fontId="129" fillId="32" borderId="6" xfId="1" applyFont="1" applyFill="1" applyBorder="1" applyAlignment="1">
      <alignment horizontal="left" vertical="center" shrinkToFit="1"/>
    </xf>
    <xf numFmtId="164" fontId="130" fillId="32" borderId="6" xfId="1" applyFont="1" applyFill="1" applyBorder="1" applyAlignment="1">
      <alignment horizontal="left" vertical="center" shrinkToFit="1"/>
    </xf>
    <xf numFmtId="164" fontId="116" fillId="4" borderId="5" xfId="1" applyFont="1" applyFill="1" applyBorder="1" applyAlignment="1">
      <alignment horizontal="left"/>
    </xf>
    <xf numFmtId="164" fontId="129" fillId="4" borderId="5" xfId="1" applyFont="1" applyFill="1" applyBorder="1" applyAlignment="1">
      <alignment horizontal="left"/>
    </xf>
    <xf numFmtId="164" fontId="129" fillId="4" borderId="5" xfId="1" applyFont="1" applyFill="1" applyBorder="1" applyAlignment="1">
      <alignment horizontal="left" vertical="center" shrinkToFit="1"/>
    </xf>
    <xf numFmtId="168" fontId="116" fillId="4" borderId="6" xfId="69" applyFont="1" applyFill="1" applyBorder="1" applyAlignment="1">
      <alignment vertical="top"/>
    </xf>
    <xf numFmtId="164" fontId="130" fillId="33" borderId="2" xfId="1" applyFont="1" applyFill="1" applyBorder="1" applyAlignment="1">
      <alignment horizontal="left" vertical="center"/>
    </xf>
    <xf numFmtId="164" fontId="130" fillId="35" borderId="6" xfId="1" applyFont="1" applyFill="1" applyBorder="1" applyAlignment="1">
      <alignment horizontal="left" vertical="center"/>
    </xf>
    <xf numFmtId="164" fontId="129" fillId="32" borderId="8" xfId="1" applyFont="1" applyFill="1" applyBorder="1" applyAlignment="1">
      <alignment horizontal="left" vertical="center" shrinkToFit="1"/>
    </xf>
    <xf numFmtId="168" fontId="133" fillId="4" borderId="0" xfId="69" applyFont="1" applyFill="1" applyAlignment="1">
      <alignment horizontal="center" vertical="top"/>
    </xf>
    <xf numFmtId="168" fontId="141" fillId="4" borderId="30" xfId="69" applyFont="1" applyFill="1" applyBorder="1" applyAlignment="1">
      <alignment horizontal="center" vertical="center" shrinkToFit="1"/>
    </xf>
    <xf numFmtId="168" fontId="141" fillId="4" borderId="30" xfId="69" applyFont="1" applyFill="1" applyBorder="1" applyAlignment="1">
      <alignment vertical="top" wrapText="1"/>
    </xf>
    <xf numFmtId="168" fontId="131" fillId="4" borderId="5" xfId="69" applyFont="1" applyFill="1" applyBorder="1" applyAlignment="1">
      <alignment vertical="center"/>
    </xf>
    <xf numFmtId="0" fontId="116" fillId="0" borderId="30" xfId="69" applyNumberFormat="1" applyFont="1" applyBorder="1" applyAlignment="1">
      <alignment horizontal="center" vertical="center" shrinkToFit="1"/>
    </xf>
    <xf numFmtId="168" fontId="131" fillId="4" borderId="29" xfId="69" applyFont="1" applyFill="1" applyBorder="1" applyAlignment="1">
      <alignment vertical="center"/>
    </xf>
    <xf numFmtId="168" fontId="116" fillId="4" borderId="4" xfId="69" applyFont="1" applyFill="1" applyBorder="1" applyAlignment="1">
      <alignment horizontal="center" vertical="top"/>
    </xf>
    <xf numFmtId="168" fontId="142" fillId="4" borderId="30" xfId="30" applyFont="1" applyFill="1" applyBorder="1"/>
    <xf numFmtId="168" fontId="142" fillId="4" borderId="0" xfId="30" applyFont="1" applyFill="1" applyAlignment="1">
      <alignment horizontal="center" shrinkToFit="1"/>
    </xf>
    <xf numFmtId="177" fontId="118" fillId="4" borderId="30" xfId="30" applyNumberFormat="1" applyFont="1" applyFill="1" applyBorder="1" applyAlignment="1">
      <alignment horizontal="right"/>
    </xf>
    <xf numFmtId="168" fontId="118" fillId="4" borderId="0" xfId="30" applyFont="1" applyFill="1" applyAlignment="1">
      <alignment horizontal="left"/>
    </xf>
    <xf numFmtId="168" fontId="130" fillId="4" borderId="30" xfId="30" applyFont="1" applyFill="1" applyBorder="1" applyAlignment="1">
      <alignment horizontal="left"/>
    </xf>
    <xf numFmtId="164" fontId="136" fillId="4" borderId="5" xfId="1" applyFont="1" applyFill="1" applyBorder="1" applyAlignment="1">
      <alignment horizontal="left" vertical="center" wrapText="1"/>
    </xf>
    <xf numFmtId="168" fontId="118" fillId="4" borderId="0" xfId="72" applyFont="1" applyFill="1" applyAlignment="1">
      <alignment horizontal="center" shrinkToFit="1"/>
    </xf>
    <xf numFmtId="168" fontId="118" fillId="4" borderId="30" xfId="72" applyFont="1" applyFill="1" applyBorder="1" applyAlignment="1">
      <alignment horizontal="center"/>
    </xf>
    <xf numFmtId="3" fontId="118" fillId="4" borderId="0" xfId="72" applyNumberFormat="1" applyFont="1" applyFill="1" applyAlignment="1">
      <alignment horizontal="right"/>
    </xf>
    <xf numFmtId="164" fontId="116" fillId="4" borderId="5" xfId="1" applyFont="1" applyFill="1" applyBorder="1" applyAlignment="1">
      <alignment horizontal="left" vertical="center" wrapText="1"/>
    </xf>
    <xf numFmtId="164" fontId="134" fillId="4" borderId="30" xfId="72" applyNumberFormat="1" applyFont="1" applyFill="1" applyBorder="1" applyAlignment="1">
      <alignment horizontal="left"/>
    </xf>
    <xf numFmtId="164" fontId="134" fillId="4" borderId="30" xfId="1" applyFont="1" applyFill="1" applyBorder="1" applyAlignment="1">
      <alignment horizontal="left" vertical="center" wrapText="1"/>
    </xf>
    <xf numFmtId="164" fontId="134" fillId="4" borderId="30" xfId="71" applyNumberFormat="1" applyFont="1" applyFill="1" applyBorder="1" applyAlignment="1">
      <alignment horizontal="left" vertical="center" wrapText="1"/>
    </xf>
    <xf numFmtId="164" fontId="136" fillId="4" borderId="5" xfId="71" applyNumberFormat="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27" fillId="4" borderId="12" xfId="30" applyFont="1" applyFill="1" applyBorder="1"/>
    <xf numFmtId="168" fontId="118" fillId="0" borderId="2" xfId="73" applyFont="1" applyBorder="1" applyAlignment="1">
      <alignment horizontal="center" vertical="center" shrinkToFit="1"/>
    </xf>
    <xf numFmtId="168" fontId="118" fillId="4" borderId="4" xfId="73" applyFont="1" applyFill="1" applyBorder="1" applyAlignment="1">
      <alignment horizontal="center" vertical="center" wrapText="1"/>
    </xf>
    <xf numFmtId="3" fontId="118" fillId="4" borderId="2" xfId="71" applyNumberFormat="1" applyFont="1" applyFill="1" applyBorder="1" applyAlignment="1">
      <alignment horizontal="center" vertical="center" wrapText="1"/>
    </xf>
    <xf numFmtId="168" fontId="127" fillId="4" borderId="5" xfId="30" applyFont="1" applyFill="1" applyBorder="1"/>
    <xf numFmtId="168" fontId="118" fillId="0" borderId="30" xfId="73" applyFont="1" applyBorder="1" applyAlignment="1">
      <alignment horizontal="center" vertical="center" shrinkToFit="1"/>
    </xf>
    <xf numFmtId="168" fontId="118" fillId="4" borderId="0" xfId="73" applyFont="1" applyFill="1" applyAlignment="1">
      <alignment horizontal="center" vertical="center" wrapText="1"/>
    </xf>
    <xf numFmtId="3" fontId="118" fillId="4" borderId="30" xfId="71" applyNumberFormat="1" applyFont="1" applyFill="1" applyBorder="1" applyAlignment="1">
      <alignment horizontal="center" vertical="center" wrapText="1"/>
    </xf>
    <xf numFmtId="168" fontId="143" fillId="4" borderId="5" xfId="30" applyFont="1" applyFill="1" applyBorder="1"/>
    <xf numFmtId="168" fontId="143" fillId="4" borderId="0" xfId="30" applyFont="1" applyFill="1"/>
    <xf numFmtId="168" fontId="127" fillId="4" borderId="30" xfId="30" applyFont="1" applyFill="1" applyBorder="1" applyAlignment="1">
      <alignment horizontal="center" shrinkToFit="1"/>
    </xf>
    <xf numFmtId="177" fontId="127" fillId="4" borderId="0" xfId="30" applyNumberFormat="1" applyFont="1" applyFill="1" applyAlignment="1">
      <alignment horizontal="right"/>
    </xf>
    <xf numFmtId="168" fontId="134" fillId="4" borderId="30" xfId="30" applyFont="1" applyFill="1" applyBorder="1" applyAlignment="1">
      <alignment horizontal="left"/>
    </xf>
    <xf numFmtId="168" fontId="114" fillId="0" borderId="0" xfId="30" applyFont="1" applyAlignment="1">
      <alignment horizontal="center" vertical="center"/>
    </xf>
    <xf numFmtId="168" fontId="127" fillId="4" borderId="29" xfId="30" applyFont="1" applyFill="1" applyBorder="1"/>
    <xf numFmtId="168" fontId="127" fillId="4" borderId="6" xfId="30" applyFont="1" applyFill="1" applyBorder="1" applyAlignment="1">
      <alignment horizontal="center" shrinkToFit="1"/>
    </xf>
    <xf numFmtId="177" fontId="127" fillId="4" borderId="1" xfId="30" applyNumberFormat="1" applyFont="1" applyFill="1" applyBorder="1" applyAlignment="1">
      <alignment horizontal="right"/>
    </xf>
    <xf numFmtId="168" fontId="127" fillId="4" borderId="6" xfId="30" applyFont="1" applyFill="1" applyBorder="1"/>
    <xf numFmtId="168" fontId="134" fillId="4" borderId="6" xfId="30" applyFont="1" applyFill="1" applyBorder="1" applyAlignment="1">
      <alignment horizontal="left"/>
    </xf>
    <xf numFmtId="168" fontId="134" fillId="32" borderId="9" xfId="69" applyFont="1" applyFill="1" applyBorder="1" applyAlignment="1">
      <alignment horizontal="center" vertical="center" shrinkToFit="1"/>
    </xf>
    <xf numFmtId="0" fontId="127" fillId="0" borderId="2" xfId="32" applyFont="1" applyBorder="1" applyAlignment="1">
      <alignment horizontal="center" vertical="center" shrinkToFit="1"/>
    </xf>
    <xf numFmtId="0" fontId="127" fillId="4" borderId="0" xfId="32" applyFont="1" applyFill="1" applyAlignment="1">
      <alignment horizontal="center" vertical="center" wrapText="1"/>
    </xf>
    <xf numFmtId="0" fontId="127" fillId="0" borderId="30" xfId="32" applyFont="1" applyBorder="1" applyAlignment="1">
      <alignment horizontal="center" vertical="center" shrinkToFit="1"/>
    </xf>
    <xf numFmtId="168" fontId="118" fillId="4" borderId="30" xfId="73" applyFont="1" applyFill="1" applyBorder="1" applyAlignment="1">
      <alignment horizontal="center" vertical="center" shrinkToFit="1"/>
    </xf>
    <xf numFmtId="0" fontId="127" fillId="4" borderId="30" xfId="32" applyFont="1" applyFill="1" applyBorder="1" applyAlignment="1">
      <alignment horizontal="center" vertical="center"/>
    </xf>
    <xf numFmtId="4" fontId="118" fillId="0" borderId="0" xfId="71" applyNumberFormat="1" applyFont="1" applyAlignment="1">
      <alignment horizontal="right" wrapText="1"/>
    </xf>
    <xf numFmtId="168" fontId="127" fillId="0" borderId="0" xfId="30" applyFont="1"/>
    <xf numFmtId="168" fontId="128" fillId="32" borderId="2" xfId="69" applyFont="1" applyFill="1" applyBorder="1" applyAlignment="1">
      <alignment horizontal="center" vertical="top"/>
    </xf>
    <xf numFmtId="168" fontId="118" fillId="0" borderId="12" xfId="73" applyFont="1" applyBorder="1" applyAlignment="1">
      <alignment horizontal="center" vertical="center" shrinkToFit="1"/>
    </xf>
    <xf numFmtId="168" fontId="118" fillId="4" borderId="2" xfId="73" applyFont="1" applyFill="1" applyBorder="1" applyAlignment="1">
      <alignment horizontal="center" vertical="center" wrapText="1"/>
    </xf>
    <xf numFmtId="168" fontId="118" fillId="4" borderId="5" xfId="73" applyFont="1" applyFill="1" applyBorder="1" applyAlignment="1">
      <alignment horizontal="center" vertical="center" shrinkToFit="1"/>
    </xf>
    <xf numFmtId="168" fontId="118" fillId="4" borderId="30" xfId="73" applyFont="1" applyFill="1" applyBorder="1" applyAlignment="1">
      <alignment horizontal="center" vertical="center" wrapText="1"/>
    </xf>
    <xf numFmtId="164" fontId="129" fillId="4" borderId="0" xfId="1" applyFont="1" applyFill="1" applyBorder="1" applyAlignment="1">
      <alignment horizontal="left" vertical="center" wrapText="1"/>
    </xf>
    <xf numFmtId="177" fontId="130" fillId="4" borderId="30" xfId="71" applyNumberFormat="1" applyFont="1" applyFill="1" applyBorder="1" applyAlignment="1">
      <alignment horizontal="left" vertical="center" wrapText="1"/>
    </xf>
    <xf numFmtId="168" fontId="127" fillId="4" borderId="5" xfId="30" applyFont="1" applyFill="1" applyBorder="1" applyAlignment="1">
      <alignment horizontal="center" shrinkToFit="1"/>
    </xf>
    <xf numFmtId="177" fontId="127" fillId="4" borderId="30" xfId="30" applyNumberFormat="1" applyFont="1" applyFill="1" applyBorder="1" applyAlignment="1">
      <alignment horizontal="right"/>
    </xf>
    <xf numFmtId="168" fontId="127" fillId="4" borderId="13" xfId="30" applyFont="1" applyFill="1" applyBorder="1"/>
    <xf numFmtId="168" fontId="127" fillId="4" borderId="29" xfId="30" applyFont="1" applyFill="1" applyBorder="1" applyAlignment="1">
      <alignment horizontal="center" shrinkToFit="1"/>
    </xf>
    <xf numFmtId="177" fontId="127" fillId="4" borderId="6" xfId="30" applyNumberFormat="1" applyFont="1" applyFill="1" applyBorder="1" applyAlignment="1">
      <alignment horizontal="right"/>
    </xf>
    <xf numFmtId="168" fontId="127" fillId="4" borderId="7" xfId="30" applyFont="1" applyFill="1" applyBorder="1"/>
    <xf numFmtId="168" fontId="130" fillId="4" borderId="6" xfId="30" applyFont="1" applyFill="1" applyBorder="1" applyAlignment="1">
      <alignment horizontal="left"/>
    </xf>
    <xf numFmtId="164" fontId="129" fillId="34" borderId="8" xfId="1" applyFont="1" applyFill="1" applyBorder="1" applyAlignment="1">
      <alignment horizontal="left" vertical="center" shrinkToFit="1"/>
    </xf>
    <xf numFmtId="177" fontId="116" fillId="4" borderId="2" xfId="1" applyNumberFormat="1" applyFont="1" applyFill="1" applyBorder="1" applyAlignment="1">
      <alignment horizontal="right" vertical="center" wrapText="1" shrinkToFit="1"/>
    </xf>
    <xf numFmtId="164" fontId="116" fillId="4" borderId="30" xfId="1" applyFont="1" applyFill="1" applyBorder="1" applyAlignment="1">
      <alignment vertical="center" wrapText="1" shrinkToFit="1"/>
    </xf>
    <xf numFmtId="168" fontId="116" fillId="0" borderId="5" xfId="69" applyFont="1" applyBorder="1"/>
    <xf numFmtId="168" fontId="144" fillId="4" borderId="0" xfId="69" applyFont="1" applyFill="1" applyAlignment="1">
      <alignment horizontal="center" vertical="top"/>
    </xf>
    <xf numFmtId="164" fontId="116" fillId="4" borderId="6" xfId="1" applyFont="1" applyFill="1" applyBorder="1" applyAlignment="1">
      <alignment vertical="center" wrapText="1" shrinkToFit="1"/>
    </xf>
    <xf numFmtId="168" fontId="130" fillId="34" borderId="9" xfId="69" applyFont="1" applyFill="1" applyBorder="1" applyAlignment="1">
      <alignment vertical="center" shrinkToFit="1"/>
    </xf>
    <xf numFmtId="168" fontId="116" fillId="0" borderId="13" xfId="69" applyFont="1" applyBorder="1" applyAlignment="1">
      <alignment horizontal="center" vertical="center" shrinkToFit="1"/>
    </xf>
    <xf numFmtId="168" fontId="116" fillId="4" borderId="0" xfId="69" applyFont="1" applyFill="1" applyAlignment="1">
      <alignment vertical="top" wrapText="1"/>
    </xf>
    <xf numFmtId="168" fontId="116" fillId="0" borderId="0" xfId="69" applyFont="1" applyAlignment="1">
      <alignment horizontal="center" vertical="center"/>
    </xf>
    <xf numFmtId="168" fontId="116" fillId="4" borderId="1" xfId="69" applyFont="1" applyFill="1" applyBorder="1" applyAlignment="1">
      <alignment vertical="top"/>
    </xf>
    <xf numFmtId="168" fontId="115" fillId="0" borderId="0" xfId="69" applyFont="1" applyAlignment="1">
      <alignment horizontal="center" vertical="center"/>
    </xf>
    <xf numFmtId="168" fontId="131" fillId="4" borderId="0" xfId="69" applyFont="1" applyFill="1" applyAlignment="1">
      <alignment vertical="top"/>
    </xf>
    <xf numFmtId="168" fontId="131" fillId="0" borderId="30" xfId="69" applyFont="1" applyBorder="1" applyAlignment="1">
      <alignment horizontal="center" vertical="center" shrinkToFit="1"/>
    </xf>
    <xf numFmtId="168" fontId="145" fillId="4" borderId="0" xfId="69" applyFont="1" applyFill="1" applyAlignment="1">
      <alignment horizontal="center" vertical="top"/>
    </xf>
    <xf numFmtId="168" fontId="131" fillId="4" borderId="0" xfId="69" applyFont="1" applyFill="1" applyAlignment="1">
      <alignment horizontal="center" vertical="top"/>
    </xf>
    <xf numFmtId="168" fontId="146" fillId="4" borderId="0" xfId="69" applyFont="1" applyFill="1" applyAlignment="1">
      <alignment horizontal="center" vertical="top"/>
    </xf>
    <xf numFmtId="168" fontId="116" fillId="36" borderId="0" xfId="69" applyFont="1" applyFill="1" applyAlignment="1">
      <alignment horizontal="center" vertical="top"/>
    </xf>
    <xf numFmtId="168" fontId="131" fillId="4" borderId="6" xfId="69" applyFont="1" applyFill="1" applyBorder="1" applyAlignment="1">
      <alignment horizontal="center" vertical="center" shrinkToFit="1"/>
    </xf>
    <xf numFmtId="168" fontId="131" fillId="4" borderId="1" xfId="69" applyFont="1" applyFill="1" applyBorder="1" applyAlignment="1">
      <alignment vertical="top"/>
    </xf>
    <xf numFmtId="168" fontId="131" fillId="4" borderId="5" xfId="69" applyFont="1" applyFill="1" applyBorder="1" applyAlignment="1">
      <alignment horizontal="center" vertical="center" shrinkToFit="1"/>
    </xf>
    <xf numFmtId="168" fontId="146" fillId="4" borderId="4" xfId="69" applyFont="1" applyFill="1" applyBorder="1" applyAlignment="1">
      <alignment horizontal="center" vertical="top"/>
    </xf>
    <xf numFmtId="168" fontId="131" fillId="4" borderId="4" xfId="69" applyFont="1" applyFill="1" applyBorder="1" applyAlignment="1">
      <alignment horizontal="center" vertical="top"/>
    </xf>
    <xf numFmtId="176" fontId="146" fillId="0" borderId="2" xfId="69" applyNumberFormat="1" applyFont="1" applyBorder="1" applyAlignment="1">
      <alignment horizontal="center" vertical="center" shrinkToFit="1"/>
    </xf>
    <xf numFmtId="176" fontId="146" fillId="0" borderId="30" xfId="69" applyNumberFormat="1" applyFont="1" applyBorder="1" applyAlignment="1">
      <alignment horizontal="center" vertical="center" shrinkToFit="1"/>
    </xf>
    <xf numFmtId="164" fontId="136" fillId="4" borderId="5" xfId="1" applyFont="1" applyFill="1" applyBorder="1" applyAlignment="1">
      <alignment horizontal="left" vertical="center" shrinkToFit="1"/>
    </xf>
    <xf numFmtId="164" fontId="116" fillId="0" borderId="30" xfId="1" applyFont="1" applyFill="1" applyBorder="1" applyAlignment="1">
      <alignment vertical="center" shrinkToFit="1"/>
    </xf>
    <xf numFmtId="164" fontId="136" fillId="4" borderId="5" xfId="1" applyFont="1" applyFill="1" applyBorder="1" applyAlignment="1">
      <alignment horizontal="left"/>
    </xf>
    <xf numFmtId="164" fontId="129" fillId="4" borderId="29" xfId="1" applyFont="1" applyFill="1" applyBorder="1" applyAlignment="1">
      <alignment horizontal="left"/>
    </xf>
    <xf numFmtId="164" fontId="130" fillId="4" borderId="6" xfId="1" applyFont="1" applyFill="1" applyBorder="1" applyAlignment="1">
      <alignment horizontal="left"/>
    </xf>
    <xf numFmtId="168" fontId="116" fillId="4" borderId="2" xfId="69" applyFont="1" applyFill="1" applyBorder="1" applyAlignment="1" applyProtection="1">
      <alignment horizontal="center" vertical="top" shrinkToFit="1"/>
      <protection locked="0"/>
    </xf>
    <xf numFmtId="164" fontId="124" fillId="33" borderId="2" xfId="1" applyFont="1" applyFill="1" applyBorder="1" applyAlignment="1">
      <alignment horizontal="left" vertical="center"/>
    </xf>
    <xf numFmtId="164" fontId="124" fillId="35" borderId="6" xfId="1" applyFont="1" applyFill="1" applyBorder="1" applyAlignment="1">
      <alignment horizontal="left" vertical="center"/>
    </xf>
    <xf numFmtId="164" fontId="124" fillId="34" borderId="9" xfId="1" applyFont="1" applyFill="1" applyBorder="1" applyAlignment="1">
      <alignment horizontal="left" vertical="center" shrinkToFit="1"/>
    </xf>
    <xf numFmtId="168" fontId="145" fillId="0" borderId="30" xfId="69" applyFont="1" applyBorder="1" applyAlignment="1">
      <alignment horizontal="center" vertical="center" shrinkToFit="1"/>
    </xf>
    <xf numFmtId="168" fontId="145" fillId="4" borderId="0" xfId="69" applyFont="1" applyFill="1" applyAlignment="1">
      <alignment vertical="top"/>
    </xf>
    <xf numFmtId="168" fontId="145" fillId="4" borderId="5" xfId="69" applyFont="1" applyFill="1" applyBorder="1" applyAlignment="1">
      <alignment horizontal="center" vertical="center" shrinkToFit="1"/>
    </xf>
    <xf numFmtId="168" fontId="133" fillId="0" borderId="30" xfId="69" applyFont="1" applyBorder="1" applyAlignment="1">
      <alignment horizontal="center" vertical="center" shrinkToFit="1"/>
    </xf>
    <xf numFmtId="168" fontId="133" fillId="4" borderId="0" xfId="69" applyFont="1" applyFill="1" applyAlignment="1">
      <alignment vertical="top"/>
    </xf>
    <xf numFmtId="168" fontId="133" fillId="4" borderId="5" xfId="69" applyFont="1" applyFill="1" applyBorder="1" applyAlignment="1">
      <alignment horizontal="center" vertical="center" shrinkToFit="1"/>
    </xf>
    <xf numFmtId="0" fontId="116" fillId="0" borderId="30" xfId="1" applyNumberFormat="1" applyFont="1" applyFill="1" applyBorder="1" applyAlignment="1">
      <alignment vertical="center" shrinkToFit="1"/>
    </xf>
    <xf numFmtId="168" fontId="124" fillId="33" borderId="1" xfId="69" applyFont="1" applyFill="1" applyBorder="1" applyAlignment="1">
      <alignment horizontal="center" vertical="center"/>
    </xf>
    <xf numFmtId="168" fontId="116" fillId="2" borderId="30" xfId="69" applyFont="1" applyFill="1" applyBorder="1" applyAlignment="1">
      <alignment horizontal="center" shrinkToFit="1"/>
    </xf>
    <xf numFmtId="168" fontId="116" fillId="4" borderId="0" xfId="69" applyFont="1" applyFill="1" applyAlignment="1">
      <alignment horizontal="center" vertical="center"/>
    </xf>
    <xf numFmtId="168" fontId="116" fillId="4" borderId="5" xfId="69" applyFont="1" applyFill="1" applyBorder="1" applyAlignment="1">
      <alignment horizontal="center" vertical="center"/>
    </xf>
    <xf numFmtId="168" fontId="116" fillId="4" borderId="30" xfId="69" applyFont="1" applyFill="1" applyBorder="1" applyAlignment="1">
      <alignment horizontal="center" shrinkToFit="1"/>
    </xf>
    <xf numFmtId="168" fontId="127" fillId="4" borderId="0" xfId="69" applyFont="1" applyFill="1" applyAlignment="1">
      <alignment horizontal="center" vertical="center"/>
    </xf>
    <xf numFmtId="168" fontId="127" fillId="4" borderId="5" xfId="69" applyFont="1" applyFill="1" applyBorder="1" applyAlignment="1">
      <alignment horizontal="center" vertical="center"/>
    </xf>
    <xf numFmtId="168" fontId="142" fillId="4" borderId="30" xfId="69" applyFont="1" applyFill="1" applyBorder="1" applyAlignment="1">
      <alignment horizontal="center" vertical="center" shrinkToFit="1"/>
    </xf>
    <xf numFmtId="178" fontId="116" fillId="4" borderId="0" xfId="33" applyNumberFormat="1" applyFont="1" applyFill="1" applyAlignment="1">
      <alignment horizontal="center" vertical="center"/>
    </xf>
    <xf numFmtId="164" fontId="134" fillId="0" borderId="30" xfId="1" applyFont="1" applyFill="1" applyBorder="1" applyAlignment="1">
      <alignment horizontal="left" vertical="center" shrinkToFit="1"/>
    </xf>
    <xf numFmtId="178" fontId="116" fillId="4" borderId="0" xfId="34" applyNumberFormat="1" applyFont="1" applyFill="1" applyAlignment="1">
      <alignment horizontal="center" vertical="center"/>
    </xf>
    <xf numFmtId="168" fontId="116" fillId="4" borderId="0" xfId="69" applyFont="1" applyFill="1" applyAlignment="1">
      <alignment horizontal="center" vertical="center" wrapText="1"/>
    </xf>
    <xf numFmtId="164" fontId="136" fillId="0" borderId="5" xfId="1" applyFont="1" applyFill="1" applyBorder="1" applyAlignment="1">
      <alignment horizontal="left" vertical="center" shrinkToFit="1"/>
    </xf>
    <xf numFmtId="168" fontId="145" fillId="4" borderId="30" xfId="69" applyFont="1" applyFill="1" applyBorder="1" applyAlignment="1">
      <alignment horizontal="center" vertical="center" shrinkToFit="1"/>
    </xf>
    <xf numFmtId="164" fontId="116" fillId="0" borderId="6" xfId="1" applyFont="1" applyFill="1" applyBorder="1" applyAlignment="1">
      <alignment vertical="center" shrinkToFit="1"/>
    </xf>
    <xf numFmtId="164" fontId="116" fillId="4" borderId="12" xfId="1" applyFont="1" applyFill="1" applyBorder="1" applyAlignment="1">
      <alignment horizontal="left" vertical="center" shrinkToFit="1"/>
    </xf>
    <xf numFmtId="164" fontId="133" fillId="4" borderId="30" xfId="1" applyFont="1" applyFill="1" applyBorder="1" applyAlignment="1">
      <alignment horizontal="left"/>
    </xf>
    <xf numFmtId="164" fontId="116" fillId="4" borderId="29" xfId="1" applyFont="1" applyFill="1" applyBorder="1" applyAlignment="1">
      <alignment horizontal="left"/>
    </xf>
    <xf numFmtId="164" fontId="133" fillId="4" borderId="6" xfId="1" applyFont="1" applyFill="1" applyBorder="1" applyAlignment="1">
      <alignment horizontal="left"/>
    </xf>
    <xf numFmtId="168" fontId="116" fillId="4" borderId="0" xfId="69" applyFont="1" applyFill="1" applyAlignment="1">
      <alignment horizontal="center" shrinkToFit="1"/>
    </xf>
    <xf numFmtId="164" fontId="129" fillId="4" borderId="0" xfId="1" applyFont="1" applyFill="1" applyAlignment="1">
      <alignment horizontal="left"/>
    </xf>
    <xf numFmtId="164" fontId="130" fillId="4" borderId="0" xfId="1" applyFont="1" applyFill="1" applyAlignment="1">
      <alignment horizontal="left"/>
    </xf>
    <xf numFmtId="168" fontId="116" fillId="0" borderId="0" xfId="69" applyFont="1" applyAlignment="1">
      <alignment horizontal="center" shrinkToFit="1"/>
    </xf>
    <xf numFmtId="164" fontId="130" fillId="0" borderId="0" xfId="1" applyFont="1" applyAlignment="1">
      <alignment horizontal="left"/>
    </xf>
    <xf numFmtId="0" fontId="118" fillId="2" borderId="12" xfId="0" applyFont="1" applyFill="1" applyBorder="1"/>
    <xf numFmtId="0" fontId="118" fillId="2" borderId="4" xfId="0" applyFont="1" applyFill="1" applyBorder="1" applyAlignment="1">
      <alignment horizontal="center" shrinkToFit="1"/>
    </xf>
    <xf numFmtId="0" fontId="118" fillId="2" borderId="4" xfId="0" applyFont="1" applyFill="1" applyBorder="1" applyAlignment="1">
      <alignment horizontal="center" vertical="top"/>
    </xf>
    <xf numFmtId="0" fontId="116" fillId="2" borderId="4" xfId="0" applyFont="1" applyFill="1" applyBorder="1" applyAlignment="1">
      <alignment horizontal="right"/>
    </xf>
    <xf numFmtId="164" fontId="118" fillId="2" borderId="4" xfId="1" applyFont="1" applyFill="1" applyBorder="1" applyAlignment="1">
      <alignment horizontal="left"/>
    </xf>
    <xf numFmtId="164" fontId="122" fillId="3" borderId="3" xfId="1" applyFont="1" applyFill="1" applyBorder="1" applyAlignment="1">
      <alignment horizontal="right" vertical="center"/>
    </xf>
    <xf numFmtId="0" fontId="118" fillId="4" borderId="0" xfId="0" applyFont="1" applyFill="1"/>
    <xf numFmtId="0" fontId="122" fillId="19" borderId="0" xfId="0" applyFont="1" applyFill="1" applyAlignment="1">
      <alignment horizontal="right"/>
    </xf>
    <xf numFmtId="0" fontId="118" fillId="2" borderId="0" xfId="0" applyFont="1" applyFill="1"/>
    <xf numFmtId="0" fontId="118" fillId="2" borderId="5" xfId="0" applyFont="1" applyFill="1" applyBorder="1"/>
    <xf numFmtId="0" fontId="118" fillId="2" borderId="0" xfId="0" applyFont="1" applyFill="1" applyAlignment="1">
      <alignment horizontal="center" shrinkToFit="1"/>
    </xf>
    <xf numFmtId="0" fontId="119" fillId="3" borderId="0" xfId="0" applyFont="1" applyFill="1" applyAlignment="1">
      <alignment horizontal="center" vertical="top" wrapText="1"/>
    </xf>
    <xf numFmtId="0" fontId="121" fillId="19" borderId="0" xfId="0" applyFont="1" applyFill="1" applyAlignment="1">
      <alignment horizontal="right" vertical="center" wrapText="1"/>
    </xf>
    <xf numFmtId="0" fontId="121" fillId="3" borderId="0" xfId="0" applyFont="1" applyFill="1" applyAlignment="1">
      <alignment horizontal="center" vertical="top"/>
    </xf>
    <xf numFmtId="0" fontId="118" fillId="2" borderId="29" xfId="0" applyFont="1" applyFill="1" applyBorder="1"/>
    <xf numFmtId="0" fontId="118" fillId="2" borderId="1" xfId="0" applyFont="1" applyFill="1" applyBorder="1" applyAlignment="1">
      <alignment horizontal="center" shrinkToFit="1"/>
    </xf>
    <xf numFmtId="0" fontId="124" fillId="23" borderId="29" xfId="0" applyFont="1" applyFill="1" applyBorder="1" applyAlignment="1">
      <alignment horizontal="center" vertical="center"/>
    </xf>
    <xf numFmtId="0" fontId="124" fillId="23" borderId="0" xfId="0" applyFont="1" applyFill="1" applyAlignment="1">
      <alignment vertical="center"/>
    </xf>
    <xf numFmtId="0" fontId="118" fillId="4" borderId="0" xfId="0" applyFont="1" applyFill="1" applyAlignment="1">
      <alignment horizontal="center" vertical="center"/>
    </xf>
    <xf numFmtId="0" fontId="118" fillId="2" borderId="0" xfId="0" applyFont="1" applyFill="1" applyAlignment="1">
      <alignment horizontal="center" vertical="center"/>
    </xf>
    <xf numFmtId="0" fontId="124" fillId="33" borderId="12" xfId="0" applyFont="1" applyFill="1" applyBorder="1" applyAlignment="1">
      <alignment vertical="center"/>
    </xf>
    <xf numFmtId="0" fontId="124" fillId="33" borderId="3" xfId="0" applyFont="1" applyFill="1" applyBorder="1" applyAlignment="1">
      <alignment horizontal="center" vertical="center" shrinkToFit="1"/>
    </xf>
    <xf numFmtId="0" fontId="118" fillId="4" borderId="0" xfId="0" applyFont="1" applyFill="1" applyAlignment="1">
      <alignment horizontal="center"/>
    </xf>
    <xf numFmtId="0" fontId="118" fillId="2" borderId="0" xfId="0" applyFont="1" applyFill="1" applyAlignment="1">
      <alignment horizontal="center"/>
    </xf>
    <xf numFmtId="0" fontId="124" fillId="33" borderId="29" xfId="0" applyFont="1" applyFill="1" applyBorder="1" applyAlignment="1">
      <alignment horizontal="left" vertical="center"/>
    </xf>
    <xf numFmtId="0" fontId="124" fillId="33" borderId="7" xfId="0" applyFont="1" applyFill="1" applyBorder="1" applyAlignment="1">
      <alignment horizontal="center" vertical="center" shrinkToFit="1"/>
    </xf>
    <xf numFmtId="0" fontId="116" fillId="4" borderId="0" xfId="0" applyFont="1" applyFill="1" applyAlignment="1">
      <alignment horizontal="center"/>
    </xf>
    <xf numFmtId="0" fontId="116" fillId="6" borderId="0" xfId="0" applyFont="1" applyFill="1" applyAlignment="1">
      <alignment horizontal="center"/>
    </xf>
    <xf numFmtId="0" fontId="126" fillId="31" borderId="6" xfId="0" applyFont="1" applyFill="1" applyBorder="1" applyAlignment="1">
      <alignment horizontal="center" vertical="center"/>
    </xf>
    <xf numFmtId="0" fontId="126" fillId="31" borderId="6" xfId="0" applyFont="1" applyFill="1" applyBorder="1" applyAlignment="1">
      <alignment horizontal="center" vertical="center" shrinkToFit="1"/>
    </xf>
    <xf numFmtId="0" fontId="133" fillId="31" borderId="6" xfId="0" applyFont="1" applyFill="1" applyBorder="1" applyAlignment="1">
      <alignment horizontal="center" vertical="center"/>
    </xf>
    <xf numFmtId="164" fontId="126" fillId="31" borderId="9" xfId="1" applyFont="1" applyFill="1" applyBorder="1" applyAlignment="1">
      <alignment horizontal="center" vertical="center"/>
    </xf>
    <xf numFmtId="0" fontId="121" fillId="19" borderId="0" xfId="0" applyFont="1" applyFill="1" applyAlignment="1">
      <alignment horizontal="center" vertical="center" wrapText="1"/>
    </xf>
    <xf numFmtId="0" fontId="127" fillId="19" borderId="0" xfId="0" applyFont="1" applyFill="1" applyAlignment="1">
      <alignment horizontal="center" vertical="center"/>
    </xf>
    <xf numFmtId="0" fontId="143" fillId="4" borderId="0" xfId="0" applyFont="1" applyFill="1" applyAlignment="1">
      <alignment horizontal="center" vertical="center"/>
    </xf>
    <xf numFmtId="0" fontId="127" fillId="3" borderId="0" xfId="0" applyFont="1" applyFill="1" applyAlignment="1">
      <alignment horizontal="center" vertical="center"/>
    </xf>
    <xf numFmtId="0" fontId="128" fillId="37" borderId="8" xfId="0" applyFont="1" applyFill="1" applyBorder="1" applyAlignment="1">
      <alignment vertical="center"/>
    </xf>
    <xf numFmtId="0" fontId="127" fillId="37" borderId="11" xfId="0" applyFont="1" applyFill="1" applyBorder="1" applyAlignment="1">
      <alignment vertical="top" shrinkToFit="1"/>
    </xf>
    <xf numFmtId="0" fontId="124" fillId="37" borderId="11" xfId="0" applyFont="1" applyFill="1" applyBorder="1" applyAlignment="1">
      <alignment horizontal="center" vertical="top"/>
    </xf>
    <xf numFmtId="0" fontId="116" fillId="37" borderId="11" xfId="0" applyFont="1" applyFill="1" applyBorder="1" applyAlignment="1">
      <alignment vertical="center" shrinkToFit="1"/>
    </xf>
    <xf numFmtId="164" fontId="127" fillId="37" borderId="10" xfId="1" applyFont="1" applyFill="1" applyBorder="1" applyAlignment="1">
      <alignment vertical="center"/>
    </xf>
    <xf numFmtId="0" fontId="127" fillId="37" borderId="10" xfId="0" applyFont="1" applyFill="1" applyBorder="1" applyAlignment="1">
      <alignment vertical="center"/>
    </xf>
    <xf numFmtId="0" fontId="131" fillId="4" borderId="0" xfId="0" applyFont="1" applyFill="1"/>
    <xf numFmtId="0" fontId="131" fillId="4" borderId="5" xfId="0" applyFont="1" applyFill="1" applyBorder="1" applyAlignment="1">
      <alignment vertical="center"/>
    </xf>
    <xf numFmtId="0" fontId="127" fillId="4" borderId="5" xfId="0" applyFont="1" applyFill="1" applyBorder="1" applyAlignment="1">
      <alignment horizontal="center" vertical="top" shrinkToFit="1"/>
    </xf>
    <xf numFmtId="0" fontId="127" fillId="4" borderId="30" xfId="0" applyFont="1" applyFill="1" applyBorder="1" applyAlignment="1">
      <alignment horizontal="center" vertical="top"/>
    </xf>
    <xf numFmtId="0" fontId="116" fillId="4" borderId="30" xfId="0" applyFont="1" applyFill="1" applyBorder="1" applyAlignment="1">
      <alignment horizontal="center" vertical="center" shrinkToFit="1"/>
    </xf>
    <xf numFmtId="164" fontId="127" fillId="4" borderId="30" xfId="1" applyFont="1" applyFill="1" applyBorder="1" applyAlignment="1">
      <alignment horizontal="center" vertical="center"/>
    </xf>
    <xf numFmtId="164" fontId="116" fillId="4" borderId="30" xfId="1" applyFont="1" applyFill="1" applyBorder="1" applyAlignment="1">
      <alignment horizontal="center"/>
    </xf>
    <xf numFmtId="0" fontId="131" fillId="4" borderId="0" xfId="0" applyFont="1" applyFill="1" applyAlignment="1">
      <alignment vertical="center"/>
    </xf>
    <xf numFmtId="0" fontId="127" fillId="4" borderId="30" xfId="0" applyFont="1" applyFill="1" applyBorder="1" applyAlignment="1">
      <alignment horizontal="center" vertical="top" shrinkToFit="1"/>
    </xf>
    <xf numFmtId="0" fontId="151" fillId="4" borderId="30" xfId="0" applyFont="1" applyFill="1" applyBorder="1" applyAlignment="1">
      <alignment horizontal="center" vertical="top"/>
    </xf>
    <xf numFmtId="0" fontId="131" fillId="4" borderId="13" xfId="0" applyFont="1" applyFill="1" applyBorder="1" applyAlignment="1">
      <alignment vertical="center"/>
    </xf>
    <xf numFmtId="0" fontId="131" fillId="4" borderId="13" xfId="0" applyFont="1" applyFill="1" applyBorder="1"/>
    <xf numFmtId="164" fontId="127" fillId="4" borderId="30" xfId="1" applyFont="1" applyFill="1" applyBorder="1" applyAlignment="1">
      <alignment horizontal="center" vertical="center" shrinkToFit="1"/>
    </xf>
    <xf numFmtId="0" fontId="118" fillId="2" borderId="13" xfId="0" applyFont="1" applyFill="1" applyBorder="1"/>
    <xf numFmtId="0" fontId="124" fillId="37" borderId="8" xfId="0" applyFont="1" applyFill="1" applyBorder="1" applyAlignment="1">
      <alignment horizontal="center" vertical="center"/>
    </xf>
    <xf numFmtId="0" fontId="127" fillId="37" borderId="11" xfId="0" applyFont="1" applyFill="1" applyBorder="1" applyAlignment="1">
      <alignment horizontal="center" vertical="top" shrinkToFit="1"/>
    </xf>
    <xf numFmtId="0" fontId="116" fillId="37" borderId="11" xfId="0" applyFont="1" applyFill="1" applyBorder="1" applyAlignment="1">
      <alignment horizontal="center" vertical="center" shrinkToFit="1"/>
    </xf>
    <xf numFmtId="164" fontId="127" fillId="37" borderId="10" xfId="1" applyFont="1" applyFill="1" applyBorder="1" applyAlignment="1">
      <alignment horizontal="center" vertical="center" shrinkToFit="1"/>
    </xf>
    <xf numFmtId="0" fontId="127" fillId="37" borderId="10" xfId="0" applyFont="1" applyFill="1" applyBorder="1" applyAlignment="1">
      <alignment horizontal="center" vertical="center" shrinkToFit="1"/>
    </xf>
    <xf numFmtId="0" fontId="131" fillId="4" borderId="30" xfId="0" applyFont="1" applyFill="1" applyBorder="1" applyAlignment="1">
      <alignment vertical="center"/>
    </xf>
    <xf numFmtId="0" fontId="116" fillId="4" borderId="0" xfId="0" applyFont="1" applyFill="1"/>
    <xf numFmtId="0" fontId="116" fillId="4" borderId="13" xfId="0" applyFont="1" applyFill="1" applyBorder="1"/>
    <xf numFmtId="0" fontId="116" fillId="4" borderId="13" xfId="0" applyFont="1" applyFill="1" applyBorder="1" applyAlignment="1">
      <alignment horizontal="center" vertical="center" shrinkToFit="1"/>
    </xf>
    <xf numFmtId="0" fontId="152" fillId="4" borderId="0" xfId="0" applyFont="1" applyFill="1"/>
    <xf numFmtId="0" fontId="152" fillId="2" borderId="0" xfId="0" applyFont="1" applyFill="1"/>
    <xf numFmtId="0" fontId="152" fillId="2" borderId="13" xfId="0" applyFont="1" applyFill="1" applyBorder="1"/>
    <xf numFmtId="164" fontId="118" fillId="4" borderId="0" xfId="0" applyNumberFormat="1" applyFont="1" applyFill="1"/>
    <xf numFmtId="0" fontId="153" fillId="4" borderId="30" xfId="0" applyFont="1" applyFill="1" applyBorder="1" applyAlignment="1">
      <alignment horizontal="center" vertical="top"/>
    </xf>
    <xf numFmtId="0" fontId="124" fillId="37" borderId="8" xfId="0" applyFont="1" applyFill="1" applyBorder="1" applyAlignment="1">
      <alignment vertical="center"/>
    </xf>
    <xf numFmtId="164" fontId="127" fillId="37" borderId="10" xfId="1" applyFont="1" applyFill="1" applyBorder="1" applyAlignment="1">
      <alignment vertical="center" shrinkToFit="1"/>
    </xf>
    <xf numFmtId="0" fontId="116" fillId="4" borderId="30" xfId="0" applyFont="1" applyFill="1" applyBorder="1" applyAlignment="1">
      <alignment vertical="center" shrinkToFit="1"/>
    </xf>
    <xf numFmtId="164" fontId="127" fillId="4" borderId="30" xfId="1" applyFont="1" applyFill="1" applyBorder="1" applyAlignment="1">
      <alignment vertical="center" shrinkToFit="1"/>
    </xf>
    <xf numFmtId="0" fontId="127" fillId="4" borderId="13" xfId="0" applyFont="1" applyFill="1" applyBorder="1" applyAlignment="1">
      <alignment horizontal="center" vertical="top"/>
    </xf>
    <xf numFmtId="0" fontId="127" fillId="4" borderId="30" xfId="0" applyFont="1" applyFill="1" applyBorder="1" applyAlignment="1">
      <alignment vertical="top" shrinkToFit="1"/>
    </xf>
    <xf numFmtId="0" fontId="116" fillId="4" borderId="13" xfId="0" applyFont="1" applyFill="1" applyBorder="1" applyAlignment="1">
      <alignment vertical="center" shrinkToFit="1"/>
    </xf>
    <xf numFmtId="164" fontId="127" fillId="4" borderId="13" xfId="1" applyFont="1" applyFill="1" applyBorder="1" applyAlignment="1">
      <alignment vertical="center" shrinkToFit="1"/>
    </xf>
    <xf numFmtId="164" fontId="127" fillId="4" borderId="6" xfId="1" applyFont="1" applyFill="1" applyBorder="1" applyAlignment="1">
      <alignment vertical="center" shrinkToFit="1"/>
    </xf>
    <xf numFmtId="0" fontId="151" fillId="4" borderId="30" xfId="0" applyFont="1" applyFill="1" applyBorder="1" applyAlignment="1">
      <alignment vertical="center"/>
    </xf>
    <xf numFmtId="0" fontId="154" fillId="4" borderId="30" xfId="0" applyFont="1" applyFill="1" applyBorder="1" applyAlignment="1">
      <alignment horizontal="center" vertical="top"/>
    </xf>
    <xf numFmtId="164" fontId="127" fillId="4" borderId="13" xfId="1" applyFont="1" applyFill="1" applyBorder="1" applyAlignment="1">
      <alignment horizontal="center" vertical="center" shrinkToFit="1"/>
    </xf>
    <xf numFmtId="0" fontId="127" fillId="37" borderId="9" xfId="0" applyFont="1" applyFill="1" applyBorder="1" applyAlignment="1">
      <alignment horizontal="center" vertical="center" shrinkToFit="1"/>
    </xf>
    <xf numFmtId="0" fontId="127" fillId="36" borderId="2" xfId="0" applyFont="1" applyFill="1" applyBorder="1" applyAlignment="1">
      <alignment horizontal="center" vertical="top" wrapText="1"/>
    </xf>
    <xf numFmtId="0" fontId="116" fillId="36" borderId="13" xfId="0" applyFont="1" applyFill="1" applyBorder="1" applyAlignment="1">
      <alignment horizontal="center" vertical="center" shrinkToFit="1"/>
    </xf>
    <xf numFmtId="0" fontId="127" fillId="36" borderId="30" xfId="0" applyFont="1" applyFill="1" applyBorder="1" applyAlignment="1">
      <alignment horizontal="center" vertical="top" wrapText="1"/>
    </xf>
    <xf numFmtId="0" fontId="127" fillId="37" borderId="9" xfId="0" applyFont="1" applyFill="1" applyBorder="1" applyAlignment="1">
      <alignment vertical="top" shrinkToFit="1"/>
    </xf>
    <xf numFmtId="0" fontId="124" fillId="4" borderId="5" xfId="0" applyFont="1" applyFill="1" applyBorder="1" applyAlignment="1">
      <alignment horizontal="center" vertical="center"/>
    </xf>
    <xf numFmtId="0" fontId="127" fillId="4" borderId="30" xfId="0" applyFont="1" applyFill="1" applyBorder="1" applyAlignment="1">
      <alignment horizontal="center" vertical="top" wrapText="1"/>
    </xf>
    <xf numFmtId="0" fontId="151" fillId="4" borderId="0" xfId="0" applyFont="1" applyFill="1" applyAlignment="1">
      <alignment vertical="center"/>
    </xf>
    <xf numFmtId="0" fontId="127" fillId="4" borderId="30" xfId="0" applyFont="1" applyFill="1" applyBorder="1" applyAlignment="1">
      <alignment horizontal="center" vertical="center" shrinkToFit="1"/>
    </xf>
    <xf numFmtId="0" fontId="127" fillId="4" borderId="0" xfId="0" applyFont="1" applyFill="1" applyAlignment="1">
      <alignment horizontal="center" vertical="center" wrapText="1"/>
    </xf>
    <xf numFmtId="0" fontId="127" fillId="4" borderId="2" xfId="0" applyFont="1" applyFill="1" applyBorder="1" applyAlignment="1">
      <alignment horizontal="center" vertical="center"/>
    </xf>
    <xf numFmtId="164" fontId="127" fillId="4" borderId="5" xfId="1" applyFont="1" applyFill="1" applyBorder="1" applyAlignment="1">
      <alignment horizontal="center" vertical="center" shrinkToFit="1"/>
    </xf>
    <xf numFmtId="0" fontId="127" fillId="4" borderId="30" xfId="0" applyFont="1" applyFill="1" applyBorder="1" applyAlignment="1">
      <alignment horizontal="center" vertical="center"/>
    </xf>
    <xf numFmtId="0" fontId="127" fillId="4" borderId="0" xfId="0" applyFont="1" applyFill="1" applyAlignment="1">
      <alignment horizontal="center"/>
    </xf>
    <xf numFmtId="0" fontId="127" fillId="4" borderId="0" xfId="0" applyFont="1" applyFill="1" applyAlignment="1">
      <alignment horizontal="center" vertical="center"/>
    </xf>
    <xf numFmtId="0" fontId="127" fillId="4" borderId="6" xfId="0" applyFont="1" applyFill="1" applyBorder="1" applyAlignment="1">
      <alignment horizontal="center" vertical="center"/>
    </xf>
    <xf numFmtId="0" fontId="124" fillId="37" borderId="12" xfId="0" applyFont="1" applyFill="1" applyBorder="1" applyAlignment="1">
      <alignment vertical="center"/>
    </xf>
    <xf numFmtId="0" fontId="127" fillId="37" borderId="4" xfId="0" applyFont="1" applyFill="1" applyBorder="1" applyAlignment="1">
      <alignment vertical="top" shrinkToFit="1"/>
    </xf>
    <xf numFmtId="0" fontId="124" fillId="37" borderId="4" xfId="0" applyFont="1" applyFill="1" applyBorder="1" applyAlignment="1">
      <alignment horizontal="center" vertical="top"/>
    </xf>
    <xf numFmtId="0" fontId="116" fillId="37" borderId="4" xfId="0" applyFont="1" applyFill="1" applyBorder="1" applyAlignment="1">
      <alignment vertical="center" shrinkToFit="1"/>
    </xf>
    <xf numFmtId="164" fontId="127" fillId="37" borderId="3" xfId="1" applyFont="1" applyFill="1" applyBorder="1" applyAlignment="1">
      <alignment vertical="center" shrinkToFit="1"/>
    </xf>
    <xf numFmtId="0" fontId="127" fillId="37" borderId="3" xfId="0" applyFont="1" applyFill="1" applyBorder="1" applyAlignment="1">
      <alignment horizontal="center" vertical="center" shrinkToFit="1"/>
    </xf>
    <xf numFmtId="0" fontId="131" fillId="4" borderId="12" xfId="0" applyFont="1" applyFill="1" applyBorder="1" applyAlignment="1">
      <alignment vertical="center"/>
    </xf>
    <xf numFmtId="0" fontId="127" fillId="4" borderId="4" xfId="0" applyFont="1" applyFill="1" applyBorder="1" applyAlignment="1">
      <alignment vertical="top" shrinkToFit="1"/>
    </xf>
    <xf numFmtId="0" fontId="127" fillId="4" borderId="4" xfId="0" applyFont="1" applyFill="1" applyBorder="1" applyAlignment="1">
      <alignment horizontal="center" vertical="top"/>
    </xf>
    <xf numFmtId="0" fontId="116" fillId="4" borderId="4" xfId="0" applyFont="1" applyFill="1" applyBorder="1" applyAlignment="1">
      <alignment vertical="center" shrinkToFit="1"/>
    </xf>
    <xf numFmtId="164" fontId="127" fillId="4" borderId="4" xfId="1" applyFont="1" applyFill="1" applyBorder="1" applyAlignment="1">
      <alignment vertical="center" shrinkToFit="1"/>
    </xf>
    <xf numFmtId="0" fontId="118" fillId="2" borderId="3" xfId="0" applyFont="1" applyFill="1" applyBorder="1"/>
    <xf numFmtId="0" fontId="127" fillId="4" borderId="0" xfId="0" applyFont="1" applyFill="1" applyAlignment="1">
      <alignment vertical="top" shrinkToFit="1"/>
    </xf>
    <xf numFmtId="0" fontId="127" fillId="4" borderId="0" xfId="0" applyFont="1" applyFill="1" applyAlignment="1">
      <alignment horizontal="center" vertical="top"/>
    </xf>
    <xf numFmtId="0" fontId="116" fillId="4" borderId="0" xfId="0" applyFont="1" applyFill="1" applyAlignment="1">
      <alignment vertical="center" shrinkToFit="1"/>
    </xf>
    <xf numFmtId="164" fontId="127" fillId="4" borderId="0" xfId="1" applyFont="1" applyFill="1" applyBorder="1" applyAlignment="1">
      <alignment vertical="center" shrinkToFit="1"/>
    </xf>
    <xf numFmtId="0" fontId="127" fillId="4" borderId="0" xfId="0" applyFont="1" applyFill="1" applyAlignment="1">
      <alignment horizontal="center" vertical="top" shrinkToFit="1"/>
    </xf>
    <xf numFmtId="0" fontId="116" fillId="4" borderId="0" xfId="0" applyFont="1" applyFill="1" applyAlignment="1">
      <alignment horizontal="center" vertical="center" shrinkToFit="1"/>
    </xf>
    <xf numFmtId="164" fontId="127" fillId="4" borderId="0" xfId="1" applyFont="1" applyFill="1" applyBorder="1" applyAlignment="1">
      <alignment horizontal="center" vertical="center" shrinkToFit="1"/>
    </xf>
    <xf numFmtId="0" fontId="124" fillId="4" borderId="29" xfId="0" applyFont="1" applyFill="1" applyBorder="1" applyAlignment="1">
      <alignment horizontal="center" vertical="center"/>
    </xf>
    <xf numFmtId="0" fontId="127" fillId="4" borderId="1" xfId="0" applyFont="1" applyFill="1" applyBorder="1" applyAlignment="1">
      <alignment horizontal="center" vertical="top" shrinkToFit="1"/>
    </xf>
    <xf numFmtId="0" fontId="127" fillId="4" borderId="1" xfId="0" applyFont="1" applyFill="1" applyBorder="1" applyAlignment="1">
      <alignment horizontal="center" vertical="top"/>
    </xf>
    <xf numFmtId="0" fontId="116" fillId="4" borderId="1" xfId="0" applyFont="1" applyFill="1" applyBorder="1" applyAlignment="1">
      <alignment horizontal="center" vertical="center" shrinkToFit="1"/>
    </xf>
    <xf numFmtId="164" fontId="127" fillId="4" borderId="1" xfId="1" applyFont="1" applyFill="1" applyBorder="1" applyAlignment="1">
      <alignment horizontal="center" vertical="center" shrinkToFit="1"/>
    </xf>
    <xf numFmtId="0" fontId="118" fillId="2" borderId="7" xfId="0" applyFont="1" applyFill="1" applyBorder="1"/>
    <xf numFmtId="0" fontId="124" fillId="37" borderId="29" xfId="0" applyFont="1" applyFill="1" applyBorder="1" applyAlignment="1">
      <alignment vertical="center"/>
    </xf>
    <xf numFmtId="0" fontId="127" fillId="37" borderId="1" xfId="0" applyFont="1" applyFill="1" applyBorder="1" applyAlignment="1">
      <alignment vertical="top" shrinkToFit="1"/>
    </xf>
    <xf numFmtId="0" fontId="124" fillId="37" borderId="1" xfId="0" applyFont="1" applyFill="1" applyBorder="1" applyAlignment="1">
      <alignment horizontal="center" vertical="top"/>
    </xf>
    <xf numFmtId="0" fontId="116" fillId="37" borderId="1" xfId="0" applyFont="1" applyFill="1" applyBorder="1" applyAlignment="1">
      <alignment vertical="center" shrinkToFit="1"/>
    </xf>
    <xf numFmtId="164" fontId="127" fillId="37" borderId="7" xfId="1" applyFont="1" applyFill="1" applyBorder="1" applyAlignment="1">
      <alignment vertical="center" shrinkToFit="1"/>
    </xf>
    <xf numFmtId="0" fontId="127" fillId="37" borderId="7" xfId="0" applyFont="1" applyFill="1" applyBorder="1" applyAlignment="1">
      <alignment horizontal="center" vertical="center" shrinkToFit="1"/>
    </xf>
    <xf numFmtId="164" fontId="127" fillId="37" borderId="9" xfId="1" applyFont="1" applyFill="1" applyBorder="1" applyAlignment="1">
      <alignment vertical="center" shrinkToFit="1"/>
    </xf>
    <xf numFmtId="0" fontId="116" fillId="4" borderId="5" xfId="0" applyFont="1" applyFill="1" applyBorder="1" applyAlignment="1">
      <alignment horizontal="center" vertical="center" shrinkToFit="1"/>
    </xf>
    <xf numFmtId="164" fontId="127" fillId="4" borderId="6" xfId="1" applyFont="1" applyFill="1" applyBorder="1" applyAlignment="1">
      <alignment horizontal="center" vertical="center" shrinkToFit="1"/>
    </xf>
    <xf numFmtId="0" fontId="145" fillId="4" borderId="30" xfId="0" applyFont="1" applyFill="1" applyBorder="1" applyAlignment="1">
      <alignment horizontal="center" vertical="center"/>
    </xf>
    <xf numFmtId="0" fontId="124" fillId="38" borderId="12" xfId="0" applyFont="1" applyFill="1" applyBorder="1" applyAlignment="1">
      <alignment vertical="center"/>
    </xf>
    <xf numFmtId="0" fontId="127" fillId="38" borderId="4" xfId="0" applyFont="1" applyFill="1" applyBorder="1" applyAlignment="1">
      <alignment vertical="top" shrinkToFit="1"/>
    </xf>
    <xf numFmtId="0" fontId="124" fillId="38" borderId="4" xfId="0" applyFont="1" applyFill="1" applyBorder="1" applyAlignment="1">
      <alignment horizontal="center" vertical="top"/>
    </xf>
    <xf numFmtId="0" fontId="116" fillId="38" borderId="4" xfId="0" applyFont="1" applyFill="1" applyBorder="1" applyAlignment="1">
      <alignment vertical="center" shrinkToFit="1"/>
    </xf>
    <xf numFmtId="164" fontId="127" fillId="38" borderId="3" xfId="1" applyFont="1" applyFill="1" applyBorder="1" applyAlignment="1">
      <alignment vertical="center" shrinkToFit="1"/>
    </xf>
    <xf numFmtId="0" fontId="124" fillId="4" borderId="12" xfId="0" applyFont="1" applyFill="1" applyBorder="1" applyAlignment="1">
      <alignment vertical="center"/>
    </xf>
    <xf numFmtId="0" fontId="124" fillId="4" borderId="5" xfId="0" applyFont="1" applyFill="1" applyBorder="1" applyAlignment="1">
      <alignment vertical="center"/>
    </xf>
    <xf numFmtId="0" fontId="131" fillId="4" borderId="29" xfId="0" applyFont="1" applyFill="1" applyBorder="1" applyAlignment="1">
      <alignment vertical="center"/>
    </xf>
    <xf numFmtId="0" fontId="118" fillId="2" borderId="30" xfId="0" applyFont="1" applyFill="1" applyBorder="1" applyAlignment="1">
      <alignment vertical="top" shrinkToFit="1"/>
    </xf>
    <xf numFmtId="0" fontId="118" fillId="2" borderId="0" xfId="0" applyFont="1" applyFill="1" applyAlignment="1">
      <alignment horizontal="center" vertical="top"/>
    </xf>
    <xf numFmtId="0" fontId="116" fillId="2" borderId="30" xfId="0" applyFont="1" applyFill="1" applyBorder="1"/>
    <xf numFmtId="164" fontId="118" fillId="2" borderId="30" xfId="1" applyFont="1" applyFill="1" applyBorder="1"/>
    <xf numFmtId="0" fontId="127" fillId="19" borderId="30" xfId="0" applyFont="1" applyFill="1" applyBorder="1" applyAlignment="1">
      <alignment horizontal="center" vertical="top" shrinkToFit="1"/>
    </xf>
    <xf numFmtId="0" fontId="116" fillId="19" borderId="0" xfId="0" applyFont="1" applyFill="1" applyAlignment="1">
      <alignment horizontal="center" vertical="center" shrinkToFit="1"/>
    </xf>
    <xf numFmtId="164" fontId="127" fillId="19" borderId="30" xfId="1" applyFont="1" applyFill="1" applyBorder="1" applyAlignment="1">
      <alignment horizontal="center" vertical="center" shrinkToFit="1"/>
    </xf>
    <xf numFmtId="0" fontId="127" fillId="19" borderId="13" xfId="0" applyFont="1" applyFill="1" applyBorder="1" applyAlignment="1">
      <alignment horizontal="center" vertical="top"/>
    </xf>
    <xf numFmtId="0" fontId="131" fillId="4" borderId="5" xfId="0" applyFont="1" applyFill="1" applyBorder="1" applyAlignment="1">
      <alignment horizontal="left" vertical="center"/>
    </xf>
    <xf numFmtId="0" fontId="116" fillId="19" borderId="0" xfId="0" applyFont="1" applyFill="1" applyAlignment="1">
      <alignment vertical="center" shrinkToFit="1"/>
    </xf>
    <xf numFmtId="164" fontId="127" fillId="19" borderId="30" xfId="1" applyFont="1" applyFill="1" applyBorder="1" applyAlignment="1">
      <alignment vertical="center" shrinkToFit="1"/>
    </xf>
    <xf numFmtId="0" fontId="127" fillId="0" borderId="13" xfId="0" applyFont="1" applyBorder="1" applyAlignment="1">
      <alignment horizontal="center" vertical="top"/>
    </xf>
    <xf numFmtId="0" fontId="127" fillId="19" borderId="0" xfId="0" applyFont="1" applyFill="1" applyAlignment="1">
      <alignment horizontal="center" vertical="top" shrinkToFit="1"/>
    </xf>
    <xf numFmtId="0" fontId="127" fillId="19" borderId="5" xfId="0" applyFont="1" applyFill="1" applyBorder="1" applyAlignment="1">
      <alignment horizontal="center" vertical="top" shrinkToFit="1"/>
    </xf>
    <xf numFmtId="0" fontId="127" fillId="19" borderId="30" xfId="0" applyFont="1" applyFill="1" applyBorder="1" applyAlignment="1">
      <alignment horizontal="center" vertical="top"/>
    </xf>
    <xf numFmtId="164" fontId="127" fillId="4" borderId="7" xfId="1" applyFont="1" applyFill="1" applyBorder="1" applyAlignment="1">
      <alignment horizontal="center" vertical="center" shrinkToFit="1"/>
    </xf>
    <xf numFmtId="0" fontId="124" fillId="38" borderId="8" xfId="0" applyFont="1" applyFill="1" applyBorder="1" applyAlignment="1">
      <alignment vertical="center"/>
    </xf>
    <xf numFmtId="0" fontId="127" fillId="38" borderId="11" xfId="0" applyFont="1" applyFill="1" applyBorder="1" applyAlignment="1">
      <alignment vertical="top" shrinkToFit="1"/>
    </xf>
    <xf numFmtId="0" fontId="124" fillId="38" borderId="11" xfId="0" applyFont="1" applyFill="1" applyBorder="1" applyAlignment="1">
      <alignment horizontal="center" vertical="top"/>
    </xf>
    <xf numFmtId="0" fontId="116" fillId="38" borderId="11" xfId="0" applyFont="1" applyFill="1" applyBorder="1" applyAlignment="1">
      <alignment vertical="center" shrinkToFit="1"/>
    </xf>
    <xf numFmtId="164" fontId="127" fillId="38" borderId="10" xfId="1" applyFont="1" applyFill="1" applyBorder="1" applyAlignment="1">
      <alignment vertical="center" shrinkToFit="1"/>
    </xf>
    <xf numFmtId="0" fontId="116" fillId="4" borderId="0" xfId="0" applyFont="1" applyFill="1" applyAlignment="1">
      <alignment horizontal="center" vertical="center"/>
    </xf>
    <xf numFmtId="164" fontId="127" fillId="4" borderId="0" xfId="1" applyFont="1" applyFill="1" applyBorder="1" applyAlignment="1">
      <alignment horizontal="center" vertical="center"/>
    </xf>
    <xf numFmtId="0" fontId="131" fillId="19" borderId="5" xfId="0" applyFont="1" applyFill="1" applyBorder="1" applyAlignment="1">
      <alignment vertical="center"/>
    </xf>
    <xf numFmtId="0" fontId="127" fillId="19" borderId="0" xfId="0" applyFont="1" applyFill="1" applyAlignment="1">
      <alignment vertical="top" shrinkToFit="1"/>
    </xf>
    <xf numFmtId="0" fontId="127" fillId="19" borderId="0" xfId="0" applyFont="1" applyFill="1" applyAlignment="1">
      <alignment horizontal="center" vertical="top"/>
    </xf>
    <xf numFmtId="164" fontId="127" fillId="19" borderId="0" xfId="1" applyFont="1" applyFill="1" applyBorder="1" applyAlignment="1">
      <alignment vertical="center" shrinkToFit="1"/>
    </xf>
    <xf numFmtId="0" fontId="127" fillId="4" borderId="2" xfId="0" applyFont="1" applyFill="1" applyBorder="1" applyAlignment="1">
      <alignment horizontal="center" vertical="center" shrinkToFit="1"/>
    </xf>
    <xf numFmtId="0" fontId="118" fillId="2" borderId="30" xfId="0" applyFont="1" applyFill="1" applyBorder="1"/>
    <xf numFmtId="0" fontId="127" fillId="4" borderId="6" xfId="0" applyFont="1" applyFill="1" applyBorder="1" applyAlignment="1">
      <alignment horizontal="center" vertical="center" shrinkToFit="1"/>
    </xf>
    <xf numFmtId="0" fontId="131" fillId="4" borderId="2" xfId="0" applyFont="1" applyFill="1" applyBorder="1" applyAlignment="1">
      <alignment vertical="center"/>
    </xf>
    <xf numFmtId="0" fontId="127" fillId="4" borderId="2" xfId="0" applyFont="1" applyFill="1" applyBorder="1" applyAlignment="1">
      <alignment horizontal="center" vertical="top"/>
    </xf>
    <xf numFmtId="0" fontId="127" fillId="4" borderId="12" xfId="0" applyFont="1" applyFill="1" applyBorder="1" applyAlignment="1">
      <alignment horizontal="center" vertical="center" shrinkToFit="1"/>
    </xf>
    <xf numFmtId="0" fontId="127" fillId="4" borderId="5" xfId="0" applyFont="1" applyFill="1" applyBorder="1" applyAlignment="1">
      <alignment horizontal="center" vertical="center" shrinkToFit="1"/>
    </xf>
    <xf numFmtId="0" fontId="143" fillId="4" borderId="30" xfId="0" applyFont="1" applyFill="1" applyBorder="1" applyAlignment="1">
      <alignment horizontal="center" vertical="top"/>
    </xf>
    <xf numFmtId="0" fontId="116" fillId="19" borderId="30" xfId="0" applyFont="1" applyFill="1" applyBorder="1" applyAlignment="1">
      <alignment vertical="center" shrinkToFit="1"/>
    </xf>
    <xf numFmtId="0" fontId="118" fillId="2" borderId="6" xfId="0" applyFont="1" applyFill="1" applyBorder="1"/>
    <xf numFmtId="0" fontId="127" fillId="4" borderId="0" xfId="0" applyFont="1" applyFill="1" applyAlignment="1">
      <alignment horizontal="center" vertical="center" shrinkToFit="1"/>
    </xf>
    <xf numFmtId="0" fontId="127" fillId="4" borderId="5" xfId="0" applyFont="1" applyFill="1" applyBorder="1" applyAlignment="1">
      <alignment horizontal="center" vertical="top"/>
    </xf>
    <xf numFmtId="0" fontId="127" fillId="4" borderId="6" xfId="0" applyFont="1" applyFill="1" applyBorder="1" applyAlignment="1">
      <alignment horizontal="center" vertical="top" shrinkToFit="1"/>
    </xf>
    <xf numFmtId="0" fontId="116" fillId="4" borderId="6" xfId="0" applyFont="1" applyFill="1" applyBorder="1" applyAlignment="1">
      <alignment horizontal="center" vertical="center" shrinkToFit="1"/>
    </xf>
    <xf numFmtId="0" fontId="131" fillId="19" borderId="12" xfId="0" applyFont="1" applyFill="1" applyBorder="1" applyAlignment="1">
      <alignment vertical="center"/>
    </xf>
    <xf numFmtId="0" fontId="127" fillId="4" borderId="2" xfId="0" applyFont="1" applyFill="1" applyBorder="1" applyAlignment="1">
      <alignment horizontal="center" vertical="top" shrinkToFit="1"/>
    </xf>
    <xf numFmtId="0" fontId="127" fillId="19" borderId="12" xfId="0" applyFont="1" applyFill="1" applyBorder="1" applyAlignment="1">
      <alignment horizontal="center" vertical="center" shrinkToFit="1"/>
    </xf>
    <xf numFmtId="0" fontId="122" fillId="19" borderId="0" xfId="0" applyFont="1" applyFill="1" applyAlignment="1">
      <alignment horizontal="center" vertical="top"/>
    </xf>
    <xf numFmtId="0" fontId="132" fillId="19" borderId="0" xfId="0" applyFont="1" applyFill="1" applyAlignment="1">
      <alignment horizontal="center" vertical="top"/>
    </xf>
    <xf numFmtId="0" fontId="131" fillId="19" borderId="30" xfId="0" applyFont="1" applyFill="1" applyBorder="1" applyAlignment="1">
      <alignment vertical="center"/>
    </xf>
    <xf numFmtId="0" fontId="127" fillId="19" borderId="5" xfId="0" applyFont="1" applyFill="1" applyBorder="1" applyAlignment="1">
      <alignment horizontal="center" vertical="center" shrinkToFit="1"/>
    </xf>
    <xf numFmtId="0" fontId="124" fillId="37" borderId="11" xfId="0" applyFont="1" applyFill="1" applyBorder="1" applyAlignment="1">
      <alignment horizontal="center" vertical="top" shrinkToFit="1"/>
    </xf>
    <xf numFmtId="0" fontId="133" fillId="37" borderId="11" xfId="0" applyFont="1" applyFill="1" applyBorder="1" applyAlignment="1">
      <alignment horizontal="center" vertical="center" shrinkToFit="1"/>
    </xf>
    <xf numFmtId="164" fontId="124" fillId="37" borderId="10" xfId="1" applyFont="1" applyFill="1" applyBorder="1" applyAlignment="1">
      <alignment horizontal="center" vertical="center" shrinkToFit="1"/>
    </xf>
    <xf numFmtId="0" fontId="132" fillId="4" borderId="13" xfId="0" applyFont="1" applyFill="1" applyBorder="1" applyAlignment="1">
      <alignment horizontal="center" vertical="top"/>
    </xf>
    <xf numFmtId="164" fontId="156" fillId="36" borderId="30" xfId="0" applyNumberFormat="1" applyFont="1" applyFill="1" applyBorder="1" applyAlignment="1">
      <alignment horizontal="center"/>
    </xf>
    <xf numFmtId="164" fontId="127" fillId="38" borderId="11" xfId="1" applyFont="1" applyFill="1" applyBorder="1" applyAlignment="1">
      <alignment vertical="center" shrinkToFit="1"/>
    </xf>
    <xf numFmtId="0" fontId="124" fillId="38" borderId="5" xfId="0" applyFont="1" applyFill="1" applyBorder="1" applyAlignment="1">
      <alignment vertical="center"/>
    </xf>
    <xf numFmtId="0" fontId="127" fillId="38" borderId="0" xfId="0" applyFont="1" applyFill="1" applyAlignment="1">
      <alignment vertical="top" shrinkToFit="1"/>
    </xf>
    <xf numFmtId="0" fontId="116" fillId="38" borderId="0" xfId="0" applyFont="1" applyFill="1" applyAlignment="1">
      <alignment vertical="center" shrinkToFit="1"/>
    </xf>
    <xf numFmtId="164" fontId="127" fillId="38" borderId="13" xfId="1" applyFont="1" applyFill="1" applyBorder="1" applyAlignment="1">
      <alignment vertical="center" shrinkToFit="1"/>
    </xf>
    <xf numFmtId="0" fontId="127" fillId="37" borderId="13" xfId="0" applyFont="1" applyFill="1" applyBorder="1" applyAlignment="1">
      <alignment horizontal="center" vertical="center" shrinkToFit="1"/>
    </xf>
    <xf numFmtId="0" fontId="127" fillId="40" borderId="30" xfId="0" applyFont="1" applyFill="1" applyBorder="1" applyAlignment="1">
      <alignment horizontal="center" vertical="top"/>
    </xf>
    <xf numFmtId="0" fontId="127" fillId="36" borderId="30" xfId="0" applyFont="1" applyFill="1" applyBorder="1" applyAlignment="1">
      <alignment horizontal="center" vertical="top"/>
    </xf>
    <xf numFmtId="0" fontId="127" fillId="36" borderId="0" xfId="0" applyFont="1" applyFill="1" applyAlignment="1">
      <alignment horizontal="center" vertical="top"/>
    </xf>
    <xf numFmtId="0" fontId="127" fillId="36" borderId="5" xfId="0" applyFont="1" applyFill="1" applyBorder="1" applyAlignment="1">
      <alignment horizontal="center" vertical="top"/>
    </xf>
    <xf numFmtId="0" fontId="151" fillId="4" borderId="5" xfId="0" applyFont="1" applyFill="1" applyBorder="1" applyAlignment="1">
      <alignment horizontal="center" vertical="top"/>
    </xf>
    <xf numFmtId="0" fontId="132" fillId="4" borderId="30" xfId="0" applyFont="1" applyFill="1" applyBorder="1" applyAlignment="1">
      <alignment horizontal="center" vertical="top"/>
    </xf>
    <xf numFmtId="0" fontId="126" fillId="4" borderId="30" xfId="0" applyFont="1" applyFill="1" applyBorder="1" applyAlignment="1">
      <alignment horizontal="center" vertical="top"/>
    </xf>
    <xf numFmtId="0" fontId="131" fillId="4" borderId="6" xfId="0" applyFont="1" applyFill="1" applyBorder="1" applyAlignment="1">
      <alignment vertical="center"/>
    </xf>
    <xf numFmtId="0" fontId="127" fillId="4" borderId="29" xfId="0" applyFont="1" applyFill="1" applyBorder="1" applyAlignment="1">
      <alignment horizontal="center" vertical="top" shrinkToFit="1"/>
    </xf>
    <xf numFmtId="0" fontId="127" fillId="4" borderId="6" xfId="0" applyFont="1" applyFill="1" applyBorder="1" applyAlignment="1">
      <alignment horizontal="center" vertical="top"/>
    </xf>
    <xf numFmtId="0" fontId="118" fillId="4" borderId="0" xfId="0" applyFont="1" applyFill="1" applyAlignment="1">
      <alignment vertical="top" shrinkToFit="1"/>
    </xf>
    <xf numFmtId="0" fontId="118" fillId="4" borderId="0" xfId="0" applyFont="1" applyFill="1" applyAlignment="1">
      <alignment horizontal="center" vertical="top"/>
    </xf>
    <xf numFmtId="0" fontId="116" fillId="4" borderId="0" xfId="0" applyFont="1" applyFill="1" applyAlignment="1">
      <alignment shrinkToFit="1"/>
    </xf>
    <xf numFmtId="164" fontId="127" fillId="4" borderId="0" xfId="1" applyFont="1" applyFill="1"/>
    <xf numFmtId="0" fontId="118" fillId="2" borderId="0" xfId="0" applyFont="1" applyFill="1" applyAlignment="1">
      <alignment vertical="top" shrinkToFit="1"/>
    </xf>
    <xf numFmtId="0" fontId="116" fillId="2" borderId="0" xfId="0" applyFont="1" applyFill="1" applyAlignment="1">
      <alignment shrinkToFit="1"/>
    </xf>
    <xf numFmtId="164" fontId="127"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97" fillId="19" borderId="1" xfId="12" applyNumberFormat="1" applyFont="1" applyFill="1" applyBorder="1" applyAlignment="1">
      <alignment horizontal="center" vertical="center"/>
    </xf>
    <xf numFmtId="164" fontId="97" fillId="19" borderId="1" xfId="1" applyFont="1" applyFill="1" applyBorder="1" applyAlignment="1">
      <alignment horizontal="center" vertical="center"/>
    </xf>
    <xf numFmtId="164" fontId="101" fillId="19" borderId="1" xfId="1" applyFont="1" applyFill="1" applyBorder="1" applyAlignment="1">
      <alignment horizontal="center" vertical="center"/>
    </xf>
    <xf numFmtId="44" fontId="101" fillId="19" borderId="7" xfId="0" applyNumberFormat="1" applyFont="1" applyFill="1" applyBorder="1" applyAlignment="1">
      <alignment horizontal="center" vertical="center"/>
    </xf>
    <xf numFmtId="164" fontId="74" fillId="4" borderId="0" xfId="1" applyFont="1" applyFill="1" applyAlignment="1">
      <alignment horizontal="center" vertical="center"/>
    </xf>
    <xf numFmtId="4" fontId="74" fillId="4" borderId="0" xfId="0" applyNumberFormat="1" applyFont="1" applyFill="1" applyAlignment="1">
      <alignment horizontal="center" vertical="center"/>
    </xf>
    <xf numFmtId="4" fontId="55" fillId="4" borderId="0" xfId="0" applyNumberFormat="1" applyFont="1" applyFill="1"/>
    <xf numFmtId="9" fontId="45" fillId="9" borderId="9" xfId="12" applyFont="1" applyFill="1" applyBorder="1" applyAlignment="1" applyProtection="1">
      <alignment horizontal="center" vertical="center"/>
      <protection locked="0"/>
    </xf>
    <xf numFmtId="9" fontId="0" fillId="0" borderId="0" xfId="0" applyNumberFormat="1"/>
    <xf numFmtId="164" fontId="25" fillId="7" borderId="9" xfId="1" applyFont="1" applyFill="1" applyBorder="1" applyAlignment="1" applyProtection="1">
      <alignment horizontal="center" vertical="center"/>
      <protection locked="0"/>
    </xf>
    <xf numFmtId="164" fontId="0" fillId="4" borderId="0" xfId="1" applyFont="1" applyFill="1" applyBorder="1" applyProtection="1"/>
    <xf numFmtId="168" fontId="116" fillId="0" borderId="12" xfId="83" applyFont="1" applyBorder="1"/>
    <xf numFmtId="168" fontId="116" fillId="0" borderId="4" xfId="83" applyFont="1" applyBorder="1" applyAlignment="1">
      <alignment horizontal="center" shrinkToFit="1"/>
    </xf>
    <xf numFmtId="168" fontId="116" fillId="0" borderId="4" xfId="83" applyFont="1" applyBorder="1" applyAlignment="1">
      <alignment vertical="top"/>
    </xf>
    <xf numFmtId="168" fontId="116" fillId="0" borderId="0" xfId="83" applyFont="1"/>
    <xf numFmtId="164" fontId="117" fillId="0" borderId="0" xfId="1" applyFont="1" applyBorder="1" applyAlignment="1"/>
    <xf numFmtId="168" fontId="116" fillId="4" borderId="0" xfId="83" applyFont="1" applyFill="1"/>
    <xf numFmtId="168" fontId="118" fillId="2" borderId="5" xfId="83" applyFont="1" applyFill="1" applyBorder="1"/>
    <xf numFmtId="168" fontId="118" fillId="2" borderId="0" xfId="83" applyFont="1" applyFill="1" applyAlignment="1">
      <alignment horizontal="center" shrinkToFit="1"/>
    </xf>
    <xf numFmtId="168" fontId="119" fillId="3" borderId="0" xfId="83" applyFont="1" applyFill="1" applyAlignment="1">
      <alignment horizontal="right" vertical="top" wrapText="1"/>
    </xf>
    <xf numFmtId="168" fontId="120" fillId="3" borderId="0" xfId="83" applyFont="1" applyFill="1" applyAlignment="1">
      <alignment vertical="center"/>
    </xf>
    <xf numFmtId="168" fontId="118" fillId="2" borderId="0" xfId="83" applyFont="1" applyFill="1"/>
    <xf numFmtId="168" fontId="121" fillId="3" borderId="0" xfId="83" applyFont="1" applyFill="1" applyAlignment="1">
      <alignment horizontal="right" vertical="top"/>
    </xf>
    <xf numFmtId="164" fontId="120" fillId="3" borderId="0" xfId="1" applyFont="1" applyFill="1" applyBorder="1" applyAlignment="1">
      <alignment vertical="center"/>
    </xf>
    <xf numFmtId="168" fontId="118" fillId="2" borderId="29" xfId="83" applyFont="1" applyFill="1" applyBorder="1"/>
    <xf numFmtId="168" fontId="118" fillId="2" borderId="1" xfId="83" applyFont="1" applyFill="1" applyBorder="1" applyAlignment="1">
      <alignment horizontal="center" shrinkToFit="1"/>
    </xf>
    <xf numFmtId="168" fontId="122" fillId="3" borderId="1" xfId="84" applyNumberFormat="1" applyFont="1" applyFill="1" applyBorder="1" applyAlignment="1" applyProtection="1">
      <alignment horizontal="right" vertical="top"/>
    </xf>
    <xf numFmtId="164" fontId="162" fillId="3" borderId="0" xfId="84" applyNumberFormat="1" applyFont="1" applyFill="1" applyBorder="1" applyAlignment="1" applyProtection="1"/>
    <xf numFmtId="168" fontId="124" fillId="23" borderId="29" xfId="83" applyFont="1" applyFill="1" applyBorder="1" applyAlignment="1">
      <alignment horizontal="center" vertical="center"/>
    </xf>
    <xf numFmtId="168" fontId="124" fillId="23" borderId="0" xfId="83" applyFont="1" applyFill="1" applyAlignment="1">
      <alignment vertical="center"/>
    </xf>
    <xf numFmtId="168" fontId="121" fillId="3" borderId="0" xfId="83" applyFont="1" applyFill="1" applyAlignment="1">
      <alignment horizontal="right" vertical="center" wrapText="1"/>
    </xf>
    <xf numFmtId="168" fontId="118" fillId="0" borderId="0" xfId="83" applyFont="1" applyAlignment="1">
      <alignment horizontal="center"/>
    </xf>
    <xf numFmtId="168" fontId="118" fillId="2" borderId="0" xfId="83" applyFont="1" applyFill="1" applyAlignment="1">
      <alignment horizontal="center"/>
    </xf>
    <xf numFmtId="168" fontId="124" fillId="33" borderId="12" xfId="83" applyFont="1" applyFill="1" applyBorder="1" applyAlignment="1">
      <alignment vertical="center"/>
    </xf>
    <xf numFmtId="168" fontId="124" fillId="33" borderId="3" xfId="83" applyFont="1" applyFill="1" applyBorder="1" applyAlignment="1">
      <alignment horizontal="center" vertical="center" shrinkToFit="1"/>
    </xf>
    <xf numFmtId="168" fontId="124" fillId="33" borderId="12" xfId="83" applyFont="1" applyFill="1" applyBorder="1" applyAlignment="1">
      <alignment vertical="center" wrapText="1"/>
    </xf>
    <xf numFmtId="164" fontId="124" fillId="33" borderId="0" xfId="1" applyFont="1" applyFill="1" applyBorder="1" applyAlignment="1">
      <alignment vertical="center" wrapText="1"/>
    </xf>
    <xf numFmtId="168" fontId="124" fillId="33" borderId="13" xfId="83" applyFont="1" applyFill="1" applyBorder="1" applyAlignment="1">
      <alignment vertical="center" wrapText="1"/>
    </xf>
    <xf numFmtId="168" fontId="118" fillId="4" borderId="0" xfId="83" applyFont="1" applyFill="1" applyAlignment="1">
      <alignment horizontal="center"/>
    </xf>
    <xf numFmtId="168" fontId="124" fillId="33" borderId="29" xfId="83" applyFont="1" applyFill="1" applyBorder="1" applyAlignment="1">
      <alignment horizontal="left" vertical="center"/>
    </xf>
    <xf numFmtId="168" fontId="124" fillId="33" borderId="7" xfId="83" applyFont="1" applyFill="1" applyBorder="1" applyAlignment="1">
      <alignment horizontal="center" vertical="center" shrinkToFit="1"/>
    </xf>
    <xf numFmtId="168" fontId="124" fillId="33" borderId="29" xfId="83" applyFont="1" applyFill="1" applyBorder="1" applyAlignment="1">
      <alignment vertical="center" wrapText="1"/>
    </xf>
    <xf numFmtId="164" fontId="124" fillId="33" borderId="1" xfId="1" applyFont="1" applyFill="1" applyBorder="1" applyAlignment="1">
      <alignment vertical="center" wrapText="1"/>
    </xf>
    <xf numFmtId="168" fontId="124" fillId="33" borderId="7" xfId="83" applyFont="1" applyFill="1" applyBorder="1" applyAlignment="1">
      <alignment vertical="center" wrapText="1"/>
    </xf>
    <xf numFmtId="168" fontId="116" fillId="0" borderId="0" xfId="83" applyFont="1" applyAlignment="1">
      <alignment horizontal="center"/>
    </xf>
    <xf numFmtId="168" fontId="116" fillId="4" borderId="0" xfId="83" applyFont="1" applyFill="1" applyAlignment="1">
      <alignment horizontal="center"/>
    </xf>
    <xf numFmtId="168" fontId="116" fillId="6" borderId="0" xfId="83" applyFont="1" applyFill="1" applyAlignment="1">
      <alignment horizontal="center"/>
    </xf>
    <xf numFmtId="168" fontId="126" fillId="31" borderId="6" xfId="83" applyFont="1" applyFill="1" applyBorder="1" applyAlignment="1">
      <alignment horizontal="center" vertical="center"/>
    </xf>
    <xf numFmtId="168" fontId="126" fillId="31" borderId="6" xfId="83" applyFont="1" applyFill="1" applyBorder="1" applyAlignment="1">
      <alignment horizontal="center" vertical="center" shrinkToFit="1"/>
    </xf>
    <xf numFmtId="164" fontId="19" fillId="31" borderId="13" xfId="1" applyFont="1" applyFill="1" applyBorder="1" applyAlignment="1">
      <alignment horizontal="center" vertical="center" wrapText="1"/>
    </xf>
    <xf numFmtId="168" fontId="127" fillId="3" borderId="0" xfId="83" applyFont="1" applyFill="1" applyAlignment="1">
      <alignment horizontal="center" vertical="center" wrapText="1"/>
    </xf>
    <xf numFmtId="168" fontId="127" fillId="19" borderId="0" xfId="83" applyFont="1" applyFill="1" applyAlignment="1">
      <alignment horizontal="center" vertical="center" wrapText="1"/>
    </xf>
    <xf numFmtId="168" fontId="128" fillId="32" borderId="8" xfId="83" applyFont="1" applyFill="1" applyBorder="1"/>
    <xf numFmtId="168" fontId="128" fillId="32" borderId="9" xfId="83" applyFont="1" applyFill="1" applyBorder="1" applyAlignment="1">
      <alignment horizontal="center" vertical="center" shrinkToFit="1"/>
    </xf>
    <xf numFmtId="168" fontId="128" fillId="32" borderId="11" xfId="83" applyFont="1" applyFill="1" applyBorder="1" applyAlignment="1">
      <alignment horizontal="center" vertical="top"/>
    </xf>
    <xf numFmtId="168" fontId="128" fillId="32" borderId="8" xfId="83" applyFont="1" applyFill="1" applyBorder="1" applyAlignment="1">
      <alignment horizontal="center" vertical="center" shrinkToFit="1"/>
    </xf>
    <xf numFmtId="164" fontId="130" fillId="32" borderId="10" xfId="1" applyFont="1" applyFill="1" applyBorder="1" applyAlignment="1">
      <alignment horizontal="left" vertical="center" shrinkToFit="1"/>
    </xf>
    <xf numFmtId="168" fontId="131" fillId="4" borderId="5" xfId="83" applyFont="1" applyFill="1" applyBorder="1"/>
    <xf numFmtId="168" fontId="116" fillId="0" borderId="30" xfId="83" applyFont="1" applyBorder="1" applyAlignment="1">
      <alignment horizontal="center" vertical="center" shrinkToFit="1"/>
    </xf>
    <xf numFmtId="168" fontId="116" fillId="0" borderId="2" xfId="83" applyFont="1" applyBorder="1" applyAlignment="1">
      <alignment horizontal="center" vertical="top"/>
    </xf>
    <xf numFmtId="168" fontId="116" fillId="0" borderId="5" xfId="83" applyFont="1" applyBorder="1" applyAlignment="1">
      <alignment horizontal="center" vertical="center" shrinkToFit="1"/>
    </xf>
    <xf numFmtId="168" fontId="116" fillId="0" borderId="30" xfId="83" applyFont="1" applyBorder="1" applyAlignment="1">
      <alignment horizontal="center" vertical="top"/>
    </xf>
    <xf numFmtId="176" fontId="116" fillId="0" borderId="30" xfId="83" applyNumberFormat="1" applyFont="1" applyBorder="1" applyAlignment="1">
      <alignment horizontal="center" vertical="center" shrinkToFit="1"/>
    </xf>
    <xf numFmtId="168" fontId="163" fillId="0" borderId="30" xfId="83" applyFont="1" applyBorder="1" applyAlignment="1">
      <alignment horizontal="center" vertical="top"/>
    </xf>
    <xf numFmtId="168" fontId="116" fillId="0" borderId="0" xfId="83" applyFont="1" applyAlignment="1">
      <alignment vertical="top"/>
    </xf>
    <xf numFmtId="168" fontId="153" fillId="0" borderId="30" xfId="83" applyFont="1" applyBorder="1" applyAlignment="1">
      <alignment horizontal="center" vertical="top"/>
    </xf>
    <xf numFmtId="168" fontId="129" fillId="0" borderId="30" xfId="83" applyFont="1" applyBorder="1" applyAlignment="1">
      <alignment horizontal="center" vertical="top"/>
    </xf>
    <xf numFmtId="168" fontId="116" fillId="0" borderId="30" xfId="83" applyFont="1" applyBorder="1" applyAlignment="1">
      <alignment horizontal="left" vertical="top"/>
    </xf>
    <xf numFmtId="168" fontId="116" fillId="4" borderId="30" xfId="83" applyFont="1" applyFill="1" applyBorder="1" applyAlignment="1">
      <alignment horizontal="center" vertical="center" shrinkToFit="1"/>
    </xf>
    <xf numFmtId="164" fontId="130" fillId="0" borderId="13" xfId="1" applyFont="1" applyFill="1" applyBorder="1" applyAlignment="1">
      <alignment horizontal="left" vertical="center" shrinkToFit="1"/>
    </xf>
    <xf numFmtId="168" fontId="116" fillId="4" borderId="6" xfId="83" applyFont="1" applyFill="1" applyBorder="1" applyAlignment="1">
      <alignment horizontal="center" vertical="center" shrinkToFit="1"/>
    </xf>
    <xf numFmtId="168" fontId="132" fillId="4" borderId="0" xfId="83" applyFont="1" applyFill="1" applyAlignment="1">
      <alignment horizontal="center" vertical="top"/>
    </xf>
    <xf numFmtId="168" fontId="116" fillId="4" borderId="5" xfId="83" applyFont="1" applyFill="1" applyBorder="1" applyAlignment="1">
      <alignment horizontal="center" vertical="center" shrinkToFit="1"/>
    </xf>
    <xf numFmtId="164" fontId="130" fillId="4" borderId="13" xfId="1" applyFont="1" applyFill="1" applyBorder="1" applyAlignment="1">
      <alignment horizontal="left" vertical="center" shrinkToFit="1"/>
    </xf>
    <xf numFmtId="164" fontId="116" fillId="0" borderId="30" xfId="1" applyFont="1" applyFill="1" applyBorder="1"/>
    <xf numFmtId="168" fontId="131" fillId="4" borderId="29" xfId="83" applyFont="1" applyFill="1" applyBorder="1"/>
    <xf numFmtId="168" fontId="132" fillId="4" borderId="1" xfId="83" applyFont="1" applyFill="1" applyBorder="1" applyAlignment="1">
      <alignment horizontal="center" vertical="top"/>
    </xf>
    <xf numFmtId="168" fontId="116" fillId="4" borderId="29" xfId="83" applyFont="1" applyFill="1" applyBorder="1" applyAlignment="1">
      <alignment horizontal="center" vertical="center" shrinkToFit="1"/>
    </xf>
    <xf numFmtId="164" fontId="116" fillId="0" borderId="6" xfId="1" applyFont="1" applyFill="1" applyBorder="1"/>
    <xf numFmtId="164" fontId="116" fillId="0" borderId="7" xfId="1" applyFont="1" applyFill="1" applyBorder="1" applyAlignment="1">
      <alignment horizontal="center" vertical="center" shrinkToFit="1"/>
    </xf>
    <xf numFmtId="168" fontId="10" fillId="0" borderId="0" xfId="83"/>
    <xf numFmtId="164" fontId="116" fillId="0" borderId="2" xfId="1" applyFont="1" applyFill="1" applyBorder="1" applyAlignment="1">
      <alignment horizontal="center" vertical="center" shrinkToFit="1"/>
    </xf>
    <xf numFmtId="164" fontId="130" fillId="4" borderId="6" xfId="1" applyFont="1" applyFill="1" applyBorder="1" applyAlignment="1">
      <alignment horizontal="left" vertical="center" shrinkToFit="1"/>
    </xf>
    <xf numFmtId="168" fontId="116" fillId="0" borderId="0" xfId="83" applyFont="1" applyAlignment="1">
      <alignment horizontal="center" shrinkToFit="1"/>
    </xf>
    <xf numFmtId="164" fontId="130" fillId="0" borderId="0" xfId="1" applyFont="1" applyBorder="1" applyAlignment="1">
      <alignment horizontal="left"/>
    </xf>
    <xf numFmtId="164" fontId="117" fillId="0" borderId="13" xfId="1" applyFont="1" applyBorder="1" applyAlignment="1">
      <alignment horizontal="right"/>
    </xf>
    <xf numFmtId="168" fontId="118" fillId="2" borderId="13" xfId="83" applyFont="1" applyFill="1" applyBorder="1"/>
    <xf numFmtId="164" fontId="120" fillId="3" borderId="13" xfId="1" applyFont="1" applyFill="1" applyBorder="1" applyAlignment="1">
      <alignment vertical="center"/>
    </xf>
    <xf numFmtId="164" fontId="162" fillId="3" borderId="13" xfId="84" applyNumberFormat="1" applyFont="1" applyFill="1" applyBorder="1" applyAlignment="1" applyProtection="1"/>
    <xf numFmtId="168" fontId="116" fillId="0" borderId="12" xfId="30" applyFont="1" applyBorder="1"/>
    <xf numFmtId="168" fontId="116" fillId="0" borderId="4" xfId="30" applyFont="1" applyBorder="1" applyAlignment="1">
      <alignment horizontal="center" shrinkToFit="1"/>
    </xf>
    <xf numFmtId="168" fontId="116" fillId="0" borderId="4" xfId="30" applyFont="1" applyBorder="1" applyAlignment="1">
      <alignment vertical="top"/>
    </xf>
    <xf numFmtId="168" fontId="116" fillId="0" borderId="0" xfId="30" applyFont="1"/>
    <xf numFmtId="168" fontId="116" fillId="4" borderId="0" xfId="30" applyFont="1" applyFill="1"/>
    <xf numFmtId="168" fontId="118" fillId="2" borderId="5" xfId="30" applyFont="1" applyFill="1" applyBorder="1"/>
    <xf numFmtId="168" fontId="118" fillId="2" borderId="0" xfId="30" applyFont="1" applyFill="1" applyAlignment="1">
      <alignment horizontal="center" shrinkToFit="1"/>
    </xf>
    <xf numFmtId="168" fontId="119" fillId="3" borderId="0" xfId="30" applyFont="1" applyFill="1" applyAlignment="1">
      <alignment horizontal="right" vertical="top" wrapText="1"/>
    </xf>
    <xf numFmtId="168" fontId="121" fillId="3" borderId="0" xfId="30" applyFont="1" applyFill="1" applyAlignment="1">
      <alignment horizontal="right" vertical="center" wrapText="1"/>
    </xf>
    <xf numFmtId="168" fontId="118" fillId="2" borderId="0" xfId="30" applyFont="1" applyFill="1"/>
    <xf numFmtId="168" fontId="121" fillId="3" borderId="0" xfId="30" applyFont="1" applyFill="1" applyAlignment="1">
      <alignment horizontal="right" vertical="top"/>
    </xf>
    <xf numFmtId="168" fontId="118" fillId="2" borderId="29" xfId="30" applyFont="1" applyFill="1" applyBorder="1"/>
    <xf numFmtId="168" fontId="118" fillId="2" borderId="1" xfId="30" applyFont="1" applyFill="1" applyBorder="1" applyAlignment="1">
      <alignment horizontal="center" shrinkToFit="1"/>
    </xf>
    <xf numFmtId="168" fontId="124" fillId="23" borderId="29" xfId="30" applyFont="1" applyFill="1" applyBorder="1" applyAlignment="1">
      <alignment horizontal="center" vertical="center"/>
    </xf>
    <xf numFmtId="168" fontId="124" fillId="23" borderId="0" xfId="30" applyFont="1" applyFill="1" applyAlignment="1">
      <alignment vertical="center"/>
    </xf>
    <xf numFmtId="168" fontId="118" fillId="0" borderId="0" xfId="30" applyFont="1" applyAlignment="1">
      <alignment horizontal="center"/>
    </xf>
    <xf numFmtId="168" fontId="118" fillId="2" borderId="0" xfId="30" applyFont="1" applyFill="1" applyAlignment="1">
      <alignment horizontal="center"/>
    </xf>
    <xf numFmtId="168" fontId="124" fillId="33" borderId="12" xfId="30" applyFont="1" applyFill="1" applyBorder="1" applyAlignment="1">
      <alignment vertical="center"/>
    </xf>
    <xf numFmtId="168" fontId="124" fillId="33" borderId="3" xfId="30" applyFont="1" applyFill="1" applyBorder="1" applyAlignment="1">
      <alignment horizontal="center" vertical="center" shrinkToFit="1"/>
    </xf>
    <xf numFmtId="168" fontId="125" fillId="33" borderId="4" xfId="30" applyFont="1" applyFill="1" applyBorder="1" applyAlignment="1">
      <alignment horizontal="center" vertical="center"/>
    </xf>
    <xf numFmtId="164" fontId="129" fillId="33" borderId="2" xfId="1" applyFont="1" applyFill="1" applyBorder="1" applyAlignment="1">
      <alignment horizontal="left" vertical="center"/>
    </xf>
    <xf numFmtId="164" fontId="134" fillId="33" borderId="0" xfId="1" applyFont="1" applyFill="1" applyBorder="1" applyAlignment="1">
      <alignment horizontal="left" vertical="center"/>
    </xf>
    <xf numFmtId="164" fontId="134" fillId="33" borderId="30" xfId="1" applyFont="1" applyFill="1" applyBorder="1" applyAlignment="1">
      <alignment horizontal="left" vertical="center"/>
    </xf>
    <xf numFmtId="168" fontId="118" fillId="4" borderId="0" xfId="30" applyFont="1" applyFill="1" applyAlignment="1">
      <alignment horizontal="center"/>
    </xf>
    <xf numFmtId="168" fontId="124" fillId="33" borderId="29" xfId="30" applyFont="1" applyFill="1" applyBorder="1" applyAlignment="1">
      <alignment horizontal="left" vertical="center"/>
    </xf>
    <xf numFmtId="168" fontId="124" fillId="33" borderId="7" xfId="30" applyFont="1" applyFill="1" applyBorder="1" applyAlignment="1">
      <alignment horizontal="center" vertical="center" shrinkToFit="1"/>
    </xf>
    <xf numFmtId="168" fontId="124" fillId="35" borderId="29" xfId="30" applyFont="1" applyFill="1" applyBorder="1" applyAlignment="1">
      <alignment vertical="center"/>
    </xf>
    <xf numFmtId="164" fontId="129" fillId="35" borderId="6" xfId="1" applyFont="1" applyFill="1" applyBorder="1" applyAlignment="1">
      <alignment horizontal="left" vertical="center"/>
    </xf>
    <xf numFmtId="164" fontId="134" fillId="35" borderId="0" xfId="1" applyFont="1" applyFill="1" applyBorder="1" applyAlignment="1">
      <alignment horizontal="left" vertical="center"/>
    </xf>
    <xf numFmtId="164" fontId="134" fillId="35" borderId="30" xfId="1" applyFont="1" applyFill="1" applyBorder="1" applyAlignment="1">
      <alignment horizontal="left" vertical="center"/>
    </xf>
    <xf numFmtId="168" fontId="116" fillId="0" borderId="0" xfId="30" applyFont="1" applyAlignment="1">
      <alignment horizontal="center"/>
    </xf>
    <xf numFmtId="168" fontId="116" fillId="4" borderId="0" xfId="30" applyFont="1" applyFill="1" applyAlignment="1">
      <alignment horizontal="center"/>
    </xf>
    <xf numFmtId="168" fontId="116" fillId="6" borderId="0" xfId="30" applyFont="1" applyFill="1" applyAlignment="1">
      <alignment horizontal="center"/>
    </xf>
    <xf numFmtId="168" fontId="126" fillId="31" borderId="6" xfId="30" applyFont="1" applyFill="1" applyBorder="1" applyAlignment="1">
      <alignment horizontal="center" vertical="center"/>
    </xf>
    <xf numFmtId="168" fontId="126" fillId="31" borderId="6" xfId="30" applyFont="1" applyFill="1" applyBorder="1" applyAlignment="1">
      <alignment horizontal="center" vertical="center" shrinkToFit="1"/>
    </xf>
    <xf numFmtId="168" fontId="127" fillId="3" borderId="0" xfId="30" applyFont="1" applyFill="1" applyAlignment="1">
      <alignment horizontal="center" vertical="center" wrapText="1"/>
    </xf>
    <xf numFmtId="168" fontId="127" fillId="19" borderId="0" xfId="30" applyFont="1" applyFill="1" applyAlignment="1">
      <alignment horizontal="center" vertical="center" wrapText="1"/>
    </xf>
    <xf numFmtId="168" fontId="124" fillId="34" borderId="8" xfId="30" applyFont="1" applyFill="1" applyBorder="1" applyAlignment="1">
      <alignment vertical="center"/>
    </xf>
    <xf numFmtId="168" fontId="124" fillId="34" borderId="9" xfId="30" applyFont="1" applyFill="1" applyBorder="1" applyAlignment="1">
      <alignment horizontal="center" vertical="center" shrinkToFit="1"/>
    </xf>
    <xf numFmtId="168" fontId="124" fillId="34" borderId="11" xfId="30" applyFont="1" applyFill="1" applyBorder="1" applyAlignment="1">
      <alignment horizontal="center" vertical="top"/>
    </xf>
    <xf numFmtId="168" fontId="124" fillId="34" borderId="8" xfId="30" applyFont="1" applyFill="1" applyBorder="1" applyAlignment="1">
      <alignment vertical="center" shrinkToFit="1"/>
    </xf>
    <xf numFmtId="168" fontId="134" fillId="34" borderId="9" xfId="30" applyFont="1" applyFill="1" applyBorder="1" applyAlignment="1">
      <alignment vertical="center" shrinkToFit="1"/>
    </xf>
    <xf numFmtId="168" fontId="131" fillId="4" borderId="2" xfId="30" applyFont="1" applyFill="1" applyBorder="1"/>
    <xf numFmtId="176" fontId="116" fillId="0" borderId="2" xfId="30" applyNumberFormat="1" applyFont="1" applyBorder="1" applyAlignment="1">
      <alignment horizontal="center" vertical="center" shrinkToFit="1"/>
    </xf>
    <xf numFmtId="168" fontId="116" fillId="4" borderId="0" xfId="30" applyFont="1" applyFill="1" applyAlignment="1">
      <alignment horizontal="center" vertical="top"/>
    </xf>
    <xf numFmtId="168" fontId="116" fillId="4" borderId="12" xfId="30" applyFont="1" applyFill="1" applyBorder="1" applyAlignment="1">
      <alignment horizontal="center" vertical="center" shrinkToFit="1"/>
    </xf>
    <xf numFmtId="0" fontId="116" fillId="0" borderId="0" xfId="30" applyNumberFormat="1" applyFont="1"/>
    <xf numFmtId="168" fontId="131" fillId="4" borderId="30" xfId="30" applyFont="1" applyFill="1" applyBorder="1"/>
    <xf numFmtId="176" fontId="116" fillId="0" borderId="30" xfId="30" applyNumberFormat="1" applyFont="1" applyBorder="1" applyAlignment="1">
      <alignment horizontal="center" vertical="center" shrinkToFit="1"/>
    </xf>
    <xf numFmtId="168" fontId="116" fillId="4" borderId="5" xfId="30" applyFont="1" applyFill="1" applyBorder="1" applyAlignment="1">
      <alignment horizontal="center" vertical="center" shrinkToFit="1"/>
    </xf>
    <xf numFmtId="168" fontId="137" fillId="4" borderId="0" xfId="30" applyFont="1" applyFill="1" applyAlignment="1">
      <alignment horizontal="center" vertical="top"/>
    </xf>
    <xf numFmtId="168" fontId="139" fillId="4" borderId="0" xfId="30" applyFont="1" applyFill="1" applyAlignment="1">
      <alignment horizontal="center" vertical="top"/>
    </xf>
    <xf numFmtId="168" fontId="154" fillId="4" borderId="0" xfId="30" applyFont="1" applyFill="1" applyAlignment="1">
      <alignment horizontal="center" vertical="top"/>
    </xf>
    <xf numFmtId="168" fontId="116" fillId="4" borderId="13" xfId="30" applyFont="1" applyFill="1" applyBorder="1" applyAlignment="1">
      <alignment horizontal="center" vertical="center" shrinkToFit="1"/>
    </xf>
    <xf numFmtId="168" fontId="116" fillId="4" borderId="0" xfId="30" applyFont="1" applyFill="1" applyAlignment="1">
      <alignment vertical="top"/>
    </xf>
    <xf numFmtId="164" fontId="130" fillId="33" borderId="0" xfId="1" applyFont="1" applyFill="1" applyBorder="1" applyAlignment="1">
      <alignment horizontal="left" vertical="center"/>
    </xf>
    <xf numFmtId="164" fontId="130" fillId="33" borderId="30" xfId="1" applyFont="1" applyFill="1" applyBorder="1" applyAlignment="1">
      <alignment horizontal="left" vertical="center"/>
    </xf>
    <xf numFmtId="164" fontId="130" fillId="35" borderId="0" xfId="1" applyFont="1" applyFill="1" applyBorder="1" applyAlignment="1">
      <alignment horizontal="left" vertical="center"/>
    </xf>
    <xf numFmtId="164" fontId="130" fillId="35" borderId="30" xfId="1" applyFont="1" applyFill="1" applyBorder="1" applyAlignment="1">
      <alignment horizontal="left" vertical="center"/>
    </xf>
    <xf numFmtId="168" fontId="128" fillId="32" borderId="8" xfId="30" applyFont="1" applyFill="1" applyBorder="1"/>
    <xf numFmtId="168" fontId="128" fillId="32" borderId="9" xfId="30" applyFont="1" applyFill="1" applyBorder="1" applyAlignment="1">
      <alignment horizontal="center" vertical="center" shrinkToFit="1"/>
    </xf>
    <xf numFmtId="168" fontId="128" fillId="32" borderId="11" xfId="30" applyFont="1" applyFill="1" applyBorder="1" applyAlignment="1">
      <alignment horizontal="center" vertical="top"/>
    </xf>
    <xf numFmtId="168" fontId="128" fillId="32" borderId="8" xfId="30" applyFont="1" applyFill="1" applyBorder="1" applyAlignment="1">
      <alignment horizontal="center" vertical="center" shrinkToFit="1"/>
    </xf>
    <xf numFmtId="168" fontId="131" fillId="4" borderId="5" xfId="30" applyFont="1" applyFill="1" applyBorder="1"/>
    <xf numFmtId="168" fontId="116" fillId="0" borderId="30" xfId="30" applyFont="1" applyBorder="1" applyAlignment="1">
      <alignment horizontal="center" vertical="center" shrinkToFit="1"/>
    </xf>
    <xf numFmtId="168" fontId="116" fillId="2" borderId="0" xfId="30" applyFont="1" applyFill="1" applyAlignment="1">
      <alignment horizontal="center" vertical="top"/>
    </xf>
    <xf numFmtId="168" fontId="116" fillId="4" borderId="30" xfId="30" applyFont="1" applyFill="1" applyBorder="1" applyAlignment="1">
      <alignment horizontal="center" vertical="center" shrinkToFit="1"/>
    </xf>
    <xf numFmtId="168" fontId="116" fillId="32" borderId="8" xfId="30" applyFont="1" applyFill="1" applyBorder="1" applyAlignment="1">
      <alignment horizontal="center" vertical="center" shrinkToFit="1"/>
    </xf>
    <xf numFmtId="168" fontId="131" fillId="4" borderId="30" xfId="30" applyFont="1" applyFill="1" applyBorder="1" applyAlignment="1">
      <alignment horizontal="center" vertical="center" shrinkToFit="1"/>
    </xf>
    <xf numFmtId="168" fontId="116" fillId="0" borderId="0" xfId="30" applyFont="1" applyAlignment="1">
      <alignment vertical="top"/>
    </xf>
    <xf numFmtId="168" fontId="116" fillId="4" borderId="30" xfId="30" applyFont="1" applyFill="1" applyBorder="1" applyAlignment="1">
      <alignment vertical="top"/>
    </xf>
    <xf numFmtId="168" fontId="133" fillId="34" borderId="9" xfId="30" applyFont="1" applyFill="1" applyBorder="1" applyAlignment="1">
      <alignment horizontal="center" vertical="center" shrinkToFit="1"/>
    </xf>
    <xf numFmtId="168" fontId="133" fillId="34" borderId="8" xfId="30" applyFont="1" applyFill="1" applyBorder="1" applyAlignment="1">
      <alignment vertical="center" shrinkToFit="1"/>
    </xf>
    <xf numFmtId="168" fontId="116" fillId="34" borderId="8" xfId="30" applyFont="1" applyFill="1" applyBorder="1" applyAlignment="1">
      <alignment vertical="center" shrinkToFit="1"/>
    </xf>
    <xf numFmtId="168" fontId="116" fillId="0" borderId="2" xfId="30" applyFont="1" applyBorder="1" applyAlignment="1">
      <alignment horizontal="center" vertical="center" shrinkToFit="1"/>
    </xf>
    <xf numFmtId="168" fontId="132" fillId="4" borderId="0" xfId="30" applyFont="1" applyFill="1" applyAlignment="1">
      <alignment horizontal="center" vertical="top"/>
    </xf>
    <xf numFmtId="168" fontId="116" fillId="4" borderId="6" xfId="30" applyFont="1" applyFill="1" applyBorder="1" applyAlignment="1">
      <alignment horizontal="center" vertical="center" shrinkToFit="1"/>
    </xf>
    <xf numFmtId="168" fontId="116" fillId="4" borderId="29" xfId="30" applyFont="1" applyFill="1" applyBorder="1" applyAlignment="1">
      <alignment horizontal="center" vertical="center" shrinkToFit="1"/>
    </xf>
    <xf numFmtId="168" fontId="131" fillId="4" borderId="12" xfId="30" applyFont="1" applyFill="1" applyBorder="1"/>
    <xf numFmtId="168" fontId="116" fillId="4" borderId="4" xfId="30" applyFont="1" applyFill="1" applyBorder="1" applyAlignment="1">
      <alignment horizontal="center" vertical="center" shrinkToFit="1"/>
    </xf>
    <xf numFmtId="168" fontId="116" fillId="4" borderId="4" xfId="30" applyFont="1" applyFill="1" applyBorder="1" applyAlignment="1">
      <alignment horizontal="center" vertical="top" wrapText="1"/>
    </xf>
    <xf numFmtId="168" fontId="116" fillId="4" borderId="0" xfId="30" applyFont="1" applyFill="1" applyAlignment="1">
      <alignment horizontal="center" vertical="center" shrinkToFit="1"/>
    </xf>
    <xf numFmtId="168" fontId="116" fillId="4" borderId="0" xfId="30" applyFont="1" applyFill="1" applyAlignment="1">
      <alignment horizontal="center" vertical="top" wrapText="1"/>
    </xf>
    <xf numFmtId="168" fontId="131" fillId="4" borderId="29" xfId="30" applyFont="1" applyFill="1" applyBorder="1"/>
    <xf numFmtId="168" fontId="116" fillId="4" borderId="1" xfId="30" applyFont="1" applyFill="1" applyBorder="1" applyAlignment="1">
      <alignment horizontal="center" vertical="center" shrinkToFit="1"/>
    </xf>
    <xf numFmtId="168" fontId="116" fillId="4" borderId="1" xfId="30" applyFont="1" applyFill="1" applyBorder="1" applyAlignment="1">
      <alignment horizontal="center" vertical="top" wrapText="1"/>
    </xf>
    <xf numFmtId="168" fontId="116" fillId="4" borderId="30" xfId="30" applyFont="1" applyFill="1" applyBorder="1" applyAlignment="1">
      <alignment horizontal="center" vertical="top" shrinkToFit="1"/>
    </xf>
    <xf numFmtId="168" fontId="140" fillId="4" borderId="30" xfId="30" applyFont="1" applyFill="1" applyBorder="1" applyAlignment="1">
      <alignment horizontal="center" vertical="center" shrinkToFit="1"/>
    </xf>
    <xf numFmtId="0" fontId="116" fillId="0" borderId="30" xfId="30" applyNumberFormat="1" applyFont="1" applyBorder="1" applyAlignment="1">
      <alignment horizontal="center"/>
    </xf>
    <xf numFmtId="168" fontId="116" fillId="4" borderId="2" xfId="30" applyFont="1" applyFill="1" applyBorder="1" applyAlignment="1">
      <alignment horizontal="center" vertical="top" wrapText="1"/>
    </xf>
    <xf numFmtId="168" fontId="116" fillId="4" borderId="30" xfId="30" applyFont="1" applyFill="1" applyBorder="1" applyAlignment="1">
      <alignment horizontal="center" vertical="top" wrapText="1"/>
    </xf>
    <xf numFmtId="168" fontId="137" fillId="4" borderId="30" xfId="30" applyFont="1" applyFill="1" applyBorder="1" applyAlignment="1">
      <alignment horizontal="center" vertical="top"/>
    </xf>
    <xf numFmtId="168" fontId="116" fillId="4" borderId="6" xfId="30" applyFont="1" applyFill="1" applyBorder="1" applyAlignment="1">
      <alignment horizontal="center" vertical="top" wrapText="1"/>
    </xf>
    <xf numFmtId="168" fontId="128" fillId="32" borderId="11" xfId="30" applyFont="1" applyFill="1" applyBorder="1" applyAlignment="1">
      <alignment horizontal="center" vertical="center" shrinkToFit="1"/>
    </xf>
    <xf numFmtId="168" fontId="116" fillId="0" borderId="5" xfId="30" applyFont="1" applyBorder="1" applyAlignment="1">
      <alignment horizontal="center" vertical="center" shrinkToFit="1"/>
    </xf>
    <xf numFmtId="168" fontId="116" fillId="4" borderId="30" xfId="30" applyFont="1" applyFill="1" applyBorder="1" applyAlignment="1">
      <alignment vertical="top" wrapText="1"/>
    </xf>
    <xf numFmtId="168" fontId="132" fillId="4" borderId="30" xfId="30" applyFont="1" applyFill="1" applyBorder="1" applyAlignment="1">
      <alignment horizontal="center" vertical="top"/>
    </xf>
    <xf numFmtId="168" fontId="128" fillId="32" borderId="29" xfId="30" applyFont="1" applyFill="1" applyBorder="1"/>
    <xf numFmtId="168" fontId="128" fillId="32" borderId="6" xfId="30" applyFont="1" applyFill="1" applyBorder="1" applyAlignment="1">
      <alignment horizontal="center" vertical="center" shrinkToFit="1"/>
    </xf>
    <xf numFmtId="168" fontId="128" fillId="32" borderId="1" xfId="30" applyFont="1" applyFill="1" applyBorder="1" applyAlignment="1">
      <alignment horizontal="center" vertical="top"/>
    </xf>
    <xf numFmtId="168" fontId="128" fillId="32" borderId="29" xfId="30" applyFont="1" applyFill="1" applyBorder="1" applyAlignment="1">
      <alignment horizontal="center" vertical="center" shrinkToFit="1"/>
    </xf>
    <xf numFmtId="168" fontId="116" fillId="4" borderId="6" xfId="30" applyFont="1" applyFill="1" applyBorder="1" applyAlignment="1">
      <alignment vertical="top"/>
    </xf>
    <xf numFmtId="168" fontId="141" fillId="4" borderId="30" xfId="30" applyFont="1" applyFill="1" applyBorder="1" applyAlignment="1">
      <alignment horizontal="center" vertical="center" shrinkToFit="1"/>
    </xf>
    <xf numFmtId="168" fontId="141" fillId="4" borderId="30" xfId="30" applyFont="1" applyFill="1" applyBorder="1" applyAlignment="1">
      <alignment vertical="top" wrapText="1"/>
    </xf>
    <xf numFmtId="168" fontId="131" fillId="4" borderId="5" xfId="30" applyFont="1" applyFill="1" applyBorder="1" applyAlignment="1">
      <alignment vertical="center"/>
    </xf>
    <xf numFmtId="0" fontId="116" fillId="0" borderId="30" xfId="30" applyNumberFormat="1" applyFont="1" applyBorder="1" applyAlignment="1">
      <alignment horizontal="center" vertical="center" shrinkToFit="1"/>
    </xf>
    <xf numFmtId="168" fontId="133" fillId="4" borderId="0" xfId="30" applyFont="1" applyFill="1" applyAlignment="1">
      <alignment horizontal="center" vertical="top"/>
    </xf>
    <xf numFmtId="168" fontId="131" fillId="4" borderId="29" xfId="30" applyFont="1" applyFill="1" applyBorder="1" applyAlignment="1">
      <alignment vertical="center"/>
    </xf>
    <xf numFmtId="168" fontId="116" fillId="4" borderId="4" xfId="30" applyFont="1" applyFill="1" applyBorder="1" applyAlignment="1">
      <alignment horizontal="center" vertical="top"/>
    </xf>
    <xf numFmtId="168" fontId="115" fillId="0" borderId="0" xfId="30" applyFont="1" applyAlignment="1">
      <alignment horizontal="center" vertical="center"/>
    </xf>
    <xf numFmtId="168" fontId="116" fillId="4" borderId="30" xfId="30" applyFont="1" applyFill="1" applyBorder="1" applyAlignment="1">
      <alignment horizontal="center" vertical="top"/>
    </xf>
    <xf numFmtId="168" fontId="145" fillId="0" borderId="30" xfId="30" applyFont="1" applyBorder="1" applyAlignment="1">
      <alignment horizontal="center" vertical="center" shrinkToFit="1"/>
    </xf>
    <xf numFmtId="168" fontId="145" fillId="4" borderId="0" xfId="30" applyFont="1" applyFill="1" applyAlignment="1">
      <alignment vertical="top"/>
    </xf>
    <xf numFmtId="168" fontId="145" fillId="4" borderId="5" xfId="30" applyFont="1" applyFill="1" applyBorder="1" applyAlignment="1">
      <alignment horizontal="center" vertical="center" shrinkToFit="1"/>
    </xf>
    <xf numFmtId="168" fontId="133" fillId="0" borderId="30" xfId="30" applyFont="1" applyBorder="1" applyAlignment="1">
      <alignment horizontal="center" vertical="center" shrinkToFit="1"/>
    </xf>
    <xf numFmtId="168" fontId="133" fillId="4" borderId="0" xfId="30" applyFont="1" applyFill="1" applyAlignment="1">
      <alignment vertical="top"/>
    </xf>
    <xf numFmtId="168" fontId="133" fillId="4" borderId="5" xfId="30" applyFont="1" applyFill="1" applyBorder="1" applyAlignment="1">
      <alignment horizontal="center" vertical="center" shrinkToFit="1"/>
    </xf>
    <xf numFmtId="168" fontId="124" fillId="33" borderId="1" xfId="30" applyFont="1" applyFill="1" applyBorder="1" applyAlignment="1">
      <alignment horizontal="center" vertical="center"/>
    </xf>
    <xf numFmtId="168" fontId="116" fillId="2" borderId="30" xfId="30" applyFont="1" applyFill="1" applyBorder="1" applyAlignment="1">
      <alignment horizontal="center" shrinkToFit="1"/>
    </xf>
    <xf numFmtId="168" fontId="116" fillId="4" borderId="0" xfId="30" applyFont="1" applyFill="1" applyAlignment="1">
      <alignment horizontal="center" vertical="center"/>
    </xf>
    <xf numFmtId="168" fontId="116" fillId="4" borderId="5" xfId="30" applyFont="1" applyFill="1" applyBorder="1" applyAlignment="1">
      <alignment horizontal="center" vertical="center"/>
    </xf>
    <xf numFmtId="168" fontId="116" fillId="4" borderId="30" xfId="30" applyFont="1" applyFill="1" applyBorder="1" applyAlignment="1">
      <alignment horizontal="center" shrinkToFit="1"/>
    </xf>
    <xf numFmtId="168" fontId="127" fillId="4" borderId="0" xfId="30" applyFont="1" applyFill="1" applyAlignment="1">
      <alignment horizontal="center" vertical="center"/>
    </xf>
    <xf numFmtId="168" fontId="127" fillId="4" borderId="5" xfId="30" applyFont="1" applyFill="1" applyBorder="1" applyAlignment="1">
      <alignment horizontal="center" vertical="center"/>
    </xf>
    <xf numFmtId="168" fontId="142" fillId="4" borderId="30" xfId="30" applyFont="1" applyFill="1" applyBorder="1" applyAlignment="1">
      <alignment horizontal="center" vertical="center" shrinkToFit="1"/>
    </xf>
    <xf numFmtId="168" fontId="116" fillId="4" borderId="0" xfId="30" applyFont="1" applyFill="1" applyAlignment="1">
      <alignment vertical="top" wrapText="1"/>
    </xf>
    <xf numFmtId="168" fontId="116" fillId="4" borderId="0" xfId="30" applyFont="1" applyFill="1" applyAlignment="1">
      <alignment horizontal="center" shrinkToFit="1"/>
    </xf>
    <xf numFmtId="168" fontId="116" fillId="0" borderId="0" xfId="30" applyFont="1" applyAlignment="1">
      <alignment horizontal="center" shrinkToFit="1"/>
    </xf>
    <xf numFmtId="168" fontId="122" fillId="3" borderId="1" xfId="85" applyNumberFormat="1" applyFont="1" applyFill="1" applyBorder="1" applyAlignment="1" applyProtection="1">
      <alignment horizontal="center" vertical="top"/>
    </xf>
    <xf numFmtId="164" fontId="123" fillId="3" borderId="1" xfId="85" applyNumberFormat="1" applyFont="1" applyFill="1" applyBorder="1" applyAlignment="1" applyProtection="1">
      <alignment horizontal="right" vertical="top"/>
    </xf>
    <xf numFmtId="164" fontId="50" fillId="3" borderId="7" xfId="85" applyNumberFormat="1" applyFill="1" applyBorder="1" applyAlignment="1" applyProtection="1">
      <alignment horizontal="right" vertical="top"/>
    </xf>
    <xf numFmtId="0" fontId="118" fillId="2" borderId="13" xfId="0" applyFont="1" applyFill="1" applyBorder="1" applyAlignment="1">
      <alignment horizontal="center"/>
    </xf>
    <xf numFmtId="0" fontId="154" fillId="4" borderId="13" xfId="0" applyFont="1" applyFill="1" applyBorder="1" applyAlignment="1">
      <alignment horizontal="center" vertical="top"/>
    </xf>
    <xf numFmtId="168" fontId="116" fillId="0" borderId="12" xfId="101" applyFont="1" applyBorder="1"/>
    <xf numFmtId="168" fontId="116" fillId="0" borderId="4" xfId="101" applyFont="1" applyBorder="1" applyAlignment="1">
      <alignment horizontal="center" shrinkToFit="1"/>
    </xf>
    <xf numFmtId="168" fontId="116" fillId="0" borderId="4" xfId="101" applyFont="1" applyBorder="1" applyAlignment="1">
      <alignment vertical="top"/>
    </xf>
    <xf numFmtId="168" fontId="116" fillId="0" borderId="0" xfId="101" applyFont="1"/>
    <xf numFmtId="164" fontId="117" fillId="0" borderId="0" xfId="1" applyFont="1" applyBorder="1" applyAlignment="1">
      <alignment horizontal="right"/>
    </xf>
    <xf numFmtId="168" fontId="116" fillId="4" borderId="0" xfId="101" applyFont="1" applyFill="1"/>
    <xf numFmtId="168" fontId="118" fillId="2" borderId="5" xfId="101" applyFont="1" applyFill="1" applyBorder="1"/>
    <xf numFmtId="168" fontId="118" fillId="2" borderId="0" xfId="101" applyFont="1" applyFill="1" applyAlignment="1">
      <alignment horizontal="center" shrinkToFit="1"/>
    </xf>
    <xf numFmtId="168" fontId="119" fillId="3" borderId="0" xfId="101" applyFont="1" applyFill="1" applyAlignment="1">
      <alignment horizontal="right" vertical="top" wrapText="1"/>
    </xf>
    <xf numFmtId="168" fontId="120" fillId="3" borderId="0" xfId="101" applyFont="1" applyFill="1" applyAlignment="1">
      <alignment vertical="center"/>
    </xf>
    <xf numFmtId="168" fontId="118" fillId="2" borderId="0" xfId="101" applyFont="1" applyFill="1"/>
    <xf numFmtId="168" fontId="121" fillId="3" borderId="0" xfId="101" applyFont="1" applyFill="1" applyAlignment="1">
      <alignment horizontal="right" vertical="top"/>
    </xf>
    <xf numFmtId="168" fontId="118" fillId="2" borderId="29" xfId="101" applyFont="1" applyFill="1" applyBorder="1"/>
    <xf numFmtId="168" fontId="118" fillId="2" borderId="1" xfId="101" applyFont="1" applyFill="1" applyBorder="1" applyAlignment="1">
      <alignment horizontal="center" shrinkToFit="1"/>
    </xf>
    <xf numFmtId="168" fontId="124" fillId="23" borderId="29" xfId="101" applyFont="1" applyFill="1" applyBorder="1" applyAlignment="1">
      <alignment horizontal="center" vertical="center"/>
    </xf>
    <xf numFmtId="168" fontId="124" fillId="23" borderId="0" xfId="101" applyFont="1" applyFill="1" applyAlignment="1">
      <alignment vertical="center"/>
    </xf>
    <xf numFmtId="168" fontId="121" fillId="3" borderId="0" xfId="101" applyFont="1" applyFill="1" applyAlignment="1">
      <alignment horizontal="right" vertical="center" wrapText="1"/>
    </xf>
    <xf numFmtId="168" fontId="118" fillId="0" borderId="0" xfId="101" applyFont="1" applyAlignment="1">
      <alignment horizontal="center"/>
    </xf>
    <xf numFmtId="168" fontId="118" fillId="2" borderId="0" xfId="101" applyFont="1" applyFill="1" applyAlignment="1">
      <alignment horizontal="center"/>
    </xf>
    <xf numFmtId="168" fontId="124" fillId="33" borderId="12" xfId="101" applyFont="1" applyFill="1" applyBorder="1" applyAlignment="1">
      <alignment vertical="center"/>
    </xf>
    <xf numFmtId="168" fontId="124" fillId="33" borderId="3" xfId="101" applyFont="1" applyFill="1" applyBorder="1" applyAlignment="1">
      <alignment horizontal="center" vertical="center" shrinkToFit="1"/>
    </xf>
    <xf numFmtId="168" fontId="124" fillId="33" borderId="12" xfId="101" applyFont="1" applyFill="1" applyBorder="1" applyAlignment="1">
      <alignment vertical="center" wrapText="1"/>
    </xf>
    <xf numFmtId="168" fontId="124" fillId="33" borderId="13" xfId="101" applyFont="1" applyFill="1" applyBorder="1" applyAlignment="1">
      <alignment vertical="center" wrapText="1"/>
    </xf>
    <xf numFmtId="168" fontId="118" fillId="4" borderId="0" xfId="101" applyFont="1" applyFill="1" applyAlignment="1">
      <alignment horizontal="center"/>
    </xf>
    <xf numFmtId="168" fontId="124" fillId="33" borderId="29" xfId="101" applyFont="1" applyFill="1" applyBorder="1" applyAlignment="1">
      <alignment horizontal="left" vertical="center"/>
    </xf>
    <xf numFmtId="168" fontId="124" fillId="33" borderId="7" xfId="101" applyFont="1" applyFill="1" applyBorder="1" applyAlignment="1">
      <alignment horizontal="center" vertical="center" shrinkToFit="1"/>
    </xf>
    <xf numFmtId="168" fontId="124" fillId="33" borderId="29" xfId="101" applyFont="1" applyFill="1" applyBorder="1" applyAlignment="1">
      <alignment vertical="center" wrapText="1"/>
    </xf>
    <xf numFmtId="168" fontId="124" fillId="33" borderId="7" xfId="101" applyFont="1" applyFill="1" applyBorder="1" applyAlignment="1">
      <alignment vertical="center" wrapText="1"/>
    </xf>
    <xf numFmtId="168" fontId="116" fillId="0" borderId="0" xfId="101" applyFont="1" applyAlignment="1">
      <alignment horizontal="center"/>
    </xf>
    <xf numFmtId="168" fontId="116" fillId="4" borderId="0" xfId="101" applyFont="1" applyFill="1" applyAlignment="1">
      <alignment horizontal="center"/>
    </xf>
    <xf numFmtId="168" fontId="116" fillId="6" borderId="0" xfId="101" applyFont="1" applyFill="1" applyAlignment="1">
      <alignment horizontal="center"/>
    </xf>
    <xf numFmtId="168" fontId="126" fillId="31" borderId="6" xfId="101" applyFont="1" applyFill="1" applyBorder="1" applyAlignment="1">
      <alignment horizontal="center" vertical="center"/>
    </xf>
    <xf numFmtId="168" fontId="126" fillId="31" borderId="6" xfId="101" applyFont="1" applyFill="1" applyBorder="1" applyAlignment="1">
      <alignment horizontal="center" vertical="center" shrinkToFit="1"/>
    </xf>
    <xf numFmtId="168" fontId="127" fillId="3" borderId="0" xfId="101" applyFont="1" applyFill="1" applyAlignment="1">
      <alignment horizontal="center" vertical="center" wrapText="1"/>
    </xf>
    <xf numFmtId="168" fontId="127" fillId="19" borderId="0" xfId="101" applyFont="1" applyFill="1" applyAlignment="1">
      <alignment horizontal="center" vertical="center" wrapText="1"/>
    </xf>
    <xf numFmtId="168" fontId="128" fillId="32" borderId="8" xfId="101" applyFont="1" applyFill="1" applyBorder="1"/>
    <xf numFmtId="168" fontId="128" fillId="32" borderId="9" xfId="101" applyFont="1" applyFill="1" applyBorder="1" applyAlignment="1">
      <alignment horizontal="center" vertical="center" shrinkToFit="1"/>
    </xf>
    <xf numFmtId="168" fontId="128" fillId="32" borderId="11" xfId="101" applyFont="1" applyFill="1" applyBorder="1" applyAlignment="1">
      <alignment horizontal="center" vertical="top"/>
    </xf>
    <xf numFmtId="168" fontId="128" fillId="32" borderId="8" xfId="101" applyFont="1" applyFill="1" applyBorder="1" applyAlignment="1">
      <alignment horizontal="center" vertical="center" shrinkToFit="1"/>
    </xf>
    <xf numFmtId="168" fontId="131" fillId="4" borderId="5" xfId="101" applyFont="1" applyFill="1" applyBorder="1"/>
    <xf numFmtId="168" fontId="116" fillId="0" borderId="30" xfId="101" applyFont="1" applyBorder="1" applyAlignment="1">
      <alignment horizontal="center" vertical="center" shrinkToFit="1"/>
    </xf>
    <xf numFmtId="168" fontId="116" fillId="0" borderId="2" xfId="101" applyFont="1" applyBorder="1" applyAlignment="1">
      <alignment horizontal="center" vertical="top"/>
    </xf>
    <xf numFmtId="168" fontId="116" fillId="0" borderId="5" xfId="101" applyFont="1" applyBorder="1" applyAlignment="1">
      <alignment horizontal="center" vertical="center" shrinkToFit="1"/>
    </xf>
    <xf numFmtId="168" fontId="116" fillId="0" borderId="30" xfId="101" applyFont="1" applyBorder="1" applyAlignment="1">
      <alignment horizontal="center" vertical="top"/>
    </xf>
    <xf numFmtId="176" fontId="116" fillId="0" borderId="30" xfId="101" applyNumberFormat="1" applyFont="1" applyBorder="1" applyAlignment="1">
      <alignment horizontal="center" vertical="center" shrinkToFit="1"/>
    </xf>
    <xf numFmtId="168" fontId="127" fillId="0" borderId="30" xfId="101" applyFont="1" applyBorder="1" applyAlignment="1">
      <alignment horizontal="center" vertical="top"/>
    </xf>
    <xf numFmtId="168" fontId="116" fillId="0" borderId="0" xfId="101" applyFont="1" applyAlignment="1">
      <alignment vertical="top"/>
    </xf>
    <xf numFmtId="168" fontId="129" fillId="0" borderId="30" xfId="101" applyFont="1" applyBorder="1" applyAlignment="1">
      <alignment horizontal="center" vertical="top"/>
    </xf>
    <xf numFmtId="168" fontId="153" fillId="0" borderId="30" xfId="101" applyFont="1" applyBorder="1" applyAlignment="1">
      <alignment horizontal="center" vertical="top"/>
    </xf>
    <xf numFmtId="168" fontId="116" fillId="4" borderId="30" xfId="101" applyFont="1" applyFill="1" applyBorder="1" applyAlignment="1">
      <alignment horizontal="center" vertical="center" shrinkToFit="1"/>
    </xf>
    <xf numFmtId="168" fontId="133" fillId="0" borderId="30" xfId="101" applyFont="1" applyBorder="1" applyAlignment="1">
      <alignment horizontal="center" vertical="top"/>
    </xf>
    <xf numFmtId="168" fontId="116" fillId="4" borderId="6" xfId="101" applyFont="1" applyFill="1" applyBorder="1" applyAlignment="1">
      <alignment horizontal="center" vertical="center" shrinkToFit="1"/>
    </xf>
    <xf numFmtId="168" fontId="132" fillId="4" borderId="0" xfId="101" applyFont="1" applyFill="1" applyAlignment="1">
      <alignment horizontal="center" vertical="top"/>
    </xf>
    <xf numFmtId="168" fontId="116" fillId="4" borderId="5" xfId="101" applyFont="1" applyFill="1" applyBorder="1" applyAlignment="1">
      <alignment horizontal="center" vertical="center" shrinkToFit="1"/>
    </xf>
    <xf numFmtId="168" fontId="116" fillId="0" borderId="30" xfId="101" applyFont="1" applyBorder="1" applyAlignment="1">
      <alignment horizontal="left" vertical="top"/>
    </xf>
    <xf numFmtId="168" fontId="116" fillId="0" borderId="0" xfId="101" applyFont="1" applyAlignment="1">
      <alignment horizontal="center" vertical="top"/>
    </xf>
    <xf numFmtId="168" fontId="133" fillId="0" borderId="0" xfId="101" applyFont="1" applyAlignment="1">
      <alignment horizontal="center" vertical="top"/>
    </xf>
    <xf numFmtId="164" fontId="129" fillId="0" borderId="5" xfId="1" applyFont="1" applyBorder="1" applyAlignment="1">
      <alignment horizontal="left"/>
    </xf>
    <xf numFmtId="164" fontId="130" fillId="0" borderId="30" xfId="1" applyFont="1" applyBorder="1" applyAlignment="1">
      <alignment horizontal="left"/>
    </xf>
    <xf numFmtId="164" fontId="129" fillId="0" borderId="29" xfId="1" applyFont="1" applyBorder="1" applyAlignment="1">
      <alignment horizontal="left"/>
    </xf>
    <xf numFmtId="164" fontId="130" fillId="0" borderId="6" xfId="1" applyFont="1" applyBorder="1" applyAlignment="1">
      <alignment horizontal="left"/>
    </xf>
    <xf numFmtId="168" fontId="116" fillId="0" borderId="30" xfId="101" applyFont="1" applyBorder="1" applyAlignment="1">
      <alignment horizontal="center" vertical="top" wrapText="1"/>
    </xf>
    <xf numFmtId="168" fontId="131" fillId="4" borderId="29" xfId="101" applyFont="1" applyFill="1" applyBorder="1"/>
    <xf numFmtId="168" fontId="132" fillId="4" borderId="1" xfId="101" applyFont="1" applyFill="1" applyBorder="1" applyAlignment="1">
      <alignment horizontal="center" vertical="top"/>
    </xf>
    <xf numFmtId="168" fontId="116" fillId="4" borderId="29" xfId="101" applyFont="1" applyFill="1" applyBorder="1" applyAlignment="1">
      <alignment horizontal="center" vertical="center" shrinkToFit="1"/>
    </xf>
    <xf numFmtId="168" fontId="116" fillId="0" borderId="29" xfId="101" applyFont="1" applyBorder="1" applyAlignment="1">
      <alignment horizontal="center" vertical="center" shrinkToFit="1"/>
    </xf>
    <xf numFmtId="164" fontId="116" fillId="0" borderId="2" xfId="1" applyFont="1" applyFill="1" applyBorder="1"/>
    <xf numFmtId="168" fontId="116" fillId="0" borderId="1" xfId="101" applyFont="1" applyBorder="1"/>
    <xf numFmtId="176" fontId="116" fillId="0" borderId="6" xfId="101" applyNumberFormat="1" applyFont="1" applyBorder="1" applyAlignment="1">
      <alignment horizontal="center" vertical="center" shrinkToFit="1"/>
    </xf>
    <xf numFmtId="168" fontId="116" fillId="0" borderId="1" xfId="101" applyFont="1" applyBorder="1" applyAlignment="1">
      <alignment vertical="top"/>
    </xf>
    <xf numFmtId="168" fontId="153" fillId="0" borderId="0" xfId="101" applyFont="1" applyAlignment="1">
      <alignment horizontal="center" vertical="top"/>
    </xf>
    <xf numFmtId="168" fontId="116" fillId="0" borderId="2" xfId="101" applyFont="1" applyBorder="1" applyAlignment="1">
      <alignment horizontal="center" vertical="center" shrinkToFit="1"/>
    </xf>
    <xf numFmtId="168" fontId="116" fillId="0" borderId="0" xfId="101" applyFont="1" applyAlignment="1">
      <alignment horizontal="center" shrinkToFit="1"/>
    </xf>
    <xf numFmtId="0" fontId="46" fillId="9" borderId="9" xfId="1" applyNumberFormat="1" applyFont="1" applyFill="1" applyBorder="1" applyAlignment="1" applyProtection="1">
      <alignment horizontal="center" vertical="center"/>
      <protection locked="0"/>
    </xf>
    <xf numFmtId="0" fontId="42"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5" fillId="9" borderId="9" xfId="12" applyFont="1" applyFill="1" applyBorder="1" applyAlignment="1" applyProtection="1">
      <alignment horizontal="center" vertical="center"/>
    </xf>
    <xf numFmtId="164" fontId="45" fillId="9" borderId="9" xfId="1" applyFont="1" applyFill="1" applyBorder="1" applyAlignment="1" applyProtection="1">
      <alignment horizontal="center" vertical="center"/>
    </xf>
    <xf numFmtId="0" fontId="51" fillId="0" borderId="0" xfId="0" quotePrefix="1" applyFont="1" applyAlignment="1">
      <alignment horizontal="center"/>
    </xf>
    <xf numFmtId="0" fontId="0" fillId="24" borderId="0" xfId="0" applyFill="1"/>
    <xf numFmtId="0" fontId="0" fillId="24" borderId="37" xfId="0" applyFill="1" applyBorder="1"/>
    <xf numFmtId="0" fontId="31" fillId="0" borderId="36" xfId="0" applyFont="1" applyBorder="1" applyAlignment="1">
      <alignment horizontal="center"/>
    </xf>
    <xf numFmtId="0" fontId="31" fillId="0" borderId="0" xfId="0" applyFont="1" applyAlignment="1">
      <alignment horizontal="center"/>
    </xf>
    <xf numFmtId="0" fontId="26" fillId="0" borderId="0" xfId="0" applyFont="1" applyAlignment="1">
      <alignment horizontal="right"/>
    </xf>
    <xf numFmtId="0" fontId="0" fillId="0" borderId="0" xfId="0" quotePrefix="1"/>
    <xf numFmtId="9" fontId="22" fillId="4" borderId="45" xfId="12" applyFont="1" applyFill="1" applyBorder="1" applyAlignment="1" applyProtection="1">
      <alignment horizontal="center" vertical="center"/>
    </xf>
    <xf numFmtId="164" fontId="45" fillId="4" borderId="0" xfId="1" applyFont="1" applyFill="1" applyBorder="1" applyAlignment="1" applyProtection="1">
      <alignment horizontal="center" vertical="center"/>
    </xf>
    <xf numFmtId="10" fontId="45" fillId="4" borderId="0" xfId="12" applyNumberFormat="1" applyFont="1" applyFill="1" applyBorder="1" applyAlignment="1" applyProtection="1">
      <alignment horizontal="center" vertical="center"/>
    </xf>
    <xf numFmtId="9" fontId="22" fillId="4" borderId="47" xfId="12" applyFont="1" applyFill="1" applyBorder="1" applyAlignment="1" applyProtection="1">
      <alignment horizontal="center" wrapText="1"/>
    </xf>
    <xf numFmtId="0" fontId="172" fillId="0" borderId="0" xfId="0" applyFont="1"/>
    <xf numFmtId="0" fontId="172" fillId="45" borderId="0" xfId="0" applyFont="1" applyFill="1"/>
    <xf numFmtId="0" fontId="0" fillId="45" borderId="52" xfId="0" applyFill="1" applyBorder="1" applyProtection="1">
      <protection locked="0"/>
      <extLst>
        <ext xmlns:xfpb="http://schemas.microsoft.com/office/spreadsheetml/2022/featurepropertybag" uri="{C7286773-470A-42A8-94C5-96B5CB345126}">
          <xfpb:xfComplement i="0"/>
        </ext>
      </extLst>
    </xf>
    <xf numFmtId="164" fontId="12" fillId="4" borderId="0" xfId="1" applyFont="1" applyFill="1" applyProtection="1"/>
    <xf numFmtId="44" fontId="0" fillId="0" borderId="0" xfId="0" applyNumberFormat="1"/>
    <xf numFmtId="9" fontId="0" fillId="0" borderId="0" xfId="12" applyFont="1" applyProtection="1"/>
    <xf numFmtId="0" fontId="26" fillId="0" borderId="0" xfId="0" applyFont="1"/>
    <xf numFmtId="10" fontId="34" fillId="21" borderId="9" xfId="12" applyNumberFormat="1" applyFont="1" applyFill="1" applyBorder="1" applyAlignment="1" applyProtection="1">
      <alignment horizontal="left" vertical="center"/>
    </xf>
    <xf numFmtId="10" fontId="34" fillId="12" borderId="9" xfId="12" applyNumberFormat="1" applyFont="1" applyFill="1" applyBorder="1" applyAlignment="1" applyProtection="1">
      <alignment horizontal="left" vertical="center"/>
    </xf>
    <xf numFmtId="164" fontId="42" fillId="10" borderId="11" xfId="1" applyFont="1" applyFill="1" applyBorder="1" applyAlignment="1" applyProtection="1">
      <alignment vertical="center" wrapText="1"/>
    </xf>
    <xf numFmtId="9" fontId="41" fillId="4" borderId="0" xfId="12" applyFont="1" applyFill="1" applyAlignment="1" applyProtection="1">
      <alignment horizontal="left" vertical="center"/>
    </xf>
    <xf numFmtId="10" fontId="34" fillId="21" borderId="10" xfId="12" applyNumberFormat="1" applyFont="1" applyFill="1" applyBorder="1" applyAlignment="1" applyProtection="1">
      <alignment horizontal="center" vertical="center"/>
    </xf>
    <xf numFmtId="9" fontId="22" fillId="4" borderId="0" xfId="12" applyFont="1" applyFill="1" applyAlignment="1" applyProtection="1">
      <alignment horizontal="left" vertical="center"/>
    </xf>
    <xf numFmtId="10" fontId="34" fillId="4" borderId="0" xfId="12" applyNumberFormat="1" applyFont="1" applyFill="1" applyBorder="1" applyAlignment="1" applyProtection="1">
      <alignment horizontal="left" vertical="center"/>
    </xf>
    <xf numFmtId="9" fontId="12" fillId="4" borderId="0" xfId="12" applyFont="1" applyFill="1" applyAlignment="1" applyProtection="1">
      <alignment horizontal="left" vertical="center"/>
    </xf>
    <xf numFmtId="10" fontId="25" fillId="4" borderId="0" xfId="12" applyNumberFormat="1" applyFont="1" applyFill="1" applyBorder="1" applyAlignment="1" applyProtection="1">
      <alignment horizontal="center" vertical="center"/>
    </xf>
    <xf numFmtId="0" fontId="0" fillId="0" borderId="37" xfId="0" applyBorder="1" applyAlignment="1">
      <alignment horizontal="center" vertical="center"/>
    </xf>
    <xf numFmtId="0" fontId="12" fillId="4" borderId="0" xfId="0" applyFont="1" applyFill="1"/>
    <xf numFmtId="0" fontId="12" fillId="4" borderId="0" xfId="0" applyFont="1" applyFill="1" applyAlignment="1">
      <alignment horizontal="left"/>
    </xf>
    <xf numFmtId="0" fontId="23" fillId="4" borderId="0" xfId="0" applyFont="1" applyFill="1" applyAlignment="1">
      <alignment vertical="center"/>
    </xf>
    <xf numFmtId="0" fontId="12" fillId="4" borderId="0" xfId="0" applyFont="1" applyFill="1" applyAlignment="1">
      <alignment wrapText="1"/>
    </xf>
    <xf numFmtId="0" fontId="42" fillId="4" borderId="0" xfId="0" applyFont="1" applyFill="1" applyAlignment="1">
      <alignment vertical="center"/>
    </xf>
    <xf numFmtId="9" fontId="37" fillId="4" borderId="0" xfId="0" applyNumberFormat="1" applyFont="1" applyFill="1" applyAlignment="1">
      <alignment horizontal="left"/>
    </xf>
    <xf numFmtId="0" fontId="37" fillId="4" borderId="0" xfId="0" applyFont="1" applyFill="1"/>
    <xf numFmtId="44" fontId="37" fillId="4" borderId="0" xfId="0" applyNumberFormat="1" applyFont="1" applyFill="1"/>
    <xf numFmtId="164" fontId="35" fillId="22" borderId="9" xfId="0" applyNumberFormat="1" applyFont="1" applyFill="1" applyBorder="1" applyAlignment="1">
      <alignment horizontal="center" vertical="center"/>
    </xf>
    <xf numFmtId="0" fontId="37" fillId="4" borderId="0" xfId="0" applyFont="1" applyFill="1" applyAlignment="1">
      <alignment wrapText="1"/>
    </xf>
    <xf numFmtId="0" fontId="37" fillId="4" borderId="0" xfId="0" applyFont="1" applyFill="1" applyAlignment="1">
      <alignment horizontal="left" wrapText="1"/>
    </xf>
    <xf numFmtId="0" fontId="37" fillId="4" borderId="0" xfId="0" applyFont="1" applyFill="1" applyAlignment="1">
      <alignment horizontal="left"/>
    </xf>
    <xf numFmtId="44" fontId="37" fillId="4" borderId="0" xfId="0" applyNumberFormat="1" applyFont="1" applyFill="1" applyAlignment="1">
      <alignment wrapText="1"/>
    </xf>
    <xf numFmtId="164" fontId="29" fillId="4" borderId="0" xfId="0" applyNumberFormat="1" applyFont="1" applyFill="1" applyAlignment="1">
      <alignment horizontal="center" vertical="center" wrapText="1"/>
    </xf>
    <xf numFmtId="164" fontId="34" fillId="4" borderId="0" xfId="0" applyNumberFormat="1" applyFont="1" applyFill="1" applyAlignment="1">
      <alignment horizontal="left" vertical="center"/>
    </xf>
    <xf numFmtId="164" fontId="45" fillId="4" borderId="0" xfId="0" applyNumberFormat="1" applyFont="1" applyFill="1" applyAlignment="1">
      <alignment horizontal="left" vertical="center"/>
    </xf>
    <xf numFmtId="0" fontId="36" fillId="4" borderId="0" xfId="0" applyFont="1" applyFill="1" applyAlignment="1">
      <alignment vertical="center"/>
    </xf>
    <xf numFmtId="0" fontId="39" fillId="21" borderId="10" xfId="0" applyFont="1" applyFill="1" applyBorder="1" applyAlignment="1">
      <alignment vertical="center" wrapText="1"/>
    </xf>
    <xf numFmtId="0" fontId="39" fillId="21" borderId="6" xfId="0" applyFont="1" applyFill="1" applyBorder="1" applyAlignment="1">
      <alignment horizontal="center" vertical="center" wrapText="1"/>
    </xf>
    <xf numFmtId="0" fontId="39" fillId="7" borderId="9" xfId="0" applyFont="1" applyFill="1" applyBorder="1" applyAlignment="1">
      <alignment horizontal="center" vertical="center" wrapText="1"/>
    </xf>
    <xf numFmtId="0" fontId="39" fillId="5" borderId="9" xfId="0" applyFont="1" applyFill="1" applyBorder="1" applyAlignment="1">
      <alignment horizontal="center" vertical="center" wrapText="1"/>
    </xf>
    <xf numFmtId="0" fontId="39" fillId="41" borderId="6" xfId="0" applyFont="1" applyFill="1" applyBorder="1" applyAlignment="1">
      <alignment horizontal="center" vertical="center" wrapText="1"/>
    </xf>
    <xf numFmtId="0" fontId="39" fillId="42" borderId="6" xfId="0" applyFont="1" applyFill="1" applyBorder="1" applyAlignment="1">
      <alignment horizontal="center" vertical="center" wrapText="1"/>
    </xf>
    <xf numFmtId="0" fontId="39" fillId="47" borderId="6" xfId="0" applyFont="1" applyFill="1" applyBorder="1" applyAlignment="1">
      <alignment horizontal="center" vertical="center" wrapText="1"/>
    </xf>
    <xf numFmtId="0" fontId="42" fillId="10" borderId="11" xfId="0" applyFont="1" applyFill="1" applyBorder="1" applyAlignment="1">
      <alignment vertical="center" wrapText="1"/>
    </xf>
    <xf numFmtId="0" fontId="39" fillId="10" borderId="9" xfId="0" applyFont="1" applyFill="1" applyBorder="1" applyAlignment="1">
      <alignment vertical="center" wrapText="1"/>
    </xf>
    <xf numFmtId="0" fontId="42" fillId="10" borderId="10" xfId="0" applyFont="1" applyFill="1" applyBorder="1" applyAlignment="1">
      <alignment vertical="center" wrapText="1"/>
    </xf>
    <xf numFmtId="164" fontId="45"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164" fontId="45" fillId="9" borderId="9" xfId="0" applyNumberFormat="1" applyFont="1" applyFill="1" applyBorder="1" applyAlignment="1">
      <alignment horizontal="center" vertical="center"/>
    </xf>
    <xf numFmtId="0" fontId="45" fillId="9" borderId="9" xfId="0" applyFont="1" applyFill="1" applyBorder="1" applyAlignment="1">
      <alignment horizontal="center" vertical="center"/>
    </xf>
    <xf numFmtId="164" fontId="45" fillId="9" borderId="9" xfId="0" applyNumberFormat="1" applyFont="1" applyFill="1" applyBorder="1" applyAlignment="1">
      <alignment horizontal="left" vertical="center"/>
    </xf>
    <xf numFmtId="164" fontId="34" fillId="21" borderId="9" xfId="0" applyNumberFormat="1" applyFont="1" applyFill="1" applyBorder="1" applyAlignment="1">
      <alignment horizontal="left" vertical="center"/>
    </xf>
    <xf numFmtId="0" fontId="26" fillId="11" borderId="0" xfId="0" applyFont="1" applyFill="1" applyAlignment="1">
      <alignment horizontal="center"/>
    </xf>
    <xf numFmtId="0" fontId="12" fillId="4" borderId="0" xfId="0" applyFont="1" applyFill="1" applyAlignment="1">
      <alignment horizontal="left" vertical="center"/>
    </xf>
    <xf numFmtId="0" fontId="12" fillId="4" borderId="0" xfId="0" applyFont="1" applyFill="1" applyAlignment="1">
      <alignment vertical="center"/>
    </xf>
    <xf numFmtId="0" fontId="42" fillId="12" borderId="11" xfId="0" applyFont="1" applyFill="1" applyBorder="1" applyAlignment="1">
      <alignment horizontal="left" vertical="center" wrapText="1"/>
    </xf>
    <xf numFmtId="0" fontId="42" fillId="12" borderId="11" xfId="0" applyFont="1" applyFill="1" applyBorder="1" applyAlignment="1">
      <alignment vertical="center" wrapText="1"/>
    </xf>
    <xf numFmtId="2" fontId="34" fillId="12" borderId="9" xfId="0" applyNumberFormat="1" applyFont="1" applyFill="1" applyBorder="1" applyAlignment="1">
      <alignment horizontal="center" vertical="center" wrapText="1"/>
    </xf>
    <xf numFmtId="0" fontId="42" fillId="12" borderId="10" xfId="0" applyFont="1" applyFill="1" applyBorder="1" applyAlignment="1">
      <alignment vertical="center" wrapText="1"/>
    </xf>
    <xf numFmtId="0" fontId="40" fillId="12" borderId="10" xfId="0" applyFont="1" applyFill="1" applyBorder="1" applyAlignment="1">
      <alignment horizontal="center" vertical="center" wrapText="1"/>
    </xf>
    <xf numFmtId="164" fontId="34" fillId="12" borderId="9" xfId="0" applyNumberFormat="1" applyFont="1" applyFill="1" applyBorder="1" applyAlignment="1">
      <alignment horizontal="left" vertical="center" wrapText="1"/>
    </xf>
    <xf numFmtId="0" fontId="40" fillId="12" borderId="3" xfId="0" applyFont="1" applyFill="1" applyBorder="1" applyAlignment="1">
      <alignment horizontal="center" vertical="center" wrapText="1"/>
    </xf>
    <xf numFmtId="9" fontId="34" fillId="12" borderId="9" xfId="12" applyFont="1" applyFill="1" applyBorder="1" applyAlignment="1" applyProtection="1">
      <alignment horizontal="center" vertical="center" wrapText="1"/>
    </xf>
    <xf numFmtId="0" fontId="40" fillId="12" borderId="9" xfId="0" applyFont="1" applyFill="1" applyBorder="1" applyAlignment="1">
      <alignment horizontal="center" vertical="center" wrapText="1"/>
    </xf>
    <xf numFmtId="164" fontId="34" fillId="21" borderId="7" xfId="0" applyNumberFormat="1" applyFont="1" applyFill="1" applyBorder="1" applyAlignment="1">
      <alignment horizontal="center" vertical="center" wrapText="1"/>
    </xf>
    <xf numFmtId="0" fontId="41" fillId="4" borderId="0" xfId="0" applyFont="1" applyFill="1" applyAlignment="1">
      <alignment vertical="center"/>
    </xf>
    <xf numFmtId="43" fontId="34" fillId="21" borderId="0" xfId="103" applyFont="1" applyFill="1" applyBorder="1" applyAlignment="1" applyProtection="1">
      <alignment horizontal="center" vertical="center" wrapText="1"/>
    </xf>
    <xf numFmtId="0" fontId="34" fillId="21" borderId="0" xfId="103" applyNumberFormat="1" applyFont="1" applyFill="1" applyBorder="1" applyAlignment="1" applyProtection="1">
      <alignment horizontal="center" vertical="center" wrapText="1"/>
    </xf>
    <xf numFmtId="2" fontId="34" fillId="7" borderId="8" xfId="0" applyNumberFormat="1" applyFont="1" applyFill="1" applyBorder="1" applyAlignment="1">
      <alignment horizontal="center" vertical="center"/>
    </xf>
    <xf numFmtId="177" fontId="41" fillId="4" borderId="0" xfId="0" applyNumberFormat="1" applyFont="1" applyFill="1" applyAlignment="1">
      <alignment vertical="center"/>
    </xf>
    <xf numFmtId="164" fontId="34" fillId="7" borderId="8" xfId="0" applyNumberFormat="1" applyFont="1" applyFill="1" applyBorder="1" applyAlignment="1">
      <alignment horizontal="left" vertical="center"/>
    </xf>
    <xf numFmtId="177" fontId="12" fillId="4" borderId="0" xfId="0" applyNumberFormat="1" applyFont="1" applyFill="1"/>
    <xf numFmtId="164" fontId="34" fillId="21" borderId="10" xfId="0" applyNumberFormat="1" applyFont="1" applyFill="1" applyBorder="1" applyAlignment="1">
      <alignment horizontal="center" vertical="center" wrapText="1"/>
    </xf>
    <xf numFmtId="9" fontId="22" fillId="4" borderId="0" xfId="0" applyNumberFormat="1" applyFont="1" applyFill="1" applyAlignment="1">
      <alignment vertical="center"/>
    </xf>
    <xf numFmtId="0" fontId="22" fillId="4" borderId="0" xfId="0" applyFont="1" applyFill="1" applyAlignment="1">
      <alignment vertical="center"/>
    </xf>
    <xf numFmtId="177" fontId="22" fillId="4" borderId="0" xfId="0" applyNumberFormat="1" applyFont="1" applyFill="1" applyAlignment="1">
      <alignment vertical="center"/>
    </xf>
    <xf numFmtId="0" fontId="22" fillId="4" borderId="0" xfId="0" applyFont="1" applyFill="1" applyAlignment="1">
      <alignment horizontal="right" vertical="center"/>
    </xf>
    <xf numFmtId="177" fontId="22" fillId="4" borderId="0" xfId="0" applyNumberFormat="1" applyFont="1" applyFill="1" applyAlignment="1">
      <alignment horizontal="right" vertical="center"/>
    </xf>
    <xf numFmtId="177" fontId="12" fillId="4" borderId="0" xfId="0" applyNumberFormat="1" applyFont="1" applyFill="1" applyAlignment="1">
      <alignment vertical="center"/>
    </xf>
    <xf numFmtId="0" fontId="12" fillId="4" borderId="44" xfId="0" applyFont="1" applyFill="1" applyBorder="1" applyAlignment="1">
      <alignment vertical="center"/>
    </xf>
    <xf numFmtId="0" fontId="174" fillId="4" borderId="45" xfId="0" applyFont="1" applyFill="1" applyBorder="1" applyAlignment="1">
      <alignment horizontal="center" vertical="center"/>
    </xf>
    <xf numFmtId="0" fontId="22" fillId="4" borderId="44" xfId="0" applyFont="1" applyFill="1" applyBorder="1" applyAlignment="1">
      <alignment vertical="center"/>
    </xf>
    <xf numFmtId="0" fontId="16" fillId="4" borderId="0" xfId="0" applyFont="1" applyFill="1" applyAlignment="1">
      <alignment horizontal="center" vertical="center"/>
    </xf>
    <xf numFmtId="177" fontId="16" fillId="4" borderId="0" xfId="0" applyNumberFormat="1" applyFont="1" applyFill="1" applyAlignment="1">
      <alignment horizontal="center" vertical="center"/>
    </xf>
    <xf numFmtId="0" fontId="13" fillId="4" borderId="0" xfId="0" applyFont="1" applyFill="1" applyAlignment="1">
      <alignment horizontal="center" vertical="center"/>
    </xf>
    <xf numFmtId="177" fontId="13" fillId="4" borderId="0" xfId="0" applyNumberFormat="1" applyFont="1" applyFill="1" applyAlignment="1">
      <alignment horizontal="center" vertical="center"/>
    </xf>
    <xf numFmtId="0" fontId="22" fillId="4" borderId="44" xfId="0" applyFont="1" applyFill="1" applyBorder="1" applyAlignment="1">
      <alignment wrapText="1"/>
    </xf>
    <xf numFmtId="0" fontId="12" fillId="4" borderId="0" xfId="0" applyFont="1" applyFill="1" applyAlignment="1">
      <alignment horizontal="left" wrapText="1"/>
    </xf>
    <xf numFmtId="0" fontId="22" fillId="4" borderId="46" xfId="0" applyFont="1" applyFill="1" applyBorder="1" applyAlignment="1">
      <alignment wrapText="1"/>
    </xf>
    <xf numFmtId="0" fontId="26" fillId="48" borderId="51" xfId="0" applyFont="1" applyFill="1" applyBorder="1" applyAlignment="1" applyProtection="1">
      <alignment horizontal="center"/>
      <protection locked="0"/>
    </xf>
    <xf numFmtId="0" fontId="25" fillId="7" borderId="9" xfId="1" applyNumberFormat="1" applyFont="1" applyFill="1" applyBorder="1" applyAlignment="1" applyProtection="1">
      <alignment horizontal="center" vertical="center"/>
      <protection locked="0"/>
    </xf>
    <xf numFmtId="164" fontId="34" fillId="7" borderId="9" xfId="0" applyNumberFormat="1" applyFont="1" applyFill="1" applyBorder="1" applyAlignment="1" applyProtection="1">
      <alignment horizontal="left" vertical="center"/>
      <protection locked="0"/>
    </xf>
    <xf numFmtId="0" fontId="42" fillId="10" borderId="4" xfId="0" applyFont="1" applyFill="1" applyBorder="1" applyAlignment="1" applyProtection="1">
      <alignment horizontal="center" vertical="center" wrapText="1"/>
      <protection locked="0"/>
    </xf>
    <xf numFmtId="0" fontId="31" fillId="24" borderId="36" xfId="0" applyFont="1" applyFill="1" applyBorder="1"/>
    <xf numFmtId="0" fontId="31" fillId="24" borderId="0" xfId="0" applyFont="1" applyFill="1"/>
    <xf numFmtId="0" fontId="176" fillId="4" borderId="0" xfId="0" applyFont="1" applyFill="1" applyAlignment="1">
      <alignment horizontal="left"/>
    </xf>
    <xf numFmtId="0" fontId="176" fillId="24" borderId="0" xfId="0" applyFont="1" applyFill="1" applyAlignment="1" applyProtection="1">
      <alignment horizontal="center" vertical="center" wrapText="1"/>
      <protection locked="0"/>
    </xf>
    <xf numFmtId="0" fontId="12" fillId="4" borderId="56" xfId="0" applyFont="1" applyFill="1" applyBorder="1"/>
    <xf numFmtId="0" fontId="160" fillId="2" borderId="29" xfId="0" applyFont="1" applyFill="1" applyBorder="1" applyAlignment="1">
      <alignment horizontal="center" vertical="center" wrapText="1"/>
    </xf>
    <xf numFmtId="0" fontId="90" fillId="0" borderId="7" xfId="0" applyFont="1" applyBorder="1" applyAlignment="1">
      <alignment horizontal="center" vertical="center"/>
    </xf>
    <xf numFmtId="0" fontId="90" fillId="0" borderId="6" xfId="0" applyFont="1" applyBorder="1" applyAlignment="1">
      <alignment horizontal="center" vertical="center"/>
    </xf>
    <xf numFmtId="0" fontId="90" fillId="0" borderId="29" xfId="0" applyFont="1" applyBorder="1" applyAlignment="1">
      <alignment horizontal="center" vertical="center"/>
    </xf>
    <xf numFmtId="164" fontId="0" fillId="0" borderId="57" xfId="1" applyFont="1" applyBorder="1"/>
    <xf numFmtId="164" fontId="0" fillId="0" borderId="8" xfId="1" applyFont="1" applyBorder="1"/>
    <xf numFmtId="0" fontId="90" fillId="0" borderId="13" xfId="0" applyFont="1" applyBorder="1" applyAlignment="1">
      <alignment horizontal="center" vertical="center"/>
    </xf>
    <xf numFmtId="0" fontId="90" fillId="0" borderId="5" xfId="0" applyFont="1" applyBorder="1" applyAlignment="1">
      <alignment horizontal="center" vertical="center"/>
    </xf>
    <xf numFmtId="0" fontId="0" fillId="0" borderId="3" xfId="0" applyBorder="1"/>
    <xf numFmtId="0" fontId="0" fillId="0" borderId="12" xfId="0" applyBorder="1"/>
    <xf numFmtId="0" fontId="0" fillId="0" borderId="59" xfId="0" applyBorder="1"/>
    <xf numFmtId="0" fontId="0" fillId="0" borderId="60" xfId="0" applyBorder="1"/>
    <xf numFmtId="0" fontId="0" fillId="0" borderId="41" xfId="0" applyBorder="1"/>
    <xf numFmtId="0" fontId="0" fillId="49" borderId="0" xfId="0" applyFill="1"/>
    <xf numFmtId="164" fontId="45" fillId="4" borderId="37" xfId="1" applyFont="1" applyFill="1" applyBorder="1" applyAlignment="1" applyProtection="1">
      <alignment horizontal="center" vertical="center"/>
    </xf>
    <xf numFmtId="0" fontId="178" fillId="4" borderId="0" xfId="0" applyFont="1" applyFill="1"/>
    <xf numFmtId="164" fontId="0" fillId="0" borderId="0" xfId="1" applyFont="1"/>
    <xf numFmtId="0" fontId="179" fillId="4" borderId="0" xfId="0" applyFont="1" applyFill="1" applyAlignment="1">
      <alignment horizontal="right"/>
    </xf>
    <xf numFmtId="0" fontId="100" fillId="4" borderId="13" xfId="0" applyFont="1" applyFill="1" applyBorder="1" applyAlignment="1">
      <alignment vertical="center" wrapText="1"/>
    </xf>
    <xf numFmtId="0" fontId="44" fillId="14" borderId="3" xfId="0" applyFont="1" applyFill="1" applyBorder="1" applyAlignment="1" applyProtection="1">
      <alignment horizontal="left" vertical="center" wrapText="1"/>
      <protection locked="0"/>
    </xf>
    <xf numFmtId="0" fontId="26" fillId="48" borderId="53" xfId="0" applyFont="1" applyFill="1" applyBorder="1" applyAlignment="1" applyProtection="1">
      <alignment horizontal="center"/>
      <protection locked="0"/>
    </xf>
    <xf numFmtId="9" fontId="0" fillId="0" borderId="0" xfId="0" applyNumberFormat="1" applyAlignment="1">
      <alignment horizontal="center"/>
    </xf>
    <xf numFmtId="0" fontId="100" fillId="4" borderId="0" xfId="0" applyFont="1" applyFill="1" applyAlignment="1">
      <alignment vertical="center" wrapText="1"/>
    </xf>
    <xf numFmtId="1" fontId="0" fillId="0" borderId="0" xfId="1" applyNumberFormat="1" applyFont="1"/>
    <xf numFmtId="1" fontId="45" fillId="9" borderId="9" xfId="103" applyNumberFormat="1" applyFont="1" applyFill="1" applyBorder="1" applyAlignment="1" applyProtection="1">
      <alignment horizontal="center" vertical="center"/>
    </xf>
    <xf numFmtId="9" fontId="39" fillId="6" borderId="6" xfId="12" applyFont="1" applyFill="1" applyBorder="1" applyAlignment="1" applyProtection="1">
      <alignment horizontal="center" vertical="center"/>
    </xf>
    <xf numFmtId="0" fontId="26" fillId="0" borderId="0" xfId="0" applyFont="1" applyAlignment="1">
      <alignment horizontal="center"/>
    </xf>
    <xf numFmtId="9" fontId="26" fillId="0" borderId="0" xfId="12" applyFont="1" applyAlignment="1">
      <alignment horizontal="center"/>
    </xf>
    <xf numFmtId="2" fontId="0" fillId="0" borderId="0" xfId="0" applyNumberFormat="1"/>
    <xf numFmtId="44" fontId="12" fillId="4" borderId="0" xfId="0" applyNumberFormat="1" applyFont="1" applyFill="1" applyAlignment="1">
      <alignment wrapText="1"/>
    </xf>
    <xf numFmtId="0" fontId="26" fillId="24" borderId="0" xfId="0" applyFont="1" applyFill="1" applyAlignment="1">
      <alignment horizontal="center"/>
    </xf>
    <xf numFmtId="164" fontId="29" fillId="27" borderId="9" xfId="1" applyFont="1" applyFill="1" applyBorder="1" applyProtection="1">
      <protection locked="0"/>
    </xf>
    <xf numFmtId="9" fontId="29" fillId="24" borderId="9" xfId="12" applyFont="1" applyFill="1" applyBorder="1" applyAlignment="1" applyProtection="1">
      <alignment horizontal="center"/>
    </xf>
    <xf numFmtId="1" fontId="0" fillId="27" borderId="9" xfId="0" applyNumberFormat="1" applyFill="1" applyBorder="1" applyAlignment="1" applyProtection="1">
      <alignment horizontal="center"/>
      <protection locked="0"/>
    </xf>
    <xf numFmtId="10" fontId="39" fillId="6" borderId="9" xfId="12" applyNumberFormat="1" applyFont="1" applyFill="1" applyBorder="1" applyAlignment="1" applyProtection="1">
      <alignment horizontal="center" vertical="center"/>
    </xf>
    <xf numFmtId="164" fontId="0" fillId="9" borderId="0" xfId="1" applyFont="1" applyFill="1"/>
    <xf numFmtId="164" fontId="35" fillId="6" borderId="9" xfId="0" applyNumberFormat="1" applyFont="1" applyFill="1" applyBorder="1" applyAlignment="1">
      <alignment horizontal="left" vertical="center"/>
    </xf>
    <xf numFmtId="0" fontId="100" fillId="4" borderId="0" xfId="0" applyFont="1" applyFill="1" applyAlignment="1">
      <alignment horizontal="left" vertical="center" wrapText="1"/>
    </xf>
    <xf numFmtId="10" fontId="0" fillId="0" borderId="0" xfId="0" applyNumberFormat="1"/>
    <xf numFmtId="14" fontId="0" fillId="0" borderId="0" xfId="0" applyNumberFormat="1" applyProtection="1">
      <protection locked="0"/>
    </xf>
    <xf numFmtId="164" fontId="0" fillId="0" borderId="0" xfId="1" applyFont="1" applyProtection="1">
      <protection locked="0"/>
    </xf>
    <xf numFmtId="0" fontId="0" fillId="52" borderId="9" xfId="0" applyFill="1" applyBorder="1" applyProtection="1">
      <protection locked="0"/>
    </xf>
    <xf numFmtId="14" fontId="0" fillId="52" borderId="9" xfId="0" applyNumberFormat="1" applyFill="1" applyBorder="1" applyProtection="1">
      <protection locked="0"/>
    </xf>
    <xf numFmtId="0" fontId="18" fillId="4" borderId="0" xfId="0" applyFont="1" applyFill="1" applyAlignment="1">
      <alignment vertical="center"/>
    </xf>
    <xf numFmtId="0" fontId="17" fillId="4" borderId="0" xfId="0" applyFont="1" applyFill="1"/>
    <xf numFmtId="0" fontId="19" fillId="4" borderId="0" xfId="0" applyFont="1" applyFill="1" applyAlignment="1">
      <alignment vertical="center"/>
    </xf>
    <xf numFmtId="0" fontId="28" fillId="4" borderId="1" xfId="0" applyFont="1" applyFill="1" applyBorder="1" applyAlignment="1">
      <alignment horizontal="center" vertical="center"/>
    </xf>
    <xf numFmtId="0" fontId="28" fillId="4" borderId="0" xfId="0" applyFont="1" applyFill="1" applyAlignment="1">
      <alignment vertical="center"/>
    </xf>
    <xf numFmtId="0" fontId="28" fillId="4" borderId="0" xfId="0" applyFont="1" applyFill="1" applyAlignment="1">
      <alignment horizontal="left" vertical="center"/>
    </xf>
    <xf numFmtId="0" fontId="34" fillId="6" borderId="8" xfId="0" applyFont="1" applyFill="1" applyBorder="1" applyAlignment="1">
      <alignment horizontal="center"/>
    </xf>
    <xf numFmtId="0" fontId="34" fillId="6" borderId="11" xfId="0" applyFont="1" applyFill="1" applyBorder="1" applyAlignment="1">
      <alignment horizontal="center"/>
    </xf>
    <xf numFmtId="0" fontId="34" fillId="6" borderId="10" xfId="0" applyFont="1" applyFill="1" applyBorder="1" applyAlignment="1">
      <alignment horizontal="center"/>
    </xf>
    <xf numFmtId="0" fontId="31" fillId="4" borderId="0" xfId="0" applyFont="1" applyFill="1"/>
    <xf numFmtId="0" fontId="30" fillId="4" borderId="0" xfId="0" applyFont="1" applyFill="1"/>
    <xf numFmtId="0" fontId="0" fillId="4" borderId="0" xfId="0" applyFill="1" applyAlignment="1">
      <alignment horizontal="center"/>
    </xf>
    <xf numFmtId="0" fontId="21" fillId="4" borderId="0" xfId="0" applyFont="1" applyFill="1" applyAlignment="1">
      <alignment horizontal="center"/>
    </xf>
    <xf numFmtId="0" fontId="21" fillId="0" borderId="0" xfId="0" applyFont="1" applyAlignment="1">
      <alignment horizontal="center"/>
    </xf>
    <xf numFmtId="0" fontId="0" fillId="13" borderId="0" xfId="0" applyFill="1" applyAlignment="1">
      <alignment horizontal="left"/>
    </xf>
    <xf numFmtId="44" fontId="0" fillId="4" borderId="0" xfId="0" applyNumberFormat="1" applyFill="1"/>
    <xf numFmtId="9" fontId="0" fillId="4" borderId="0" xfId="12" applyFont="1" applyFill="1" applyAlignment="1" applyProtection="1">
      <alignment horizontal="center"/>
    </xf>
    <xf numFmtId="0" fontId="21" fillId="4" borderId="0" xfId="0" applyFont="1" applyFill="1"/>
    <xf numFmtId="0" fontId="21" fillId="0" borderId="0" xfId="0" applyFont="1"/>
    <xf numFmtId="164" fontId="0" fillId="4" borderId="0" xfId="0" applyNumberFormat="1" applyFill="1"/>
    <xf numFmtId="0" fontId="43" fillId="16" borderId="9" xfId="0" applyFont="1" applyFill="1" applyBorder="1" applyAlignment="1">
      <alignment horizontal="right"/>
    </xf>
    <xf numFmtId="44" fontId="32" fillId="4" borderId="0" xfId="0" applyNumberFormat="1" applyFont="1" applyFill="1"/>
    <xf numFmtId="9" fontId="32" fillId="4" borderId="0" xfId="12" applyFont="1" applyFill="1" applyAlignment="1" applyProtection="1">
      <alignment horizontal="center"/>
    </xf>
    <xf numFmtId="0" fontId="0" fillId="4" borderId="0" xfId="0" applyFill="1" applyAlignment="1">
      <alignment horizontal="left"/>
    </xf>
    <xf numFmtId="0" fontId="27" fillId="4" borderId="0" xfId="0" applyFont="1" applyFill="1"/>
    <xf numFmtId="164" fontId="43" fillId="18" borderId="9" xfId="0" applyNumberFormat="1" applyFont="1" applyFill="1" applyBorder="1"/>
    <xf numFmtId="0" fontId="28" fillId="0" borderId="0" xfId="0" applyFont="1" applyAlignment="1">
      <alignment horizontal="left" vertical="center"/>
    </xf>
    <xf numFmtId="0" fontId="0" fillId="15" borderId="9" xfId="0" applyFill="1" applyBorder="1" applyAlignment="1">
      <alignment horizontal="center"/>
    </xf>
    <xf numFmtId="0" fontId="0" fillId="8" borderId="9" xfId="0" applyFill="1" applyBorder="1"/>
    <xf numFmtId="0" fontId="26" fillId="4" borderId="0" xfId="0" applyFont="1" applyFill="1" applyAlignment="1">
      <alignment horizontal="left"/>
    </xf>
    <xf numFmtId="0" fontId="26" fillId="4" borderId="0" xfId="0" applyFont="1" applyFill="1"/>
    <xf numFmtId="164" fontId="43" fillId="18" borderId="8" xfId="0" applyNumberFormat="1" applyFont="1" applyFill="1" applyBorder="1"/>
    <xf numFmtId="164" fontId="26" fillId="4" borderId="0" xfId="1" applyFont="1" applyFill="1" applyAlignment="1" applyProtection="1">
      <alignment horizontal="left"/>
    </xf>
    <xf numFmtId="9" fontId="26" fillId="4" borderId="0" xfId="0" applyNumberFormat="1" applyFont="1" applyFill="1"/>
    <xf numFmtId="164" fontId="26" fillId="4" borderId="0" xfId="0" applyNumberFormat="1" applyFont="1" applyFill="1" applyAlignment="1">
      <alignment horizontal="center"/>
    </xf>
    <xf numFmtId="0" fontId="0" fillId="8" borderId="9" xfId="0" applyFill="1" applyBorder="1" applyAlignment="1">
      <alignment horizontal="left"/>
    </xf>
    <xf numFmtId="0" fontId="26" fillId="4" borderId="0" xfId="0" applyFont="1" applyFill="1" applyAlignment="1">
      <alignment horizontal="center" vertical="center"/>
    </xf>
    <xf numFmtId="0" fontId="26" fillId="8" borderId="9" xfId="0" applyFont="1" applyFill="1" applyBorder="1"/>
    <xf numFmtId="0" fontId="26" fillId="4" borderId="5" xfId="0" applyFont="1" applyFill="1" applyBorder="1" applyAlignment="1">
      <alignment horizontal="center" vertical="center"/>
    </xf>
    <xf numFmtId="10" fontId="0" fillId="4" borderId="0" xfId="12" applyNumberFormat="1" applyFont="1" applyFill="1" applyProtection="1"/>
    <xf numFmtId="164" fontId="0" fillId="6" borderId="9" xfId="0" applyNumberFormat="1" applyFill="1" applyBorder="1"/>
    <xf numFmtId="0" fontId="17" fillId="0" borderId="0" xfId="0" applyFont="1"/>
    <xf numFmtId="10" fontId="0" fillId="4" borderId="0" xfId="0" applyNumberFormat="1" applyFill="1"/>
    <xf numFmtId="164" fontId="0" fillId="8" borderId="9" xfId="0" applyNumberFormat="1" applyFill="1" applyBorder="1"/>
    <xf numFmtId="0" fontId="29" fillId="8" borderId="9" xfId="0" applyFont="1" applyFill="1" applyBorder="1"/>
    <xf numFmtId="0" fontId="26" fillId="4" borderId="0" xfId="0" applyFont="1" applyFill="1" applyAlignment="1">
      <alignment horizontal="center"/>
    </xf>
    <xf numFmtId="164" fontId="29" fillId="6" borderId="10" xfId="0" applyNumberFormat="1" applyFont="1" applyFill="1" applyBorder="1"/>
    <xf numFmtId="164" fontId="0" fillId="27" borderId="9" xfId="1" applyFont="1" applyFill="1" applyBorder="1" applyAlignment="1" applyProtection="1">
      <alignment horizontal="center"/>
    </xf>
    <xf numFmtId="10" fontId="0" fillId="27" borderId="9" xfId="12" applyNumberFormat="1" applyFont="1" applyFill="1" applyBorder="1" applyAlignment="1" applyProtection="1">
      <alignment horizontal="center"/>
    </xf>
    <xf numFmtId="44" fontId="27" fillId="4" borderId="0" xfId="0" applyNumberFormat="1" applyFont="1" applyFill="1"/>
    <xf numFmtId="44" fontId="0" fillId="4" borderId="0" xfId="0" applyNumberFormat="1" applyFill="1" applyAlignment="1">
      <alignment horizontal="left"/>
    </xf>
    <xf numFmtId="164" fontId="42" fillId="18" borderId="10" xfId="0" applyNumberFormat="1" applyFont="1" applyFill="1" applyBorder="1"/>
    <xf numFmtId="164" fontId="90" fillId="16" borderId="10" xfId="0" applyNumberFormat="1" applyFont="1" applyFill="1" applyBorder="1"/>
    <xf numFmtId="0" fontId="31" fillId="4" borderId="0" xfId="0" applyFont="1" applyFill="1" applyAlignment="1">
      <alignment horizontal="left" vertical="center"/>
    </xf>
    <xf numFmtId="0" fontId="32" fillId="27" borderId="9" xfId="0" applyFont="1" applyFill="1" applyBorder="1" applyAlignment="1">
      <alignment horizontal="left" vertical="center"/>
    </xf>
    <xf numFmtId="164" fontId="32" fillId="8" borderId="9" xfId="0" applyNumberFormat="1" applyFont="1" applyFill="1" applyBorder="1" applyAlignment="1">
      <alignment horizontal="center" vertical="center"/>
    </xf>
    <xf numFmtId="164" fontId="32" fillId="27" borderId="9" xfId="0" applyNumberFormat="1" applyFont="1" applyFill="1" applyBorder="1"/>
    <xf numFmtId="10" fontId="32" fillId="27" borderId="9" xfId="0" applyNumberFormat="1" applyFont="1" applyFill="1" applyBorder="1" applyAlignment="1">
      <alignment horizontal="center" vertical="center"/>
    </xf>
    <xf numFmtId="10" fontId="32" fillId="8" borderId="9" xfId="0" applyNumberFormat="1" applyFont="1" applyFill="1" applyBorder="1" applyAlignment="1">
      <alignment horizontal="center" vertical="center"/>
    </xf>
    <xf numFmtId="0" fontId="32" fillId="45" borderId="9" xfId="0" applyFont="1" applyFill="1" applyBorder="1" applyAlignment="1">
      <alignment horizontal="left" vertical="center"/>
    </xf>
    <xf numFmtId="164" fontId="32" fillId="8" borderId="9" xfId="1" applyFont="1" applyFill="1" applyBorder="1" applyAlignment="1" applyProtection="1">
      <alignment horizontal="center" vertical="center"/>
    </xf>
    <xf numFmtId="180" fontId="32" fillId="8" borderId="9" xfId="12" applyNumberFormat="1" applyFont="1" applyFill="1" applyBorder="1" applyAlignment="1" applyProtection="1">
      <alignment horizontal="center" vertical="center"/>
    </xf>
    <xf numFmtId="164" fontId="171" fillId="24" borderId="9" xfId="1" applyFont="1" applyFill="1" applyBorder="1" applyAlignment="1" applyProtection="1">
      <alignment horizontal="center" vertical="center"/>
    </xf>
    <xf numFmtId="0" fontId="24" fillId="4" borderId="0" xfId="0" applyFont="1" applyFill="1" applyAlignment="1">
      <alignment vertical="center"/>
    </xf>
    <xf numFmtId="9" fontId="32" fillId="8" borderId="9" xfId="12" applyFont="1" applyFill="1" applyBorder="1" applyAlignment="1" applyProtection="1">
      <alignment horizontal="center" vertical="center"/>
    </xf>
    <xf numFmtId="9" fontId="24" fillId="4" borderId="0" xfId="0" applyNumberFormat="1" applyFont="1" applyFill="1" applyAlignment="1">
      <alignment horizontal="center" vertical="center"/>
    </xf>
    <xf numFmtId="0" fontId="33" fillId="4" borderId="0" xfId="0" applyFont="1" applyFill="1" applyAlignment="1">
      <alignment vertical="center"/>
    </xf>
    <xf numFmtId="0" fontId="20" fillId="4" borderId="0" xfId="0" applyFont="1" applyFill="1" applyAlignment="1">
      <alignment vertical="center"/>
    </xf>
    <xf numFmtId="9" fontId="20" fillId="4" borderId="0" xfId="0" applyNumberFormat="1" applyFont="1" applyFill="1" applyAlignment="1">
      <alignment horizontal="left" vertical="center"/>
    </xf>
    <xf numFmtId="0" fontId="20" fillId="4" borderId="0" xfId="0" applyFont="1" applyFill="1" applyAlignment="1">
      <alignment horizontal="center" vertical="center"/>
    </xf>
    <xf numFmtId="9" fontId="20" fillId="4" borderId="0" xfId="0" applyNumberFormat="1" applyFont="1" applyFill="1" applyAlignment="1">
      <alignment horizontal="center" vertical="center"/>
    </xf>
    <xf numFmtId="2" fontId="0" fillId="4" borderId="0" xfId="0" applyNumberFormat="1" applyFill="1" applyAlignment="1">
      <alignment horizontal="left"/>
    </xf>
    <xf numFmtId="9" fontId="20" fillId="4" borderId="0" xfId="0" applyNumberFormat="1" applyFont="1" applyFill="1" applyAlignment="1">
      <alignment vertical="center"/>
    </xf>
    <xf numFmtId="0" fontId="33" fillId="4" borderId="0" xfId="0" applyFont="1" applyFill="1" applyAlignment="1">
      <alignment horizontal="left" vertical="center"/>
    </xf>
    <xf numFmtId="0" fontId="20" fillId="4" borderId="0" xfId="0" applyFont="1" applyFill="1"/>
    <xf numFmtId="0" fontId="33" fillId="4" borderId="0" xfId="0" applyFont="1" applyFill="1"/>
    <xf numFmtId="0" fontId="33" fillId="4" borderId="0" xfId="0" applyFont="1" applyFill="1" applyAlignment="1">
      <alignment horizontal="left"/>
    </xf>
    <xf numFmtId="0" fontId="29" fillId="4" borderId="0" xfId="0" applyFont="1" applyFill="1" applyAlignment="1">
      <alignment horizontal="left"/>
    </xf>
    <xf numFmtId="0" fontId="21" fillId="4" borderId="0" xfId="0" applyFont="1" applyFill="1" applyAlignment="1">
      <alignment horizontal="left"/>
    </xf>
    <xf numFmtId="0" fontId="21" fillId="0" borderId="0" xfId="0" applyFont="1" applyAlignment="1">
      <alignment horizontal="left"/>
    </xf>
    <xf numFmtId="164" fontId="0" fillId="8" borderId="9" xfId="1" applyFont="1" applyFill="1" applyBorder="1" applyProtection="1">
      <protection locked="0"/>
    </xf>
    <xf numFmtId="9" fontId="90" fillId="24" borderId="11" xfId="0" applyNumberFormat="1" applyFont="1" applyFill="1" applyBorder="1" applyAlignment="1" applyProtection="1">
      <alignment horizontal="center" vertical="center" wrapText="1"/>
      <protection locked="0"/>
    </xf>
    <xf numFmtId="10" fontId="45" fillId="9" borderId="9" xfId="12" applyNumberFormat="1" applyFont="1" applyFill="1" applyBorder="1" applyAlignment="1" applyProtection="1">
      <alignment horizontal="center" vertical="center"/>
    </xf>
    <xf numFmtId="0" fontId="1" fillId="0" borderId="10" xfId="0" applyFont="1" applyBorder="1"/>
    <xf numFmtId="0" fontId="1" fillId="0" borderId="44" xfId="0" applyFont="1" applyBorder="1"/>
    <xf numFmtId="0" fontId="184" fillId="4" borderId="0" xfId="0" applyFont="1" applyFill="1"/>
    <xf numFmtId="10" fontId="185" fillId="50" borderId="0" xfId="12" applyNumberFormat="1" applyFont="1" applyFill="1" applyBorder="1" applyAlignment="1">
      <alignment horizontal="center"/>
    </xf>
    <xf numFmtId="0" fontId="55" fillId="4" borderId="1" xfId="0" applyFont="1" applyFill="1" applyBorder="1"/>
    <xf numFmtId="9" fontId="182" fillId="4" borderId="12" xfId="12" applyFont="1" applyFill="1" applyBorder="1" applyAlignment="1">
      <alignment horizontal="center"/>
    </xf>
    <xf numFmtId="164" fontId="183" fillId="4" borderId="4" xfId="1" applyFont="1" applyFill="1" applyBorder="1" applyAlignment="1">
      <alignment horizontal="center"/>
    </xf>
    <xf numFmtId="2" fontId="183" fillId="4" borderId="3" xfId="12" applyNumberFormat="1" applyFont="1" applyFill="1" applyBorder="1" applyAlignment="1">
      <alignment horizontal="center"/>
    </xf>
    <xf numFmtId="0" fontId="184" fillId="4" borderId="5" xfId="0" applyFont="1" applyFill="1" applyBorder="1"/>
    <xf numFmtId="0" fontId="184" fillId="4" borderId="13" xfId="0" applyFont="1" applyFill="1" applyBorder="1"/>
    <xf numFmtId="0" fontId="55" fillId="4" borderId="29" xfId="0" applyFont="1" applyFill="1" applyBorder="1"/>
    <xf numFmtId="0" fontId="55" fillId="4" borderId="7" xfId="0" applyFont="1" applyFill="1" applyBorder="1"/>
    <xf numFmtId="9" fontId="180" fillId="50" borderId="0" xfId="12" applyFont="1" applyFill="1" applyAlignment="1" applyProtection="1">
      <alignment horizontal="center" vertical="center"/>
      <protection locked="0"/>
    </xf>
    <xf numFmtId="0" fontId="22" fillId="4" borderId="63" xfId="0" applyFont="1" applyFill="1" applyBorder="1" applyAlignment="1">
      <alignment wrapText="1"/>
    </xf>
    <xf numFmtId="9" fontId="22" fillId="4" borderId="64" xfId="12" applyFont="1" applyFill="1" applyBorder="1" applyAlignment="1" applyProtection="1">
      <alignment horizontal="center" vertical="center"/>
    </xf>
    <xf numFmtId="2" fontId="0" fillId="0" borderId="0" xfId="103" applyNumberFormat="1" applyFont="1" applyAlignment="1">
      <alignment horizontal="center"/>
    </xf>
    <xf numFmtId="2" fontId="0" fillId="0" borderId="0" xfId="103" applyNumberFormat="1" applyFont="1" applyAlignment="1" applyProtection="1">
      <alignment horizontal="center"/>
      <protection locked="0"/>
    </xf>
    <xf numFmtId="2" fontId="0" fillId="0" borderId="0" xfId="12" applyNumberFormat="1" applyFont="1" applyAlignment="1">
      <alignment horizontal="center"/>
    </xf>
    <xf numFmtId="0" fontId="39" fillId="21" borderId="0" xfId="0" applyFont="1" applyFill="1" applyAlignment="1">
      <alignment vertical="center" wrapText="1"/>
    </xf>
    <xf numFmtId="0" fontId="39" fillId="21" borderId="0" xfId="0" applyFont="1" applyFill="1" applyAlignment="1">
      <alignment horizontal="center" vertical="center" wrapText="1"/>
    </xf>
    <xf numFmtId="0" fontId="42" fillId="10" borderId="0" xfId="0" applyFont="1" applyFill="1" applyAlignment="1">
      <alignment vertical="center" wrapText="1"/>
    </xf>
    <xf numFmtId="10" fontId="34" fillId="12" borderId="0" xfId="12" applyNumberFormat="1" applyFont="1" applyFill="1" applyBorder="1" applyAlignment="1" applyProtection="1">
      <alignment horizontal="left" vertical="center"/>
    </xf>
    <xf numFmtId="10" fontId="34" fillId="21" borderId="0" xfId="12" applyNumberFormat="1" applyFont="1" applyFill="1" applyBorder="1" applyAlignment="1" applyProtection="1">
      <alignment horizontal="center" vertical="center"/>
    </xf>
    <xf numFmtId="10" fontId="34" fillId="21" borderId="9" xfId="12" applyNumberFormat="1" applyFont="1" applyFill="1" applyBorder="1" applyAlignment="1" applyProtection="1">
      <alignment horizontal="center" vertical="center"/>
    </xf>
    <xf numFmtId="10" fontId="39" fillId="6" borderId="9" xfId="12" applyNumberFormat="1" applyFont="1" applyFill="1" applyBorder="1" applyAlignment="1">
      <alignment horizontal="center" vertical="center"/>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164" fontId="1" fillId="8" borderId="9" xfId="1" applyFont="1" applyFill="1" applyBorder="1" applyProtection="1"/>
    <xf numFmtId="10" fontId="1" fillId="27" borderId="9" xfId="12" applyNumberFormat="1" applyFont="1" applyFill="1" applyBorder="1" applyProtection="1">
      <protection locked="0"/>
    </xf>
    <xf numFmtId="164"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44" fontId="1" fillId="0" borderId="8" xfId="0" applyNumberFormat="1" applyFont="1" applyBorder="1"/>
    <xf numFmtId="0" fontId="1" fillId="51" borderId="44" xfId="0" applyFont="1" applyFill="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xf numFmtId="0" fontId="111" fillId="2" borderId="0" xfId="0" applyFont="1" applyFill="1" applyAlignment="1">
      <alignment horizontal="left" vertical="center" shrinkToFit="1"/>
    </xf>
    <xf numFmtId="0" fontId="105" fillId="3" borderId="5" xfId="0" applyFont="1" applyFill="1" applyBorder="1" applyAlignment="1">
      <alignment horizontal="center" vertical="center"/>
    </xf>
    <xf numFmtId="0" fontId="105" fillId="3" borderId="0" xfId="0" applyFont="1" applyFill="1" applyAlignment="1">
      <alignment horizontal="center" vertical="center"/>
    </xf>
    <xf numFmtId="164" fontId="105" fillId="3" borderId="0" xfId="1" applyFont="1" applyFill="1" applyBorder="1" applyAlignment="1" applyProtection="1">
      <alignment horizontal="center" vertical="center"/>
    </xf>
    <xf numFmtId="164" fontId="105" fillId="3" borderId="13" xfId="1" applyFont="1" applyFill="1" applyBorder="1" applyAlignment="1" applyProtection="1">
      <alignment horizontal="center" vertical="center"/>
    </xf>
    <xf numFmtId="0" fontId="106" fillId="28" borderId="29" xfId="0" applyFont="1" applyFill="1" applyBorder="1" applyAlignment="1">
      <alignment horizontal="center" vertical="center"/>
    </xf>
    <xf numFmtId="0" fontId="106" fillId="28" borderId="1" xfId="0" applyFont="1" applyFill="1" applyBorder="1" applyAlignment="1">
      <alignment horizontal="center" vertical="center"/>
    </xf>
    <xf numFmtId="164" fontId="106" fillId="28" borderId="1" xfId="1" applyFont="1" applyFill="1" applyBorder="1" applyAlignment="1" applyProtection="1">
      <alignment horizontal="center" vertical="center"/>
    </xf>
    <xf numFmtId="164" fontId="106" fillId="28" borderId="7" xfId="1" applyFont="1" applyFill="1" applyBorder="1" applyAlignment="1" applyProtection="1">
      <alignment horizontal="center" vertical="center"/>
    </xf>
    <xf numFmtId="0" fontId="108" fillId="25" borderId="28" xfId="0" applyFont="1" applyFill="1" applyBorder="1" applyAlignment="1">
      <alignment horizontal="center" vertical="center"/>
    </xf>
    <xf numFmtId="0" fontId="108" fillId="25" borderId="21" xfId="0" applyFont="1" applyFill="1" applyBorder="1" applyAlignment="1">
      <alignment horizontal="center" vertical="center"/>
    </xf>
    <xf numFmtId="0" fontId="108" fillId="25" borderId="26" xfId="0" applyFont="1" applyFill="1" applyBorder="1" applyAlignment="1">
      <alignment horizontal="center" vertical="center"/>
    </xf>
    <xf numFmtId="0" fontId="105" fillId="3" borderId="12" xfId="0" applyFont="1" applyFill="1" applyBorder="1" applyAlignment="1">
      <alignment horizontal="center" vertical="center"/>
    </xf>
    <xf numFmtId="0" fontId="105" fillId="3" borderId="4" xfId="0" applyFont="1" applyFill="1" applyBorder="1" applyAlignment="1">
      <alignment horizontal="center" vertical="center"/>
    </xf>
    <xf numFmtId="164" fontId="105" fillId="3" borderId="4" xfId="1" applyFont="1" applyFill="1" applyBorder="1" applyAlignment="1" applyProtection="1">
      <alignment horizontal="center" vertical="center"/>
    </xf>
    <xf numFmtId="164" fontId="105" fillId="3" borderId="3" xfId="1" applyFont="1" applyFill="1" applyBorder="1" applyAlignment="1" applyProtection="1">
      <alignment horizontal="center" vertical="center"/>
    </xf>
    <xf numFmtId="0" fontId="97" fillId="3" borderId="5" xfId="0" applyFont="1" applyFill="1" applyBorder="1" applyAlignment="1">
      <alignment horizontal="center" vertical="center"/>
    </xf>
    <xf numFmtId="0" fontId="97" fillId="3" borderId="0" xfId="0" applyFont="1" applyFill="1" applyAlignment="1">
      <alignment horizontal="center" vertical="center"/>
    </xf>
    <xf numFmtId="164" fontId="97" fillId="3" borderId="0" xfId="1" applyFont="1" applyFill="1" applyBorder="1" applyAlignment="1" applyProtection="1">
      <alignment horizontal="center" vertical="center"/>
    </xf>
    <xf numFmtId="164" fontId="97" fillId="3" borderId="13" xfId="1" applyFont="1" applyFill="1" applyBorder="1" applyAlignment="1" applyProtection="1">
      <alignment horizontal="center" vertical="center"/>
    </xf>
    <xf numFmtId="0" fontId="92" fillId="4" borderId="5" xfId="0" applyFont="1" applyFill="1" applyBorder="1" applyAlignment="1">
      <alignment horizontal="left" vertical="center" wrapText="1"/>
    </xf>
    <xf numFmtId="0" fontId="92" fillId="4" borderId="0" xfId="0" applyFont="1" applyFill="1" applyAlignment="1">
      <alignment horizontal="left" vertical="center" wrapText="1"/>
    </xf>
    <xf numFmtId="0" fontId="92" fillId="4" borderId="13" xfId="0" applyFont="1" applyFill="1" applyBorder="1" applyAlignment="1">
      <alignment horizontal="left" vertical="center" wrapText="1"/>
    </xf>
    <xf numFmtId="0" fontId="93" fillId="4" borderId="5" xfId="0" applyFont="1" applyFill="1" applyBorder="1" applyAlignment="1">
      <alignment horizontal="left" vertical="center" wrapText="1"/>
    </xf>
    <xf numFmtId="0" fontId="93" fillId="4" borderId="0" xfId="0" applyFont="1" applyFill="1" applyAlignment="1">
      <alignment horizontal="left" vertical="center" wrapText="1"/>
    </xf>
    <xf numFmtId="0" fontId="93" fillId="4" borderId="13" xfId="0" applyFont="1" applyFill="1" applyBorder="1" applyAlignment="1">
      <alignment horizontal="left" vertical="center" wrapText="1"/>
    </xf>
    <xf numFmtId="0" fontId="86" fillId="26" borderId="0" xfId="2" applyFont="1" applyFill="1" applyBorder="1" applyAlignment="1">
      <alignment horizontal="right" vertical="center" indent="4" shrinkToFit="1"/>
    </xf>
    <xf numFmtId="0" fontId="85" fillId="26" borderId="0" xfId="2" applyFont="1" applyFill="1" applyBorder="1" applyAlignment="1">
      <alignment horizontal="right" vertical="center" indent="4" shrinkToFit="1"/>
    </xf>
    <xf numFmtId="0" fontId="83" fillId="25" borderId="0" xfId="0" applyFont="1" applyFill="1" applyAlignment="1">
      <alignment horizontal="left" vertical="center" indent="4" shrinkToFit="1"/>
    </xf>
    <xf numFmtId="0" fontId="91" fillId="23" borderId="12" xfId="0" applyFont="1" applyFill="1" applyBorder="1" applyAlignment="1">
      <alignment horizontal="center" vertical="center"/>
    </xf>
    <xf numFmtId="0" fontId="91" fillId="23" borderId="4" xfId="0" applyFont="1" applyFill="1" applyBorder="1" applyAlignment="1">
      <alignment horizontal="center" vertical="center"/>
    </xf>
    <xf numFmtId="0" fontId="91" fillId="23" borderId="3" xfId="0" applyFont="1" applyFill="1" applyBorder="1" applyAlignment="1">
      <alignment horizontal="center" vertical="center"/>
    </xf>
    <xf numFmtId="0" fontId="181" fillId="4" borderId="5" xfId="0" applyFont="1" applyFill="1" applyBorder="1" applyAlignment="1">
      <alignment horizontal="left" vertical="center" wrapText="1"/>
    </xf>
    <xf numFmtId="0" fontId="181" fillId="4" borderId="0" xfId="0" applyFont="1" applyFill="1" applyAlignment="1">
      <alignment horizontal="left" vertical="center" wrapText="1"/>
    </xf>
    <xf numFmtId="0" fontId="181" fillId="4" borderId="13" xfId="0" applyFont="1" applyFill="1" applyBorder="1" applyAlignment="1">
      <alignment horizontal="left" vertical="center" wrapText="1"/>
    </xf>
    <xf numFmtId="0" fontId="93" fillId="4" borderId="5" xfId="0" applyFont="1" applyFill="1" applyBorder="1" applyAlignment="1">
      <alignment vertical="center" wrapText="1"/>
    </xf>
    <xf numFmtId="0" fontId="93" fillId="4" borderId="0" xfId="0" applyFont="1" applyFill="1" applyAlignment="1">
      <alignment vertical="center" wrapText="1"/>
    </xf>
    <xf numFmtId="0" fontId="93" fillId="4" borderId="13" xfId="0" applyFont="1" applyFill="1" applyBorder="1" applyAlignment="1">
      <alignment vertical="center" wrapText="1"/>
    </xf>
    <xf numFmtId="0" fontId="92" fillId="4" borderId="5" xfId="0" applyFont="1" applyFill="1" applyBorder="1" applyAlignment="1">
      <alignment vertical="center" wrapText="1"/>
    </xf>
    <xf numFmtId="0" fontId="92" fillId="4" borderId="0" xfId="0" applyFont="1" applyFill="1" applyAlignment="1">
      <alignment vertical="center" wrapText="1"/>
    </xf>
    <xf numFmtId="0" fontId="92" fillId="4" borderId="13" xfId="0" applyFont="1" applyFill="1" applyBorder="1" applyAlignment="1">
      <alignment vertical="center" wrapText="1"/>
    </xf>
    <xf numFmtId="0" fontId="93" fillId="4" borderId="5" xfId="0" applyFont="1" applyFill="1" applyBorder="1" applyAlignment="1">
      <alignment horizontal="right" vertical="center" wrapText="1"/>
    </xf>
    <xf numFmtId="0" fontId="100" fillId="4" borderId="0" xfId="0" applyFont="1" applyFill="1" applyAlignment="1">
      <alignment horizontal="right" vertical="center" wrapText="1"/>
    </xf>
    <xf numFmtId="0" fontId="93" fillId="4" borderId="5" xfId="0" applyFont="1" applyFill="1" applyBorder="1" applyAlignment="1">
      <alignment horizontal="center" vertical="center" wrapText="1"/>
    </xf>
    <xf numFmtId="0" fontId="93" fillId="4" borderId="0" xfId="0" applyFont="1" applyFill="1" applyAlignment="1">
      <alignment horizontal="center" vertical="center" wrapText="1"/>
    </xf>
    <xf numFmtId="0" fontId="93" fillId="4" borderId="13" xfId="0" applyFont="1" applyFill="1" applyBorder="1" applyAlignment="1">
      <alignment horizontal="center" vertical="center" wrapText="1"/>
    </xf>
    <xf numFmtId="0" fontId="104" fillId="3" borderId="9" xfId="0" applyFont="1" applyFill="1" applyBorder="1" applyAlignment="1">
      <alignment horizontal="center" vertical="center"/>
    </xf>
    <xf numFmtId="167" fontId="104" fillId="3" borderId="9" xfId="2" applyNumberFormat="1" applyFont="1" applyFill="1" applyBorder="1" applyAlignment="1" applyProtection="1">
      <alignment horizontal="center" vertical="center"/>
    </xf>
    <xf numFmtId="0" fontId="91" fillId="26" borderId="14" xfId="0" applyFont="1" applyFill="1" applyBorder="1" applyAlignment="1">
      <alignment horizontal="center" vertical="center" wrapText="1"/>
    </xf>
    <xf numFmtId="0" fontId="91" fillId="26" borderId="15" xfId="0" applyFont="1" applyFill="1" applyBorder="1" applyAlignment="1">
      <alignment horizontal="center" vertical="center" wrapText="1"/>
    </xf>
    <xf numFmtId="0" fontId="91" fillId="26" borderId="17" xfId="0" applyFont="1" applyFill="1" applyBorder="1" applyAlignment="1">
      <alignment horizontal="center" vertical="center" wrapText="1"/>
    </xf>
    <xf numFmtId="0" fontId="91" fillId="26" borderId="16" xfId="0" applyFont="1" applyFill="1" applyBorder="1" applyAlignment="1">
      <alignment horizontal="center" vertical="center" wrapText="1"/>
    </xf>
    <xf numFmtId="0" fontId="102" fillId="3" borderId="9" xfId="0" applyFont="1" applyFill="1" applyBorder="1" applyAlignment="1" applyProtection="1">
      <alignment horizontal="center" vertical="center"/>
      <protection locked="0"/>
    </xf>
    <xf numFmtId="167" fontId="103" fillId="3" borderId="9" xfId="13" applyNumberFormat="1" applyFont="1" applyFill="1" applyBorder="1" applyAlignment="1" applyProtection="1">
      <alignment horizontal="center" vertical="center"/>
      <protection locked="0"/>
    </xf>
    <xf numFmtId="0" fontId="101" fillId="4" borderId="0" xfId="0" applyFont="1" applyFill="1" applyAlignment="1">
      <alignment vertical="center" wrapText="1"/>
    </xf>
    <xf numFmtId="0" fontId="101" fillId="4" borderId="13" xfId="0" applyFont="1" applyFill="1" applyBorder="1" applyAlignment="1">
      <alignment vertical="center" wrapText="1"/>
    </xf>
    <xf numFmtId="0" fontId="112" fillId="29" borderId="0" xfId="0" applyFont="1" applyFill="1" applyAlignment="1">
      <alignment horizontal="left" vertical="center"/>
    </xf>
    <xf numFmtId="0" fontId="111" fillId="29" borderId="0" xfId="0" applyFont="1" applyFill="1" applyAlignment="1">
      <alignment horizontal="left" vertical="center"/>
    </xf>
    <xf numFmtId="0" fontId="111" fillId="29" borderId="0" xfId="2" applyFont="1" applyFill="1" applyAlignment="1">
      <alignment horizontal="left" vertical="center"/>
    </xf>
    <xf numFmtId="172" fontId="157" fillId="25" borderId="0" xfId="0" applyNumberFormat="1" applyFont="1" applyFill="1" applyAlignment="1" applyProtection="1">
      <alignment horizontal="left" vertical="center" wrapText="1"/>
      <protection locked="0"/>
    </xf>
    <xf numFmtId="0" fontId="111" fillId="0" borderId="0" xfId="2" applyFont="1" applyAlignment="1">
      <alignment horizontal="left"/>
    </xf>
    <xf numFmtId="0" fontId="175" fillId="24" borderId="51" xfId="0" applyFont="1" applyFill="1" applyBorder="1" applyAlignment="1">
      <alignment horizontal="center" vertical="center" wrapText="1"/>
    </xf>
    <xf numFmtId="0" fontId="175" fillId="24" borderId="53" xfId="0" applyFont="1" applyFill="1" applyBorder="1" applyAlignment="1">
      <alignment horizontal="center" vertical="center" wrapText="1"/>
    </xf>
    <xf numFmtId="0" fontId="175" fillId="24" borderId="52" xfId="0" applyFont="1" applyFill="1" applyBorder="1" applyAlignment="1">
      <alignment horizontal="center" vertical="center" wrapText="1"/>
    </xf>
    <xf numFmtId="0" fontId="34" fillId="44" borderId="0" xfId="0" applyFont="1" applyFill="1" applyAlignment="1">
      <alignment horizontal="center" vertical="center" wrapText="1"/>
    </xf>
    <xf numFmtId="0" fontId="22" fillId="24" borderId="54" xfId="0" applyFont="1" applyFill="1" applyBorder="1" applyAlignment="1">
      <alignment horizontal="center" vertical="center"/>
    </xf>
    <xf numFmtId="0" fontId="22" fillId="24" borderId="55" xfId="0" applyFont="1" applyFill="1" applyBorder="1" applyAlignment="1">
      <alignment horizontal="center" vertical="center"/>
    </xf>
    <xf numFmtId="0" fontId="42" fillId="12" borderId="11" xfId="0" applyFont="1" applyFill="1" applyBorder="1" applyAlignment="1">
      <alignment horizontal="left" vertical="center" wrapText="1"/>
    </xf>
    <xf numFmtId="0" fontId="25" fillId="6" borderId="1" xfId="0" applyFont="1" applyFill="1" applyBorder="1" applyAlignment="1">
      <alignment horizontal="left" vertical="center"/>
    </xf>
    <xf numFmtId="0" fontId="25" fillId="6" borderId="7" xfId="0" applyFont="1" applyFill="1" applyBorder="1" applyAlignment="1">
      <alignment horizontal="left" vertical="center"/>
    </xf>
    <xf numFmtId="10" fontId="25" fillId="6" borderId="8" xfId="12" applyNumberFormat="1" applyFont="1" applyFill="1" applyBorder="1" applyAlignment="1" applyProtection="1">
      <alignment horizontal="left" vertical="center"/>
    </xf>
    <xf numFmtId="10" fontId="25" fillId="6" borderId="11" xfId="12" applyNumberFormat="1" applyFont="1" applyFill="1" applyBorder="1" applyAlignment="1" applyProtection="1">
      <alignment horizontal="left" vertical="center"/>
    </xf>
    <xf numFmtId="10" fontId="25" fillId="6" borderId="10" xfId="12" applyNumberFormat="1" applyFont="1" applyFill="1" applyBorder="1" applyAlignment="1" applyProtection="1">
      <alignment horizontal="left" vertical="center"/>
    </xf>
    <xf numFmtId="0" fontId="39" fillId="6" borderId="3" xfId="0" applyFont="1" applyFill="1" applyBorder="1" applyAlignment="1">
      <alignment horizontal="center" vertical="center" wrapText="1"/>
    </xf>
    <xf numFmtId="0" fontId="39" fillId="6" borderId="7" xfId="0" applyFont="1" applyFill="1" applyBorder="1" applyAlignment="1">
      <alignment horizontal="center" vertical="center" wrapText="1"/>
    </xf>
    <xf numFmtId="0" fontId="39" fillId="5" borderId="2" xfId="0" applyFont="1" applyFill="1" applyBorder="1" applyAlignment="1">
      <alignment horizontal="center" vertical="center" wrapText="1"/>
    </xf>
    <xf numFmtId="0" fontId="39" fillId="5" borderId="6" xfId="0" applyFont="1" applyFill="1" applyBorder="1" applyAlignment="1">
      <alignment horizontal="center" vertical="center" wrapText="1"/>
    </xf>
    <xf numFmtId="0" fontId="34" fillId="46" borderId="0" xfId="0" applyFont="1" applyFill="1" applyAlignment="1">
      <alignment horizontal="center" vertical="center" wrapText="1"/>
    </xf>
    <xf numFmtId="0" fontId="39" fillId="7" borderId="8" xfId="0" applyFont="1" applyFill="1" applyBorder="1" applyAlignment="1">
      <alignment horizontal="center" vertical="center" wrapText="1"/>
    </xf>
    <xf numFmtId="0" fontId="39" fillId="7" borderId="11" xfId="0" applyFont="1" applyFill="1" applyBorder="1" applyAlignment="1">
      <alignment horizontal="center" vertical="center" wrapText="1"/>
    </xf>
    <xf numFmtId="0" fontId="42" fillId="10" borderId="0" xfId="0" applyFont="1" applyFill="1" applyAlignment="1">
      <alignment horizontal="left" vertical="center"/>
    </xf>
    <xf numFmtId="0" fontId="42" fillId="10" borderId="13" xfId="0" applyFont="1" applyFill="1" applyBorder="1" applyAlignment="1">
      <alignment horizontal="left" vertical="center"/>
    </xf>
    <xf numFmtId="0" fontId="39" fillId="21" borderId="2" xfId="0" applyFont="1" applyFill="1" applyBorder="1" applyAlignment="1">
      <alignment horizontal="center" vertical="center" wrapText="1"/>
    </xf>
    <xf numFmtId="0" fontId="39" fillId="21" borderId="6" xfId="0" applyFont="1" applyFill="1" applyBorder="1" applyAlignment="1">
      <alignment horizontal="center" vertical="center" wrapText="1"/>
    </xf>
    <xf numFmtId="0" fontId="25" fillId="11" borderId="0" xfId="0" applyFont="1" applyFill="1" applyAlignment="1">
      <alignment horizontal="center" vertical="center" wrapText="1"/>
    </xf>
    <xf numFmtId="0" fontId="35" fillId="22" borderId="0" xfId="0" applyFont="1" applyFill="1" applyAlignment="1">
      <alignment horizontal="left" vertical="center" wrapText="1"/>
    </xf>
    <xf numFmtId="0" fontId="35" fillId="22" borderId="13" xfId="0" applyFont="1" applyFill="1" applyBorder="1" applyAlignment="1">
      <alignment horizontal="left" vertical="center" wrapText="1"/>
    </xf>
    <xf numFmtId="0" fontId="39" fillId="21" borderId="11" xfId="0" applyFont="1" applyFill="1" applyBorder="1" applyAlignment="1">
      <alignment horizontal="center" vertical="center" wrapText="1"/>
    </xf>
    <xf numFmtId="0" fontId="44" fillId="14" borderId="12" xfId="0" applyFont="1" applyFill="1" applyBorder="1" applyAlignment="1" applyProtection="1">
      <alignment horizontal="left" vertical="center" wrapText="1"/>
      <protection locked="0"/>
    </xf>
    <xf numFmtId="0" fontId="44" fillId="14" borderId="4" xfId="0" applyFont="1" applyFill="1" applyBorder="1" applyAlignment="1" applyProtection="1">
      <alignment horizontal="left" vertical="center" wrapText="1"/>
      <protection locked="0"/>
    </xf>
    <xf numFmtId="0" fontId="44" fillId="14" borderId="3" xfId="0" applyFont="1" applyFill="1" applyBorder="1" applyAlignment="1" applyProtection="1">
      <alignment horizontal="left" vertical="center" wrapText="1"/>
      <protection locked="0"/>
    </xf>
    <xf numFmtId="0" fontId="174" fillId="24" borderId="48" xfId="0" applyFont="1" applyFill="1" applyBorder="1" applyAlignment="1">
      <alignment horizontal="center" vertical="center" wrapText="1"/>
    </xf>
    <xf numFmtId="0" fontId="174" fillId="24" borderId="49" xfId="0" applyFont="1" applyFill="1" applyBorder="1" applyAlignment="1">
      <alignment horizontal="center" vertical="center" wrapText="1"/>
    </xf>
    <xf numFmtId="0" fontId="174" fillId="24" borderId="50" xfId="0" applyFont="1" applyFill="1" applyBorder="1" applyAlignment="1">
      <alignment horizontal="center" vertical="center" wrapText="1"/>
    </xf>
    <xf numFmtId="0" fontId="29" fillId="0" borderId="33" xfId="0" applyFont="1" applyBorder="1" applyAlignment="1">
      <alignment horizontal="center"/>
    </xf>
    <xf numFmtId="0" fontId="29" fillId="0" borderId="34" xfId="0" applyFont="1" applyBorder="1" applyAlignment="1">
      <alignment horizontal="center"/>
    </xf>
    <xf numFmtId="0" fontId="29" fillId="0" borderId="35" xfId="0" applyFont="1" applyBorder="1" applyAlignment="1">
      <alignment horizontal="center"/>
    </xf>
    <xf numFmtId="164" fontId="0" fillId="0" borderId="57" xfId="1" applyFont="1" applyBorder="1" applyAlignment="1">
      <alignment horizontal="center"/>
    </xf>
    <xf numFmtId="164" fontId="0" fillId="0" borderId="61" xfId="1" applyFont="1" applyBorder="1" applyAlignment="1">
      <alignment horizontal="center"/>
    </xf>
    <xf numFmtId="164" fontId="0" fillId="0" borderId="8" xfId="1" applyFont="1" applyBorder="1" applyAlignment="1">
      <alignment horizontal="center"/>
    </xf>
    <xf numFmtId="164" fontId="0" fillId="0" borderId="58" xfId="1" applyFont="1" applyBorder="1" applyAlignment="1">
      <alignment horizontal="center"/>
    </xf>
    <xf numFmtId="164" fontId="172" fillId="0" borderId="8" xfId="1" applyFont="1" applyBorder="1" applyAlignment="1">
      <alignment horizontal="center"/>
    </xf>
    <xf numFmtId="164" fontId="172" fillId="0" borderId="58" xfId="1" applyFont="1" applyBorder="1" applyAlignment="1">
      <alignment horizontal="center"/>
    </xf>
    <xf numFmtId="164" fontId="171" fillId="9" borderId="48" xfId="0" applyNumberFormat="1" applyFont="1" applyFill="1" applyBorder="1" applyAlignment="1">
      <alignment horizontal="center" vertical="center" wrapText="1"/>
    </xf>
    <xf numFmtId="164" fontId="171" fillId="9" borderId="49" xfId="0" applyNumberFormat="1" applyFont="1" applyFill="1" applyBorder="1" applyAlignment="1">
      <alignment horizontal="center" vertical="center" wrapText="1"/>
    </xf>
    <xf numFmtId="164" fontId="171" fillId="9" borderId="50" xfId="0" applyNumberFormat="1" applyFont="1" applyFill="1" applyBorder="1" applyAlignment="1">
      <alignment horizontal="center" vertical="center" wrapText="1"/>
    </xf>
    <xf numFmtId="164" fontId="177" fillId="4" borderId="33" xfId="1" applyFont="1" applyFill="1" applyBorder="1" applyAlignment="1" applyProtection="1">
      <alignment horizontal="center" vertical="center"/>
    </xf>
    <xf numFmtId="164" fontId="177" fillId="4" borderId="34" xfId="1" applyFont="1" applyFill="1" applyBorder="1" applyAlignment="1" applyProtection="1">
      <alignment horizontal="center" vertical="center"/>
    </xf>
    <xf numFmtId="164" fontId="177" fillId="4" borderId="35" xfId="1" applyFont="1" applyFill="1" applyBorder="1" applyAlignment="1" applyProtection="1">
      <alignment horizontal="center" vertical="center"/>
    </xf>
    <xf numFmtId="164" fontId="177" fillId="4" borderId="38" xfId="1" applyFont="1" applyFill="1" applyBorder="1" applyAlignment="1" applyProtection="1">
      <alignment horizontal="center" vertical="center"/>
    </xf>
    <xf numFmtId="164" fontId="177" fillId="4" borderId="39" xfId="1" applyFont="1" applyFill="1" applyBorder="1" applyAlignment="1" applyProtection="1">
      <alignment horizontal="center" vertical="center"/>
    </xf>
    <xf numFmtId="164" fontId="177" fillId="4" borderId="40" xfId="1" applyFont="1" applyFill="1" applyBorder="1" applyAlignment="1" applyProtection="1">
      <alignment horizontal="center" vertical="center"/>
    </xf>
    <xf numFmtId="9" fontId="172" fillId="0" borderId="62" xfId="12" applyFont="1" applyBorder="1" applyAlignment="1">
      <alignment horizontal="center"/>
    </xf>
    <xf numFmtId="9" fontId="172" fillId="0" borderId="40" xfId="12" applyFont="1" applyBorder="1" applyAlignment="1">
      <alignment horizontal="center"/>
    </xf>
    <xf numFmtId="0" fontId="0" fillId="25" borderId="0" xfId="0" applyFill="1" applyAlignment="1">
      <alignment horizontal="center"/>
    </xf>
    <xf numFmtId="0" fontId="26" fillId="45" borderId="0" xfId="0" applyFont="1" applyFill="1" applyAlignment="1">
      <alignment horizontal="center"/>
    </xf>
    <xf numFmtId="0" fontId="0" fillId="45" borderId="0" xfId="0" applyFill="1" applyAlignment="1">
      <alignment horizontal="center"/>
    </xf>
    <xf numFmtId="0" fontId="35" fillId="18" borderId="8" xfId="0" applyFont="1" applyFill="1" applyBorder="1" applyAlignment="1">
      <alignment horizontal="center"/>
    </xf>
    <xf numFmtId="0" fontId="35" fillId="18" borderId="11" xfId="0" applyFont="1" applyFill="1" applyBorder="1" applyAlignment="1">
      <alignment horizontal="center"/>
    </xf>
    <xf numFmtId="0" fontId="35" fillId="18" borderId="10" xfId="0" applyFont="1" applyFill="1" applyBorder="1" applyAlignment="1">
      <alignment horizontal="center"/>
    </xf>
    <xf numFmtId="0" fontId="1" fillId="8" borderId="9" xfId="0" applyFont="1" applyFill="1" applyBorder="1" applyAlignment="1">
      <alignment horizontal="left"/>
    </xf>
    <xf numFmtId="164" fontId="43" fillId="18" borderId="8" xfId="0" applyNumberFormat="1" applyFont="1" applyFill="1" applyBorder="1" applyAlignment="1">
      <alignment horizontal="left"/>
    </xf>
    <xf numFmtId="164" fontId="43" fillId="18" borderId="10" xfId="0" applyNumberFormat="1" applyFont="1" applyFill="1" applyBorder="1" applyAlignment="1">
      <alignment horizontal="left"/>
    </xf>
    <xf numFmtId="0" fontId="35" fillId="17" borderId="9" xfId="0" applyFont="1" applyFill="1" applyBorder="1" applyAlignment="1">
      <alignment horizontal="center"/>
    </xf>
    <xf numFmtId="0" fontId="26" fillId="8" borderId="9" xfId="0" applyFont="1" applyFill="1" applyBorder="1" applyAlignment="1">
      <alignment horizontal="left" vertical="center"/>
    </xf>
    <xf numFmtId="0" fontId="32" fillId="8" borderId="9" xfId="0" applyFont="1" applyFill="1" applyBorder="1" applyAlignment="1">
      <alignment horizontal="left" vertical="center"/>
    </xf>
    <xf numFmtId="0" fontId="32" fillId="8" borderId="9" xfId="0" applyFont="1" applyFill="1" applyBorder="1" applyAlignment="1">
      <alignment horizontal="left" vertical="center" wrapText="1"/>
    </xf>
    <xf numFmtId="0" fontId="42" fillId="18" borderId="8" xfId="0" applyFont="1" applyFill="1" applyBorder="1" applyAlignment="1">
      <alignment horizontal="left"/>
    </xf>
    <xf numFmtId="0" fontId="42" fillId="18" borderId="11" xfId="0" applyFont="1" applyFill="1" applyBorder="1" applyAlignment="1">
      <alignment horizontal="left"/>
    </xf>
    <xf numFmtId="0" fontId="90" fillId="16" borderId="8" xfId="0" applyFont="1" applyFill="1" applyBorder="1" applyAlignment="1">
      <alignment horizontal="left"/>
    </xf>
    <xf numFmtId="0" fontId="90" fillId="16" borderId="11" xfId="0" applyFont="1" applyFill="1" applyBorder="1" applyAlignment="1">
      <alignment horizontal="left"/>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29" fillId="6" borderId="8" xfId="0" applyFont="1" applyFill="1" applyBorder="1" applyAlignment="1">
      <alignment horizontal="left"/>
    </xf>
    <xf numFmtId="0" fontId="29" fillId="6" borderId="11" xfId="0" applyFont="1" applyFill="1" applyBorder="1" applyAlignment="1">
      <alignment horizontal="left"/>
    </xf>
    <xf numFmtId="0" fontId="29" fillId="6" borderId="8" xfId="0" applyFont="1" applyFill="1" applyBorder="1" applyAlignment="1">
      <alignment horizontal="center"/>
    </xf>
    <xf numFmtId="0" fontId="29" fillId="6" borderId="11" xfId="0" applyFont="1" applyFill="1" applyBorder="1" applyAlignment="1">
      <alignment horizontal="center"/>
    </xf>
    <xf numFmtId="0" fontId="29" fillId="6" borderId="10" xfId="0" applyFont="1" applyFill="1" applyBorder="1" applyAlignment="1">
      <alignment horizontal="center"/>
    </xf>
    <xf numFmtId="0" fontId="89" fillId="4" borderId="0" xfId="0" applyFont="1" applyFill="1" applyAlignment="1">
      <alignment horizontal="center" vertical="center"/>
    </xf>
    <xf numFmtId="0" fontId="29"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164" fontId="0" fillId="4" borderId="1" xfId="0" applyNumberFormat="1" applyFill="1" applyBorder="1" applyAlignment="1">
      <alignment horizontal="center"/>
    </xf>
    <xf numFmtId="0" fontId="35" fillId="18" borderId="12" xfId="0" applyFont="1" applyFill="1" applyBorder="1" applyAlignment="1">
      <alignment horizontal="center"/>
    </xf>
    <xf numFmtId="0" fontId="35" fillId="18" borderId="4" xfId="0" applyFont="1" applyFill="1" applyBorder="1" applyAlignment="1">
      <alignment horizontal="center"/>
    </xf>
    <xf numFmtId="0" fontId="35" fillId="18" borderId="3" xfId="0" applyFont="1" applyFill="1" applyBorder="1" applyAlignment="1">
      <alignment horizontal="center"/>
    </xf>
    <xf numFmtId="0" fontId="26" fillId="9" borderId="0" xfId="0" applyFont="1" applyFill="1" applyAlignment="1">
      <alignment horizontal="center" vertical="center" wrapText="1"/>
    </xf>
    <xf numFmtId="0" fontId="90" fillId="0" borderId="41" xfId="0" applyFont="1" applyBorder="1" applyAlignment="1">
      <alignment horizontal="center" vertical="center"/>
    </xf>
    <xf numFmtId="0" fontId="90" fillId="0" borderId="42" xfId="0" applyFont="1" applyBorder="1" applyAlignment="1">
      <alignment horizontal="center" vertical="center"/>
    </xf>
    <xf numFmtId="0" fontId="90" fillId="0" borderId="44" xfId="0" applyFont="1" applyBorder="1" applyAlignment="1">
      <alignment horizontal="center" vertical="center"/>
    </xf>
    <xf numFmtId="0" fontId="90" fillId="0" borderId="9" xfId="0" applyFont="1" applyBorder="1" applyAlignment="1">
      <alignment horizontal="center" vertical="center"/>
    </xf>
    <xf numFmtId="164" fontId="0" fillId="0" borderId="0" xfId="1" applyFont="1" applyBorder="1" applyAlignment="1">
      <alignment horizontal="center" vertical="center"/>
    </xf>
    <xf numFmtId="0" fontId="31" fillId="0" borderId="38" xfId="0" applyFont="1" applyBorder="1" applyAlignment="1">
      <alignment horizontal="center"/>
    </xf>
    <xf numFmtId="0" fontId="31" fillId="0" borderId="39" xfId="0" applyFont="1" applyBorder="1" applyAlignment="1">
      <alignment horizontal="center"/>
    </xf>
    <xf numFmtId="0" fontId="26" fillId="45" borderId="39" xfId="0" applyFont="1" applyFill="1" applyBorder="1" applyAlignment="1" applyProtection="1">
      <alignment horizontal="center"/>
      <protection locked="0"/>
    </xf>
    <xf numFmtId="0" fontId="26" fillId="45" borderId="40" xfId="0" applyFont="1" applyFill="1" applyBorder="1" applyAlignment="1" applyProtection="1">
      <alignment horizontal="center"/>
      <protection locked="0"/>
    </xf>
    <xf numFmtId="0" fontId="0" fillId="43" borderId="33" xfId="0" applyFill="1" applyBorder="1" applyAlignment="1">
      <alignment horizontal="center" wrapText="1"/>
    </xf>
    <xf numFmtId="0" fontId="0" fillId="43" borderId="35" xfId="0" applyFill="1" applyBorder="1" applyAlignment="1">
      <alignment horizontal="center" wrapText="1"/>
    </xf>
    <xf numFmtId="0" fontId="0" fillId="43" borderId="38" xfId="0" applyFill="1" applyBorder="1" applyAlignment="1">
      <alignment horizontal="center" wrapText="1"/>
    </xf>
    <xf numFmtId="0" fontId="0" fillId="43" borderId="40" xfId="0" applyFill="1" applyBorder="1" applyAlignment="1">
      <alignment horizontal="center" wrapText="1"/>
    </xf>
    <xf numFmtId="44" fontId="172" fillId="45" borderId="33" xfId="0" applyNumberFormat="1" applyFont="1" applyFill="1" applyBorder="1" applyAlignment="1" applyProtection="1">
      <alignment horizontal="center" vertical="center"/>
      <protection locked="0"/>
    </xf>
    <xf numFmtId="0" fontId="172" fillId="45" borderId="35" xfId="0" applyFont="1" applyFill="1" applyBorder="1" applyAlignment="1" applyProtection="1">
      <alignment horizontal="center" vertical="center"/>
      <protection locked="0"/>
    </xf>
    <xf numFmtId="0" fontId="172" fillId="45" borderId="38" xfId="0" applyFont="1" applyFill="1" applyBorder="1" applyAlignment="1" applyProtection="1">
      <alignment horizontal="center" vertical="center"/>
      <protection locked="0"/>
    </xf>
    <xf numFmtId="0" fontId="172" fillId="45" borderId="40" xfId="0" applyFont="1" applyFill="1" applyBorder="1" applyAlignment="1" applyProtection="1">
      <alignment horizontal="center" vertical="center"/>
      <protection locked="0"/>
    </xf>
    <xf numFmtId="0" fontId="90" fillId="0" borderId="43" xfId="0" applyFont="1" applyBorder="1" applyAlignment="1">
      <alignment horizontal="center" vertical="center"/>
    </xf>
    <xf numFmtId="0" fontId="90" fillId="0" borderId="45" xfId="0" applyFont="1" applyBorder="1" applyAlignment="1">
      <alignment horizontal="center" vertical="center"/>
    </xf>
    <xf numFmtId="0" fontId="173" fillId="25" borderId="33" xfId="0" applyFont="1" applyFill="1" applyBorder="1" applyAlignment="1">
      <alignment horizontal="center" vertical="center"/>
    </xf>
    <xf numFmtId="0" fontId="173" fillId="25" borderId="34" xfId="0" applyFont="1" applyFill="1" applyBorder="1" applyAlignment="1">
      <alignment horizontal="center" vertical="center"/>
    </xf>
    <xf numFmtId="0" fontId="173" fillId="25" borderId="35" xfId="0" applyFont="1" applyFill="1" applyBorder="1" applyAlignment="1">
      <alignment horizontal="center" vertical="center"/>
    </xf>
    <xf numFmtId="0" fontId="173" fillId="25" borderId="36" xfId="0" applyFont="1" applyFill="1" applyBorder="1" applyAlignment="1">
      <alignment horizontal="center" vertical="center"/>
    </xf>
    <xf numFmtId="0" fontId="173" fillId="25" borderId="0" xfId="0" applyFont="1" applyFill="1" applyAlignment="1">
      <alignment horizontal="center" vertical="center"/>
    </xf>
    <xf numFmtId="0" fontId="173" fillId="25" borderId="37" xfId="0" applyFont="1" applyFill="1" applyBorder="1" applyAlignment="1">
      <alignment horizontal="center" vertical="center"/>
    </xf>
    <xf numFmtId="0" fontId="124" fillId="33" borderId="4" xfId="0" applyFont="1" applyFill="1" applyBorder="1" applyAlignment="1">
      <alignment horizontal="center" vertical="center"/>
    </xf>
    <xf numFmtId="0" fontId="124" fillId="33" borderId="1" xfId="0" applyFont="1" applyFill="1" applyBorder="1" applyAlignment="1">
      <alignment horizontal="center" vertical="center"/>
    </xf>
    <xf numFmtId="0" fontId="124" fillId="33" borderId="12" xfId="0" applyFont="1" applyFill="1" applyBorder="1" applyAlignment="1">
      <alignment horizontal="center" vertical="center"/>
    </xf>
    <xf numFmtId="0" fontId="124" fillId="33" borderId="29" xfId="0" applyFont="1" applyFill="1" applyBorder="1" applyAlignment="1">
      <alignment horizontal="center" vertical="center"/>
    </xf>
    <xf numFmtId="14" fontId="124" fillId="33" borderId="12" xfId="1" applyNumberFormat="1" applyFont="1" applyFill="1" applyBorder="1" applyAlignment="1">
      <alignment horizontal="center" vertical="center"/>
    </xf>
    <xf numFmtId="164" fontId="124" fillId="33" borderId="3" xfId="1" applyFont="1" applyFill="1" applyBorder="1" applyAlignment="1">
      <alignment horizontal="center" vertical="center"/>
    </xf>
    <xf numFmtId="164" fontId="124" fillId="33" borderId="29" xfId="1" applyFont="1" applyFill="1" applyBorder="1" applyAlignment="1">
      <alignment horizontal="center" vertical="center"/>
    </xf>
    <xf numFmtId="164" fontId="124" fillId="33" borderId="7" xfId="1" applyFont="1" applyFill="1" applyBorder="1" applyAlignment="1">
      <alignment horizontal="center" vertical="center"/>
    </xf>
    <xf numFmtId="0" fontId="155" fillId="39" borderId="2" xfId="0" applyFont="1" applyFill="1" applyBorder="1" applyAlignment="1">
      <alignment horizontal="center" vertical="center"/>
    </xf>
    <xf numFmtId="0" fontId="155" fillId="39" borderId="31" xfId="0" applyFont="1" applyFill="1" applyBorder="1" applyAlignment="1">
      <alignment horizontal="center" vertical="center"/>
    </xf>
    <xf numFmtId="0" fontId="119" fillId="3" borderId="0" xfId="0" applyFont="1" applyFill="1" applyAlignment="1">
      <alignment horizontal="right" vertical="center" wrapText="1"/>
    </xf>
    <xf numFmtId="0" fontId="119" fillId="3" borderId="13" xfId="0" applyFont="1" applyFill="1" applyBorder="1" applyAlignment="1">
      <alignment horizontal="right" vertical="center" wrapText="1"/>
    </xf>
    <xf numFmtId="164" fontId="120" fillId="3" borderId="0" xfId="1" applyFont="1" applyFill="1" applyBorder="1" applyAlignment="1">
      <alignment horizontal="right" vertical="top"/>
    </xf>
    <xf numFmtId="164" fontId="120" fillId="3" borderId="13" xfId="1" applyFont="1" applyFill="1" applyBorder="1" applyAlignment="1">
      <alignment horizontal="right" vertical="top"/>
    </xf>
    <xf numFmtId="0" fontId="124" fillId="23" borderId="5" xfId="0" applyFont="1" applyFill="1" applyBorder="1" applyAlignment="1">
      <alignment horizontal="center" vertical="center"/>
    </xf>
    <xf numFmtId="0" fontId="124" fillId="23" borderId="13" xfId="0" applyFont="1" applyFill="1" applyBorder="1" applyAlignment="1">
      <alignment horizontal="center" vertical="center"/>
    </xf>
    <xf numFmtId="14" fontId="124" fillId="23" borderId="0" xfId="1" applyNumberFormat="1" applyFont="1" applyFill="1" applyBorder="1" applyAlignment="1">
      <alignment horizontal="center" vertical="center"/>
    </xf>
    <xf numFmtId="14" fontId="124" fillId="23" borderId="13" xfId="1" applyNumberFormat="1" applyFont="1" applyFill="1" applyBorder="1" applyAlignment="1">
      <alignment horizontal="center" vertical="center"/>
    </xf>
    <xf numFmtId="0" fontId="124" fillId="33" borderId="3" xfId="0" applyFont="1" applyFill="1" applyBorder="1" applyAlignment="1">
      <alignment horizontal="center" vertical="center"/>
    </xf>
    <xf numFmtId="0" fontId="124" fillId="33" borderId="7" xfId="0" applyFont="1" applyFill="1" applyBorder="1" applyAlignment="1">
      <alignment horizontal="center" vertical="center"/>
    </xf>
    <xf numFmtId="168" fontId="116" fillId="0" borderId="2" xfId="83" applyFont="1" applyBorder="1" applyAlignment="1">
      <alignment horizontal="center" vertical="top" wrapText="1"/>
    </xf>
    <xf numFmtId="168" fontId="116" fillId="0" borderId="30" xfId="83" applyFont="1" applyBorder="1" applyAlignment="1">
      <alignment horizontal="center" vertical="top" wrapText="1"/>
    </xf>
    <xf numFmtId="168" fontId="125" fillId="33" borderId="4" xfId="83" applyFont="1" applyFill="1" applyBorder="1" applyAlignment="1">
      <alignment horizontal="center" vertical="center"/>
    </xf>
    <xf numFmtId="168" fontId="125" fillId="33" borderId="1" xfId="83" applyFont="1" applyFill="1" applyBorder="1" applyAlignment="1">
      <alignment horizontal="center" vertical="center"/>
    </xf>
    <xf numFmtId="168" fontId="124" fillId="23" borderId="29" xfId="83" applyFont="1" applyFill="1" applyBorder="1" applyAlignment="1">
      <alignment horizontal="center" vertical="center"/>
    </xf>
    <xf numFmtId="168" fontId="124" fillId="23" borderId="7" xfId="83" applyFont="1" applyFill="1" applyBorder="1" applyAlignment="1">
      <alignment horizontal="center" vertical="center"/>
    </xf>
    <xf numFmtId="14" fontId="124" fillId="23" borderId="1" xfId="1" applyNumberFormat="1" applyFont="1" applyFill="1" applyBorder="1" applyAlignment="1">
      <alignment horizontal="center" vertical="center"/>
    </xf>
    <xf numFmtId="14" fontId="124" fillId="23" borderId="7" xfId="1" applyNumberFormat="1" applyFont="1" applyFill="1" applyBorder="1" applyAlignment="1">
      <alignment horizontal="center" vertical="center"/>
    </xf>
    <xf numFmtId="168" fontId="125" fillId="33" borderId="4" xfId="30" applyFont="1" applyFill="1" applyBorder="1" applyAlignment="1">
      <alignment horizontal="center" vertical="center"/>
    </xf>
    <xf numFmtId="168" fontId="125" fillId="33" borderId="1" xfId="30" applyFont="1" applyFill="1" applyBorder="1" applyAlignment="1">
      <alignment horizontal="center" vertical="center"/>
    </xf>
    <xf numFmtId="168" fontId="116" fillId="4" borderId="30" xfId="30" applyFont="1" applyFill="1" applyBorder="1" applyAlignment="1">
      <alignment horizontal="center" vertical="top" wrapText="1"/>
    </xf>
    <xf numFmtId="168" fontId="124" fillId="23" borderId="29" xfId="30" applyFont="1" applyFill="1" applyBorder="1" applyAlignment="1">
      <alignment horizontal="center" vertical="center"/>
    </xf>
    <xf numFmtId="168" fontId="124" fillId="23" borderId="7" xfId="30" applyFont="1" applyFill="1" applyBorder="1" applyAlignment="1">
      <alignment horizontal="center" vertical="center"/>
    </xf>
    <xf numFmtId="164" fontId="117" fillId="0" borderId="4" xfId="1" applyFont="1" applyBorder="1" applyAlignment="1">
      <alignment horizontal="right"/>
    </xf>
    <xf numFmtId="164" fontId="117" fillId="0" borderId="3" xfId="1" applyFont="1" applyBorder="1" applyAlignment="1">
      <alignment horizontal="right"/>
    </xf>
    <xf numFmtId="168" fontId="120" fillId="3" borderId="0" xfId="30" applyFont="1" applyFill="1" applyAlignment="1">
      <alignment horizontal="right" vertical="center" wrapText="1"/>
    </xf>
    <xf numFmtId="168" fontId="120" fillId="3" borderId="13" xfId="30" applyFont="1" applyFill="1" applyBorder="1" applyAlignment="1">
      <alignment horizontal="right" vertical="center" wrapText="1"/>
    </xf>
    <xf numFmtId="164" fontId="120" fillId="3" borderId="0" xfId="1" applyFont="1" applyFill="1" applyBorder="1" applyAlignment="1">
      <alignment horizontal="right" vertical="center"/>
    </xf>
    <xf numFmtId="164" fontId="120" fillId="3" borderId="13" xfId="1" applyFont="1" applyFill="1" applyBorder="1" applyAlignment="1">
      <alignment horizontal="right" vertical="center"/>
    </xf>
    <xf numFmtId="164" fontId="123" fillId="3" borderId="1" xfId="84" applyNumberFormat="1" applyFont="1" applyFill="1" applyBorder="1" applyAlignment="1" applyProtection="1">
      <alignment horizontal="right"/>
    </xf>
    <xf numFmtId="164" fontId="123" fillId="3" borderId="7" xfId="84" applyNumberFormat="1" applyFont="1" applyFill="1" applyBorder="1" applyAlignment="1" applyProtection="1">
      <alignment horizontal="right"/>
    </xf>
    <xf numFmtId="168" fontId="125" fillId="33" borderId="4" xfId="69" applyFont="1" applyFill="1" applyBorder="1" applyAlignment="1">
      <alignment horizontal="center" vertical="center"/>
    </xf>
    <xf numFmtId="168" fontId="125" fillId="33" borderId="1" xfId="69" applyFont="1" applyFill="1" applyBorder="1" applyAlignment="1">
      <alignment horizontal="center" vertical="center"/>
    </xf>
    <xf numFmtId="168" fontId="116" fillId="4" borderId="2" xfId="69" applyFont="1" applyFill="1" applyBorder="1" applyAlignment="1">
      <alignment horizontal="center" vertical="top" wrapText="1"/>
    </xf>
    <xf numFmtId="168" fontId="116" fillId="4" borderId="30" xfId="69" applyFont="1" applyFill="1" applyBorder="1" applyAlignment="1">
      <alignment horizontal="center" vertical="top" wrapText="1"/>
    </xf>
    <xf numFmtId="168" fontId="135" fillId="0" borderId="30" xfId="70" applyBorder="1" applyAlignment="1">
      <alignment horizontal="center" vertical="top" wrapText="1"/>
    </xf>
    <xf numFmtId="168" fontId="124" fillId="23" borderId="29" xfId="69" applyFont="1" applyFill="1" applyBorder="1" applyAlignment="1">
      <alignment horizontal="center" vertical="center"/>
    </xf>
    <xf numFmtId="168" fontId="124" fillId="23" borderId="7" xfId="69" applyFont="1" applyFill="1" applyBorder="1" applyAlignment="1">
      <alignment horizontal="center" vertical="center"/>
    </xf>
    <xf numFmtId="168" fontId="120" fillId="3" borderId="0" xfId="69" applyFont="1" applyFill="1" applyAlignment="1">
      <alignment horizontal="right" vertical="center" wrapText="1"/>
    </xf>
    <xf numFmtId="168" fontId="120" fillId="3" borderId="13" xfId="69" applyFont="1" applyFill="1" applyBorder="1" applyAlignment="1">
      <alignment horizontal="right" vertical="center" wrapText="1"/>
    </xf>
    <xf numFmtId="164" fontId="123" fillId="3" borderId="1" xfId="29" applyNumberFormat="1" applyFont="1" applyFill="1" applyBorder="1" applyAlignment="1" applyProtection="1">
      <alignment horizontal="right"/>
    </xf>
    <xf numFmtId="164" fontId="123" fillId="3" borderId="7" xfId="29" applyNumberFormat="1" applyFont="1" applyFill="1" applyBorder="1" applyAlignment="1" applyProtection="1">
      <alignment horizontal="right"/>
    </xf>
    <xf numFmtId="168" fontId="125" fillId="30" borderId="4" xfId="69" applyFont="1" applyFill="1" applyBorder="1" applyAlignment="1">
      <alignment horizontal="center" vertical="center"/>
    </xf>
    <xf numFmtId="168" fontId="125" fillId="30" borderId="1" xfId="69" applyFont="1" applyFill="1" applyBorder="1" applyAlignment="1">
      <alignment horizontal="center" vertical="center"/>
    </xf>
    <xf numFmtId="168" fontId="124" fillId="33" borderId="12" xfId="69" applyFont="1" applyFill="1" applyBorder="1" applyAlignment="1">
      <alignment horizontal="center" vertical="center"/>
    </xf>
    <xf numFmtId="168" fontId="124" fillId="33" borderId="29" xfId="69" applyFont="1" applyFill="1" applyBorder="1" applyAlignment="1">
      <alignment horizontal="center" vertical="center"/>
    </xf>
    <xf numFmtId="168" fontId="116" fillId="0" borderId="2" xfId="69" applyFont="1" applyBorder="1" applyAlignment="1">
      <alignment horizontal="center" vertical="top" wrapText="1"/>
    </xf>
    <xf numFmtId="168" fontId="116" fillId="0" borderId="30" xfId="69" applyFont="1" applyBorder="1" applyAlignment="1">
      <alignment horizontal="center" vertical="top" wrapText="1"/>
    </xf>
    <xf numFmtId="168" fontId="116" fillId="0" borderId="2" xfId="101" applyFont="1" applyBorder="1" applyAlignment="1">
      <alignment horizontal="center" vertical="center" wrapText="1" shrinkToFit="1"/>
    </xf>
    <xf numFmtId="168" fontId="116" fillId="0" borderId="30" xfId="101" applyFont="1" applyBorder="1" applyAlignment="1">
      <alignment horizontal="center" vertical="center" wrapText="1" shrinkToFit="1"/>
    </xf>
    <xf numFmtId="168" fontId="116" fillId="0" borderId="2" xfId="101" applyFont="1" applyBorder="1" applyAlignment="1">
      <alignment horizontal="center" vertical="top" wrapText="1"/>
    </xf>
    <xf numFmtId="168" fontId="116" fillId="0" borderId="30" xfId="101" applyFont="1" applyBorder="1" applyAlignment="1">
      <alignment horizontal="center" vertical="top" wrapText="1"/>
    </xf>
    <xf numFmtId="168" fontId="125" fillId="33" borderId="1" xfId="101" applyFont="1" applyFill="1" applyBorder="1" applyAlignment="1">
      <alignment horizontal="center" vertical="center"/>
    </xf>
    <xf numFmtId="168" fontId="124" fillId="34" borderId="8" xfId="101" applyFont="1" applyFill="1" applyBorder="1" applyAlignment="1">
      <alignment horizontal="center" vertical="center"/>
    </xf>
    <xf numFmtId="168" fontId="124" fillId="34" borderId="11" xfId="101" applyFont="1" applyFill="1" applyBorder="1" applyAlignment="1">
      <alignment horizontal="center" vertical="center"/>
    </xf>
    <xf numFmtId="168" fontId="124" fillId="34" borderId="10" xfId="101" applyFont="1" applyFill="1" applyBorder="1" applyAlignment="1">
      <alignment horizontal="center" vertical="center"/>
    </xf>
    <xf numFmtId="168" fontId="124" fillId="34" borderId="12" xfId="101" applyFont="1" applyFill="1" applyBorder="1" applyAlignment="1">
      <alignment horizontal="center" vertical="center"/>
    </xf>
    <xf numFmtId="168" fontId="124" fillId="34" borderId="4" xfId="101" applyFont="1" applyFill="1" applyBorder="1" applyAlignment="1">
      <alignment horizontal="center" vertical="center"/>
    </xf>
    <xf numFmtId="168" fontId="124" fillId="34" borderId="3" xfId="101" applyFont="1" applyFill="1" applyBorder="1" applyAlignment="1">
      <alignment horizontal="center" vertical="center"/>
    </xf>
    <xf numFmtId="168" fontId="125" fillId="33" borderId="4" xfId="101" applyFont="1" applyFill="1" applyBorder="1" applyAlignment="1">
      <alignment horizontal="center" vertical="center"/>
    </xf>
    <xf numFmtId="168" fontId="124" fillId="23" borderId="29" xfId="101" applyFont="1" applyFill="1" applyBorder="1" applyAlignment="1">
      <alignment horizontal="center" vertical="center"/>
    </xf>
    <xf numFmtId="168" fontId="124" fillId="23" borderId="7" xfId="101" applyFont="1" applyFill="1" applyBorder="1" applyAlignment="1">
      <alignment horizontal="center" vertical="center"/>
    </xf>
    <xf numFmtId="0" fontId="0" fillId="24" borderId="0" xfId="0" applyFill="1" applyAlignment="1">
      <alignment horizontal="center" vertical="center"/>
    </xf>
    <xf numFmtId="164" fontId="0" fillId="0" borderId="9" xfId="1" applyFont="1" applyBorder="1" applyAlignment="1">
      <alignment horizontal="center" vertical="center" wrapText="1"/>
    </xf>
  </cellXfs>
  <cellStyles count="105">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visitado" xfId="11" builtinId="9" hidden="1"/>
    <cellStyle name="Hipervínculo visitado" xfId="7" builtinId="9" hidden="1"/>
    <cellStyle name="Hipervínculo visitado" xfId="5" builtinId="9" hidden="1"/>
    <cellStyle name="Hipervínculo visitado" xfId="10" builtinId="9" hidden="1"/>
    <cellStyle name="Hipervínculo visitado" xfId="6" builtinId="9" hidden="1"/>
    <cellStyle name="Hipervínculo visitado" xfId="3" builtinId="9" hidden="1"/>
    <cellStyle name="Hipervínculo visitado" xfId="9" builtinId="9" hidden="1"/>
    <cellStyle name="Hipervínculo visitado" xfId="8" builtinId="9" hidden="1"/>
    <cellStyle name="Hipervínculo visitado" xfId="4"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FFF28072-686B-6147-95D0-52B238233F40}"/>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52">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bottom style="thin">
          <color indexed="64"/>
        </bottom>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ill>
        <patternFill>
          <bgColor rgb="FFFF0000"/>
        </patternFill>
      </fill>
    </dxf>
    <dxf>
      <fill>
        <patternFill>
          <bgColor rgb="FFFF0000"/>
        </patternFill>
      </fill>
    </dxf>
    <dxf>
      <fill>
        <patternFill>
          <bgColor rgb="FFFF0000"/>
        </patternFill>
      </fill>
    </dxf>
    <dxf>
      <fill>
        <patternFill>
          <bgColor rgb="FFFF0000"/>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b/>
        <i val="0"/>
      </font>
      <fill>
        <patternFill>
          <fgColor theme="4" tint="0.39994506668294322"/>
          <bgColor rgb="FFFF0000"/>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color rgb="FFFF0000"/>
      </font>
      <fill>
        <patternFill>
          <bgColor rgb="FFFFFF00"/>
        </patternFill>
      </fill>
    </dxf>
    <dxf>
      <font>
        <color rgb="FF006100"/>
      </font>
      <fill>
        <patternFill>
          <bgColor rgb="FFC6EFCE"/>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51"/>
      <tableStyleElement type="headerRow" dxfId="150"/>
    </tableStyle>
  </tableStyles>
  <colors>
    <mruColors>
      <color rgb="FF73A9DB"/>
      <color rgb="FF80D381"/>
      <color rgb="FFFFC000"/>
      <color rgb="FF119FFF"/>
      <color rgb="FF9A1A4B"/>
      <color rgb="FFFF4C00"/>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6" Type="http://schemas.openxmlformats.org/officeDocument/2006/relationships/image" Target="../media/image33.jpeg"/><Relationship Id="rId117" Type="http://schemas.openxmlformats.org/officeDocument/2006/relationships/image" Target="../media/image124.png"/><Relationship Id="rId21" Type="http://schemas.openxmlformats.org/officeDocument/2006/relationships/image" Target="../media/image28.jpeg"/><Relationship Id="rId42" Type="http://schemas.openxmlformats.org/officeDocument/2006/relationships/image" Target="../media/image49.jpeg"/><Relationship Id="rId47" Type="http://schemas.openxmlformats.org/officeDocument/2006/relationships/image" Target="../media/image54.jpeg"/><Relationship Id="rId63" Type="http://schemas.openxmlformats.org/officeDocument/2006/relationships/image" Target="../media/image70.jpeg"/><Relationship Id="rId68" Type="http://schemas.openxmlformats.org/officeDocument/2006/relationships/image" Target="../media/image75.jpeg"/><Relationship Id="rId84" Type="http://schemas.openxmlformats.org/officeDocument/2006/relationships/image" Target="../media/image91.png"/><Relationship Id="rId89" Type="http://schemas.openxmlformats.org/officeDocument/2006/relationships/image" Target="../media/image96.png"/><Relationship Id="rId112" Type="http://schemas.openxmlformats.org/officeDocument/2006/relationships/image" Target="../media/image119.png"/><Relationship Id="rId16" Type="http://schemas.openxmlformats.org/officeDocument/2006/relationships/image" Target="../media/image23.png"/><Relationship Id="rId107" Type="http://schemas.openxmlformats.org/officeDocument/2006/relationships/image" Target="../media/image114.png"/><Relationship Id="rId11" Type="http://schemas.openxmlformats.org/officeDocument/2006/relationships/image" Target="../media/image18.jpeg"/><Relationship Id="rId32" Type="http://schemas.openxmlformats.org/officeDocument/2006/relationships/image" Target="../media/image39.jpeg"/><Relationship Id="rId37" Type="http://schemas.openxmlformats.org/officeDocument/2006/relationships/image" Target="../media/image44.jpeg"/><Relationship Id="rId53" Type="http://schemas.openxmlformats.org/officeDocument/2006/relationships/image" Target="../media/image60.jpeg"/><Relationship Id="rId58" Type="http://schemas.openxmlformats.org/officeDocument/2006/relationships/image" Target="../media/image65.jpeg"/><Relationship Id="rId74" Type="http://schemas.openxmlformats.org/officeDocument/2006/relationships/image" Target="../media/image81.jpeg"/><Relationship Id="rId79" Type="http://schemas.openxmlformats.org/officeDocument/2006/relationships/image" Target="../media/image86.png"/><Relationship Id="rId102" Type="http://schemas.openxmlformats.org/officeDocument/2006/relationships/image" Target="../media/image109.png"/><Relationship Id="rId5" Type="http://schemas.openxmlformats.org/officeDocument/2006/relationships/image" Target="../media/image12.jpeg"/><Relationship Id="rId90" Type="http://schemas.openxmlformats.org/officeDocument/2006/relationships/image" Target="../media/image97.png"/><Relationship Id="rId95" Type="http://schemas.openxmlformats.org/officeDocument/2006/relationships/image" Target="../media/image102.png"/><Relationship Id="rId22" Type="http://schemas.openxmlformats.org/officeDocument/2006/relationships/image" Target="../media/image29.jpeg"/><Relationship Id="rId27" Type="http://schemas.openxmlformats.org/officeDocument/2006/relationships/image" Target="../media/image34.jpeg"/><Relationship Id="rId43" Type="http://schemas.openxmlformats.org/officeDocument/2006/relationships/image" Target="../media/image50.jpeg"/><Relationship Id="rId48" Type="http://schemas.openxmlformats.org/officeDocument/2006/relationships/image" Target="../media/image55.jpeg"/><Relationship Id="rId64" Type="http://schemas.openxmlformats.org/officeDocument/2006/relationships/image" Target="../media/image71.jpeg"/><Relationship Id="rId69" Type="http://schemas.openxmlformats.org/officeDocument/2006/relationships/image" Target="../media/image76.jpeg"/><Relationship Id="rId113" Type="http://schemas.openxmlformats.org/officeDocument/2006/relationships/image" Target="../media/image120.png"/><Relationship Id="rId118" Type="http://schemas.openxmlformats.org/officeDocument/2006/relationships/image" Target="../media/image125.png"/><Relationship Id="rId80" Type="http://schemas.openxmlformats.org/officeDocument/2006/relationships/image" Target="../media/image87.png"/><Relationship Id="rId85" Type="http://schemas.openxmlformats.org/officeDocument/2006/relationships/image" Target="../media/image92.png"/><Relationship Id="rId12" Type="http://schemas.openxmlformats.org/officeDocument/2006/relationships/image" Target="../media/image19.jpeg"/><Relationship Id="rId17" Type="http://schemas.openxmlformats.org/officeDocument/2006/relationships/image" Target="../media/image24.png"/><Relationship Id="rId33" Type="http://schemas.openxmlformats.org/officeDocument/2006/relationships/image" Target="../media/image40.jpeg"/><Relationship Id="rId38" Type="http://schemas.openxmlformats.org/officeDocument/2006/relationships/image" Target="../media/image45.jpeg"/><Relationship Id="rId59" Type="http://schemas.openxmlformats.org/officeDocument/2006/relationships/image" Target="../media/image66.jpeg"/><Relationship Id="rId103" Type="http://schemas.openxmlformats.org/officeDocument/2006/relationships/image" Target="../media/image110.png"/><Relationship Id="rId108" Type="http://schemas.openxmlformats.org/officeDocument/2006/relationships/image" Target="../media/image115.jpeg"/><Relationship Id="rId54" Type="http://schemas.openxmlformats.org/officeDocument/2006/relationships/image" Target="../media/image61.jpeg"/><Relationship Id="rId70" Type="http://schemas.openxmlformats.org/officeDocument/2006/relationships/image" Target="../media/image77.jpeg"/><Relationship Id="rId75" Type="http://schemas.openxmlformats.org/officeDocument/2006/relationships/image" Target="../media/image82.jpeg"/><Relationship Id="rId91" Type="http://schemas.openxmlformats.org/officeDocument/2006/relationships/image" Target="../media/image98.png"/><Relationship Id="rId96" Type="http://schemas.openxmlformats.org/officeDocument/2006/relationships/image" Target="../media/image103.png"/><Relationship Id="rId1" Type="http://schemas.openxmlformats.org/officeDocument/2006/relationships/image" Target="../media/image8.png"/><Relationship Id="rId6" Type="http://schemas.openxmlformats.org/officeDocument/2006/relationships/image" Target="../media/image13.jpeg"/><Relationship Id="rId23" Type="http://schemas.openxmlformats.org/officeDocument/2006/relationships/image" Target="../media/image30.jpeg"/><Relationship Id="rId28" Type="http://schemas.openxmlformats.org/officeDocument/2006/relationships/image" Target="../media/image35.jpeg"/><Relationship Id="rId49" Type="http://schemas.openxmlformats.org/officeDocument/2006/relationships/image" Target="../media/image56.jpeg"/><Relationship Id="rId114" Type="http://schemas.openxmlformats.org/officeDocument/2006/relationships/image" Target="../media/image121.png"/><Relationship Id="rId119" Type="http://schemas.openxmlformats.org/officeDocument/2006/relationships/image" Target="../media/image126.png"/><Relationship Id="rId10" Type="http://schemas.openxmlformats.org/officeDocument/2006/relationships/image" Target="../media/image17.jpeg"/><Relationship Id="rId31" Type="http://schemas.openxmlformats.org/officeDocument/2006/relationships/image" Target="../media/image38.jpeg"/><Relationship Id="rId44" Type="http://schemas.openxmlformats.org/officeDocument/2006/relationships/image" Target="../media/image51.jpeg"/><Relationship Id="rId52" Type="http://schemas.openxmlformats.org/officeDocument/2006/relationships/image" Target="../media/image59.jpeg"/><Relationship Id="rId60" Type="http://schemas.openxmlformats.org/officeDocument/2006/relationships/image" Target="../media/image67.jpeg"/><Relationship Id="rId65" Type="http://schemas.openxmlformats.org/officeDocument/2006/relationships/image" Target="../media/image72.jpeg"/><Relationship Id="rId73" Type="http://schemas.openxmlformats.org/officeDocument/2006/relationships/image" Target="../media/image80.jpeg"/><Relationship Id="rId78" Type="http://schemas.openxmlformats.org/officeDocument/2006/relationships/image" Target="../media/image85.jpeg"/><Relationship Id="rId81" Type="http://schemas.openxmlformats.org/officeDocument/2006/relationships/image" Target="../media/image88.png"/><Relationship Id="rId86" Type="http://schemas.openxmlformats.org/officeDocument/2006/relationships/image" Target="../media/image93.png"/><Relationship Id="rId94" Type="http://schemas.openxmlformats.org/officeDocument/2006/relationships/image" Target="../media/image101.png"/><Relationship Id="rId99" Type="http://schemas.openxmlformats.org/officeDocument/2006/relationships/image" Target="../media/image106.png"/><Relationship Id="rId101" Type="http://schemas.openxmlformats.org/officeDocument/2006/relationships/image" Target="../media/image108.png"/><Relationship Id="rId4" Type="http://schemas.openxmlformats.org/officeDocument/2006/relationships/image" Target="../media/image11.jpeg"/><Relationship Id="rId9" Type="http://schemas.openxmlformats.org/officeDocument/2006/relationships/image" Target="../media/image16.jpeg"/><Relationship Id="rId13" Type="http://schemas.openxmlformats.org/officeDocument/2006/relationships/image" Target="../media/image20.jpeg"/><Relationship Id="rId18" Type="http://schemas.openxmlformats.org/officeDocument/2006/relationships/image" Target="../media/image25.jpeg"/><Relationship Id="rId39" Type="http://schemas.openxmlformats.org/officeDocument/2006/relationships/image" Target="../media/image46.jpeg"/><Relationship Id="rId109" Type="http://schemas.openxmlformats.org/officeDocument/2006/relationships/image" Target="../media/image116.png"/><Relationship Id="rId34" Type="http://schemas.openxmlformats.org/officeDocument/2006/relationships/image" Target="../media/image41.jpeg"/><Relationship Id="rId50" Type="http://schemas.openxmlformats.org/officeDocument/2006/relationships/image" Target="../media/image57.jpeg"/><Relationship Id="rId55" Type="http://schemas.openxmlformats.org/officeDocument/2006/relationships/image" Target="../media/image62.jpeg"/><Relationship Id="rId76" Type="http://schemas.openxmlformats.org/officeDocument/2006/relationships/image" Target="../media/image83.jpeg"/><Relationship Id="rId97" Type="http://schemas.openxmlformats.org/officeDocument/2006/relationships/image" Target="../media/image104.jpeg"/><Relationship Id="rId104" Type="http://schemas.openxmlformats.org/officeDocument/2006/relationships/image" Target="../media/image111.png"/><Relationship Id="rId7" Type="http://schemas.openxmlformats.org/officeDocument/2006/relationships/image" Target="../media/image14.jpeg"/><Relationship Id="rId71" Type="http://schemas.openxmlformats.org/officeDocument/2006/relationships/image" Target="../media/image78.jpeg"/><Relationship Id="rId92" Type="http://schemas.openxmlformats.org/officeDocument/2006/relationships/image" Target="../media/image99.png"/><Relationship Id="rId2" Type="http://schemas.openxmlformats.org/officeDocument/2006/relationships/image" Target="../media/image9.jpeg"/><Relationship Id="rId29" Type="http://schemas.openxmlformats.org/officeDocument/2006/relationships/image" Target="../media/image36.jpeg"/><Relationship Id="rId24" Type="http://schemas.openxmlformats.org/officeDocument/2006/relationships/image" Target="../media/image31.jpeg"/><Relationship Id="rId40" Type="http://schemas.openxmlformats.org/officeDocument/2006/relationships/image" Target="../media/image47.jpeg"/><Relationship Id="rId45" Type="http://schemas.openxmlformats.org/officeDocument/2006/relationships/image" Target="../media/image52.jpeg"/><Relationship Id="rId66" Type="http://schemas.openxmlformats.org/officeDocument/2006/relationships/image" Target="../media/image73.jpeg"/><Relationship Id="rId87" Type="http://schemas.openxmlformats.org/officeDocument/2006/relationships/image" Target="../media/image94.png"/><Relationship Id="rId110" Type="http://schemas.openxmlformats.org/officeDocument/2006/relationships/image" Target="../media/image117.png"/><Relationship Id="rId115" Type="http://schemas.openxmlformats.org/officeDocument/2006/relationships/image" Target="../media/image122.png"/><Relationship Id="rId61" Type="http://schemas.openxmlformats.org/officeDocument/2006/relationships/image" Target="../media/image68.jpeg"/><Relationship Id="rId82" Type="http://schemas.openxmlformats.org/officeDocument/2006/relationships/image" Target="../media/image89.png"/><Relationship Id="rId19" Type="http://schemas.openxmlformats.org/officeDocument/2006/relationships/image" Target="../media/image26.jpeg"/><Relationship Id="rId14" Type="http://schemas.openxmlformats.org/officeDocument/2006/relationships/image" Target="../media/image21.jpeg"/><Relationship Id="rId30" Type="http://schemas.openxmlformats.org/officeDocument/2006/relationships/image" Target="../media/image37.jpeg"/><Relationship Id="rId35" Type="http://schemas.openxmlformats.org/officeDocument/2006/relationships/image" Target="../media/image42.jpeg"/><Relationship Id="rId56" Type="http://schemas.openxmlformats.org/officeDocument/2006/relationships/image" Target="../media/image63.jpeg"/><Relationship Id="rId77" Type="http://schemas.openxmlformats.org/officeDocument/2006/relationships/image" Target="../media/image84.jpeg"/><Relationship Id="rId100" Type="http://schemas.openxmlformats.org/officeDocument/2006/relationships/image" Target="../media/image107.png"/><Relationship Id="rId105" Type="http://schemas.openxmlformats.org/officeDocument/2006/relationships/image" Target="../media/image112.png"/><Relationship Id="rId8" Type="http://schemas.openxmlformats.org/officeDocument/2006/relationships/image" Target="../media/image15.jpeg"/><Relationship Id="rId51" Type="http://schemas.openxmlformats.org/officeDocument/2006/relationships/image" Target="../media/image58.jpeg"/><Relationship Id="rId72" Type="http://schemas.openxmlformats.org/officeDocument/2006/relationships/image" Target="../media/image79.jpeg"/><Relationship Id="rId93" Type="http://schemas.openxmlformats.org/officeDocument/2006/relationships/image" Target="../media/image100.png"/><Relationship Id="rId98" Type="http://schemas.openxmlformats.org/officeDocument/2006/relationships/image" Target="../media/image105.jpeg"/><Relationship Id="rId3" Type="http://schemas.openxmlformats.org/officeDocument/2006/relationships/image" Target="../media/image10.jpeg"/><Relationship Id="rId25" Type="http://schemas.openxmlformats.org/officeDocument/2006/relationships/image" Target="../media/image32.jpeg"/><Relationship Id="rId46" Type="http://schemas.openxmlformats.org/officeDocument/2006/relationships/image" Target="../media/image53.jpeg"/><Relationship Id="rId67" Type="http://schemas.openxmlformats.org/officeDocument/2006/relationships/image" Target="../media/image74.jpeg"/><Relationship Id="rId116" Type="http://schemas.openxmlformats.org/officeDocument/2006/relationships/image" Target="../media/image123.png"/><Relationship Id="rId20" Type="http://schemas.openxmlformats.org/officeDocument/2006/relationships/image" Target="../media/image27.jpeg"/><Relationship Id="rId41" Type="http://schemas.openxmlformats.org/officeDocument/2006/relationships/image" Target="../media/image48.jpeg"/><Relationship Id="rId62" Type="http://schemas.openxmlformats.org/officeDocument/2006/relationships/image" Target="../media/image69.jpeg"/><Relationship Id="rId83" Type="http://schemas.openxmlformats.org/officeDocument/2006/relationships/image" Target="../media/image90.png"/><Relationship Id="rId88" Type="http://schemas.openxmlformats.org/officeDocument/2006/relationships/image" Target="../media/image95.png"/><Relationship Id="rId111" Type="http://schemas.openxmlformats.org/officeDocument/2006/relationships/image" Target="../media/image118.png"/><Relationship Id="rId15" Type="http://schemas.openxmlformats.org/officeDocument/2006/relationships/image" Target="../media/image22.jpeg"/><Relationship Id="rId36" Type="http://schemas.openxmlformats.org/officeDocument/2006/relationships/image" Target="../media/image43.jpeg"/><Relationship Id="rId57" Type="http://schemas.openxmlformats.org/officeDocument/2006/relationships/image" Target="../media/image64.jpeg"/><Relationship Id="rId106" Type="http://schemas.openxmlformats.org/officeDocument/2006/relationships/image" Target="../media/image113.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9.png"/><Relationship Id="rId18" Type="http://schemas.openxmlformats.org/officeDocument/2006/relationships/image" Target="../media/image144.png"/><Relationship Id="rId26" Type="http://schemas.openxmlformats.org/officeDocument/2006/relationships/image" Target="../media/image152.png"/><Relationship Id="rId39" Type="http://schemas.openxmlformats.org/officeDocument/2006/relationships/image" Target="../media/image165.png"/><Relationship Id="rId21" Type="http://schemas.openxmlformats.org/officeDocument/2006/relationships/image" Target="../media/image147.png"/><Relationship Id="rId34" Type="http://schemas.openxmlformats.org/officeDocument/2006/relationships/image" Target="../media/image160.png"/><Relationship Id="rId42" Type="http://schemas.openxmlformats.org/officeDocument/2006/relationships/image" Target="../media/image168.png"/><Relationship Id="rId47" Type="http://schemas.openxmlformats.org/officeDocument/2006/relationships/image" Target="../media/image173.png"/><Relationship Id="rId7" Type="http://schemas.openxmlformats.org/officeDocument/2006/relationships/image" Target="../media/image133.png"/><Relationship Id="rId2" Type="http://schemas.openxmlformats.org/officeDocument/2006/relationships/image" Target="../media/image128.png"/><Relationship Id="rId16" Type="http://schemas.openxmlformats.org/officeDocument/2006/relationships/image" Target="../media/image142.png"/><Relationship Id="rId29" Type="http://schemas.openxmlformats.org/officeDocument/2006/relationships/image" Target="../media/image155.png"/><Relationship Id="rId1" Type="http://schemas.openxmlformats.org/officeDocument/2006/relationships/image" Target="../media/image127.jpeg"/><Relationship Id="rId6" Type="http://schemas.openxmlformats.org/officeDocument/2006/relationships/image" Target="../media/image132.png"/><Relationship Id="rId11" Type="http://schemas.openxmlformats.org/officeDocument/2006/relationships/image" Target="../media/image137.png"/><Relationship Id="rId24" Type="http://schemas.openxmlformats.org/officeDocument/2006/relationships/image" Target="../media/image150.png"/><Relationship Id="rId32" Type="http://schemas.openxmlformats.org/officeDocument/2006/relationships/image" Target="../media/image158.png"/><Relationship Id="rId37" Type="http://schemas.openxmlformats.org/officeDocument/2006/relationships/image" Target="../media/image163.png"/><Relationship Id="rId40" Type="http://schemas.openxmlformats.org/officeDocument/2006/relationships/image" Target="../media/image166.png"/><Relationship Id="rId45" Type="http://schemas.openxmlformats.org/officeDocument/2006/relationships/image" Target="../media/image171.png"/><Relationship Id="rId5" Type="http://schemas.openxmlformats.org/officeDocument/2006/relationships/image" Target="../media/image131.png"/><Relationship Id="rId15" Type="http://schemas.openxmlformats.org/officeDocument/2006/relationships/image" Target="../media/image141.png"/><Relationship Id="rId23" Type="http://schemas.openxmlformats.org/officeDocument/2006/relationships/image" Target="../media/image149.png"/><Relationship Id="rId28" Type="http://schemas.openxmlformats.org/officeDocument/2006/relationships/image" Target="../media/image154.png"/><Relationship Id="rId36" Type="http://schemas.openxmlformats.org/officeDocument/2006/relationships/image" Target="../media/image162.png"/><Relationship Id="rId10" Type="http://schemas.openxmlformats.org/officeDocument/2006/relationships/image" Target="../media/image136.png"/><Relationship Id="rId19" Type="http://schemas.openxmlformats.org/officeDocument/2006/relationships/image" Target="../media/image145.png"/><Relationship Id="rId31" Type="http://schemas.openxmlformats.org/officeDocument/2006/relationships/image" Target="../media/image157.png"/><Relationship Id="rId44" Type="http://schemas.openxmlformats.org/officeDocument/2006/relationships/image" Target="../media/image170.png"/><Relationship Id="rId4" Type="http://schemas.openxmlformats.org/officeDocument/2006/relationships/image" Target="../media/image130.png"/><Relationship Id="rId9" Type="http://schemas.openxmlformats.org/officeDocument/2006/relationships/image" Target="../media/image135.png"/><Relationship Id="rId14" Type="http://schemas.openxmlformats.org/officeDocument/2006/relationships/image" Target="../media/image140.png"/><Relationship Id="rId22" Type="http://schemas.openxmlformats.org/officeDocument/2006/relationships/image" Target="../media/image148.png"/><Relationship Id="rId27" Type="http://schemas.openxmlformats.org/officeDocument/2006/relationships/image" Target="../media/image153.png"/><Relationship Id="rId30" Type="http://schemas.openxmlformats.org/officeDocument/2006/relationships/image" Target="../media/image156.png"/><Relationship Id="rId35" Type="http://schemas.openxmlformats.org/officeDocument/2006/relationships/image" Target="../media/image161.png"/><Relationship Id="rId43" Type="http://schemas.openxmlformats.org/officeDocument/2006/relationships/image" Target="../media/image169.png"/><Relationship Id="rId8" Type="http://schemas.openxmlformats.org/officeDocument/2006/relationships/image" Target="../media/image134.png"/><Relationship Id="rId3" Type="http://schemas.openxmlformats.org/officeDocument/2006/relationships/image" Target="../media/image129.png"/><Relationship Id="rId12" Type="http://schemas.openxmlformats.org/officeDocument/2006/relationships/image" Target="../media/image138.png"/><Relationship Id="rId17" Type="http://schemas.openxmlformats.org/officeDocument/2006/relationships/image" Target="../media/image143.png"/><Relationship Id="rId25" Type="http://schemas.openxmlformats.org/officeDocument/2006/relationships/image" Target="../media/image151.png"/><Relationship Id="rId33" Type="http://schemas.openxmlformats.org/officeDocument/2006/relationships/image" Target="../media/image159.png"/><Relationship Id="rId38" Type="http://schemas.openxmlformats.org/officeDocument/2006/relationships/image" Target="../media/image164.png"/><Relationship Id="rId46" Type="http://schemas.openxmlformats.org/officeDocument/2006/relationships/image" Target="../media/image172.png"/><Relationship Id="rId20" Type="http://schemas.openxmlformats.org/officeDocument/2006/relationships/image" Target="../media/image146.png"/><Relationship Id="rId41" Type="http://schemas.openxmlformats.org/officeDocument/2006/relationships/image" Target="../media/image167.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7.jpeg"/><Relationship Id="rId18" Type="http://schemas.openxmlformats.org/officeDocument/2006/relationships/image" Target="../media/image190.png"/><Relationship Id="rId26" Type="http://schemas.openxmlformats.org/officeDocument/2006/relationships/image" Target="../media/image196.png"/><Relationship Id="rId39" Type="http://schemas.openxmlformats.org/officeDocument/2006/relationships/image" Target="../media/image209.png"/><Relationship Id="rId21" Type="http://schemas.openxmlformats.org/officeDocument/2006/relationships/image" Target="../media/image193.png"/><Relationship Id="rId34" Type="http://schemas.openxmlformats.org/officeDocument/2006/relationships/image" Target="../media/image204.tiff"/><Relationship Id="rId42" Type="http://schemas.openxmlformats.org/officeDocument/2006/relationships/image" Target="../media/image212.png"/><Relationship Id="rId47" Type="http://schemas.openxmlformats.org/officeDocument/2006/relationships/image" Target="../media/image217.png"/><Relationship Id="rId50" Type="http://schemas.openxmlformats.org/officeDocument/2006/relationships/image" Target="../media/image220.png"/><Relationship Id="rId55" Type="http://schemas.openxmlformats.org/officeDocument/2006/relationships/image" Target="../media/image225.png"/><Relationship Id="rId63" Type="http://schemas.microsoft.com/office/2007/relationships/hdphoto" Target="../media/hdphoto3.wdp"/><Relationship Id="rId7" Type="http://schemas.openxmlformats.org/officeDocument/2006/relationships/image" Target="../media/image180.png"/><Relationship Id="rId2" Type="http://schemas.openxmlformats.org/officeDocument/2006/relationships/image" Target="../media/image175.png"/><Relationship Id="rId16" Type="http://schemas.openxmlformats.org/officeDocument/2006/relationships/image" Target="../media/image188.png"/><Relationship Id="rId29" Type="http://schemas.openxmlformats.org/officeDocument/2006/relationships/image" Target="../media/image199.png"/><Relationship Id="rId11" Type="http://schemas.openxmlformats.org/officeDocument/2006/relationships/image" Target="../media/image184.png"/><Relationship Id="rId24" Type="http://schemas.openxmlformats.org/officeDocument/2006/relationships/image" Target="../media/image195.jpeg"/><Relationship Id="rId32" Type="http://schemas.openxmlformats.org/officeDocument/2006/relationships/image" Target="../media/image202.tiff"/><Relationship Id="rId37" Type="http://schemas.openxmlformats.org/officeDocument/2006/relationships/image" Target="../media/image207.tiff"/><Relationship Id="rId40" Type="http://schemas.openxmlformats.org/officeDocument/2006/relationships/image" Target="../media/image210.png"/><Relationship Id="rId45" Type="http://schemas.openxmlformats.org/officeDocument/2006/relationships/image" Target="../media/image215.png"/><Relationship Id="rId53" Type="http://schemas.openxmlformats.org/officeDocument/2006/relationships/image" Target="../media/image223.png"/><Relationship Id="rId58" Type="http://schemas.openxmlformats.org/officeDocument/2006/relationships/image" Target="../media/image228.png"/><Relationship Id="rId5" Type="http://schemas.openxmlformats.org/officeDocument/2006/relationships/image" Target="../media/image178.png"/><Relationship Id="rId61" Type="http://schemas.openxmlformats.org/officeDocument/2006/relationships/image" Target="../media/image231.png"/><Relationship Id="rId19" Type="http://schemas.openxmlformats.org/officeDocument/2006/relationships/image" Target="../media/image191.png"/><Relationship Id="rId14" Type="http://schemas.openxmlformats.org/officeDocument/2006/relationships/image" Target="../media/image186.png"/><Relationship Id="rId22" Type="http://schemas.openxmlformats.org/officeDocument/2006/relationships/image" Target="../media/image194.jpeg"/><Relationship Id="rId27" Type="http://schemas.openxmlformats.org/officeDocument/2006/relationships/image" Target="../media/image197.png"/><Relationship Id="rId30" Type="http://schemas.openxmlformats.org/officeDocument/2006/relationships/image" Target="../media/image200.jpeg"/><Relationship Id="rId35" Type="http://schemas.openxmlformats.org/officeDocument/2006/relationships/image" Target="../media/image205.tiff"/><Relationship Id="rId43" Type="http://schemas.openxmlformats.org/officeDocument/2006/relationships/image" Target="../media/image213.png"/><Relationship Id="rId48" Type="http://schemas.openxmlformats.org/officeDocument/2006/relationships/image" Target="../media/image218.png"/><Relationship Id="rId56" Type="http://schemas.openxmlformats.org/officeDocument/2006/relationships/image" Target="../media/image226.png"/><Relationship Id="rId64" Type="http://schemas.openxmlformats.org/officeDocument/2006/relationships/image" Target="../media/image233.png"/><Relationship Id="rId8" Type="http://schemas.openxmlformats.org/officeDocument/2006/relationships/image" Target="../media/image181.png"/><Relationship Id="rId51" Type="http://schemas.openxmlformats.org/officeDocument/2006/relationships/image" Target="../media/image221.png"/><Relationship Id="rId3" Type="http://schemas.openxmlformats.org/officeDocument/2006/relationships/image" Target="../media/image176.png"/><Relationship Id="rId12" Type="http://schemas.openxmlformats.org/officeDocument/2006/relationships/image" Target="../media/image185.png"/><Relationship Id="rId17" Type="http://schemas.openxmlformats.org/officeDocument/2006/relationships/image" Target="../media/image189.png"/><Relationship Id="rId25" Type="http://schemas.microsoft.com/office/2007/relationships/hdphoto" Target="../media/hdphoto2.wdp"/><Relationship Id="rId33" Type="http://schemas.openxmlformats.org/officeDocument/2006/relationships/image" Target="../media/image203.tiff"/><Relationship Id="rId38" Type="http://schemas.openxmlformats.org/officeDocument/2006/relationships/image" Target="../media/image208.png"/><Relationship Id="rId46" Type="http://schemas.openxmlformats.org/officeDocument/2006/relationships/image" Target="../media/image216.png"/><Relationship Id="rId59" Type="http://schemas.openxmlformats.org/officeDocument/2006/relationships/image" Target="../media/image229.png"/><Relationship Id="rId20" Type="http://schemas.openxmlformats.org/officeDocument/2006/relationships/image" Target="../media/image192.png"/><Relationship Id="rId41" Type="http://schemas.openxmlformats.org/officeDocument/2006/relationships/image" Target="../media/image211.png"/><Relationship Id="rId54" Type="http://schemas.openxmlformats.org/officeDocument/2006/relationships/image" Target="../media/image224.png"/><Relationship Id="rId62" Type="http://schemas.openxmlformats.org/officeDocument/2006/relationships/image" Target="../media/image232.jpeg"/><Relationship Id="rId1" Type="http://schemas.openxmlformats.org/officeDocument/2006/relationships/image" Target="../media/image174.png"/><Relationship Id="rId6" Type="http://schemas.openxmlformats.org/officeDocument/2006/relationships/image" Target="../media/image179.png"/><Relationship Id="rId15" Type="http://schemas.openxmlformats.org/officeDocument/2006/relationships/image" Target="../media/image187.png"/><Relationship Id="rId23" Type="http://schemas.microsoft.com/office/2007/relationships/hdphoto" Target="../media/hdphoto1.wdp"/><Relationship Id="rId28" Type="http://schemas.openxmlformats.org/officeDocument/2006/relationships/image" Target="../media/image198.png"/><Relationship Id="rId36" Type="http://schemas.openxmlformats.org/officeDocument/2006/relationships/image" Target="../media/image206.tiff"/><Relationship Id="rId49" Type="http://schemas.openxmlformats.org/officeDocument/2006/relationships/image" Target="../media/image219.png"/><Relationship Id="rId57" Type="http://schemas.openxmlformats.org/officeDocument/2006/relationships/image" Target="../media/image227.png"/><Relationship Id="rId10" Type="http://schemas.openxmlformats.org/officeDocument/2006/relationships/image" Target="../media/image183.png"/><Relationship Id="rId31" Type="http://schemas.openxmlformats.org/officeDocument/2006/relationships/image" Target="../media/image201.jpeg"/><Relationship Id="rId44" Type="http://schemas.openxmlformats.org/officeDocument/2006/relationships/image" Target="../media/image214.png"/><Relationship Id="rId52" Type="http://schemas.openxmlformats.org/officeDocument/2006/relationships/image" Target="../media/image222.png"/><Relationship Id="rId60" Type="http://schemas.openxmlformats.org/officeDocument/2006/relationships/image" Target="../media/image230.png"/><Relationship Id="rId4" Type="http://schemas.openxmlformats.org/officeDocument/2006/relationships/image" Target="../media/image177.png"/><Relationship Id="rId9" Type="http://schemas.openxmlformats.org/officeDocument/2006/relationships/image" Target="../media/image182.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10.png"/><Relationship Id="rId21" Type="http://schemas.openxmlformats.org/officeDocument/2006/relationships/image" Target="../media/image249.png"/><Relationship Id="rId42" Type="http://schemas.openxmlformats.org/officeDocument/2006/relationships/image" Target="../media/image187.png"/><Relationship Id="rId63" Type="http://schemas.microsoft.com/office/2007/relationships/hdphoto" Target="../media/hdphoto2.wdp"/><Relationship Id="rId84" Type="http://schemas.openxmlformats.org/officeDocument/2006/relationships/image" Target="../media/image289.jpeg"/><Relationship Id="rId138" Type="http://schemas.openxmlformats.org/officeDocument/2006/relationships/image" Target="../media/image208.png"/><Relationship Id="rId159" Type="http://schemas.openxmlformats.org/officeDocument/2006/relationships/image" Target="../media/image212.png"/><Relationship Id="rId170" Type="http://schemas.openxmlformats.org/officeDocument/2006/relationships/image" Target="../media/image224.png"/><Relationship Id="rId191" Type="http://schemas.openxmlformats.org/officeDocument/2006/relationships/image" Target="../media/image359.png"/><Relationship Id="rId107" Type="http://schemas.openxmlformats.org/officeDocument/2006/relationships/image" Target="../media/image306.png"/><Relationship Id="rId11" Type="http://schemas.openxmlformats.org/officeDocument/2006/relationships/image" Target="../media/image244.png"/><Relationship Id="rId32" Type="http://schemas.openxmlformats.org/officeDocument/2006/relationships/image" Target="../media/image259.png"/><Relationship Id="rId53" Type="http://schemas.openxmlformats.org/officeDocument/2006/relationships/image" Target="../media/image217.png"/><Relationship Id="rId74" Type="http://schemas.openxmlformats.org/officeDocument/2006/relationships/image" Target="../media/image279.jpeg"/><Relationship Id="rId128" Type="http://schemas.openxmlformats.org/officeDocument/2006/relationships/image" Target="../media/image321.png"/><Relationship Id="rId149" Type="http://schemas.openxmlformats.org/officeDocument/2006/relationships/image" Target="../media/image341.png"/><Relationship Id="rId5" Type="http://schemas.openxmlformats.org/officeDocument/2006/relationships/image" Target="../media/image238.png"/><Relationship Id="rId95" Type="http://schemas.openxmlformats.org/officeDocument/2006/relationships/image" Target="../media/image296.png"/><Relationship Id="rId160" Type="http://schemas.openxmlformats.org/officeDocument/2006/relationships/image" Target="../media/image213.png"/><Relationship Id="rId181" Type="http://schemas.openxmlformats.org/officeDocument/2006/relationships/image" Target="../media/image353.png"/><Relationship Id="rId22" Type="http://schemas.openxmlformats.org/officeDocument/2006/relationships/image" Target="../media/image250.png"/><Relationship Id="rId43" Type="http://schemas.openxmlformats.org/officeDocument/2006/relationships/image" Target="../media/image188.png"/><Relationship Id="rId64" Type="http://schemas.openxmlformats.org/officeDocument/2006/relationships/image" Target="../media/image269.png"/><Relationship Id="rId118" Type="http://schemas.openxmlformats.org/officeDocument/2006/relationships/image" Target="../media/image311.png"/><Relationship Id="rId139" Type="http://schemas.openxmlformats.org/officeDocument/2006/relationships/image" Target="../media/image331.png"/><Relationship Id="rId85" Type="http://schemas.openxmlformats.org/officeDocument/2006/relationships/image" Target="../media/image290.jpeg"/><Relationship Id="rId150" Type="http://schemas.openxmlformats.org/officeDocument/2006/relationships/image" Target="../media/image342.png"/><Relationship Id="rId171" Type="http://schemas.openxmlformats.org/officeDocument/2006/relationships/image" Target="../media/image225.png"/><Relationship Id="rId12" Type="http://schemas.openxmlformats.org/officeDocument/2006/relationships/image" Target="../media/image245.png"/><Relationship Id="rId33" Type="http://schemas.openxmlformats.org/officeDocument/2006/relationships/image" Target="../media/image180.png"/><Relationship Id="rId108" Type="http://schemas.openxmlformats.org/officeDocument/2006/relationships/image" Target="../media/image307.png"/><Relationship Id="rId129" Type="http://schemas.openxmlformats.org/officeDocument/2006/relationships/image" Target="../media/image322.png"/><Relationship Id="rId54" Type="http://schemas.openxmlformats.org/officeDocument/2006/relationships/image" Target="../media/image222.png"/><Relationship Id="rId75" Type="http://schemas.openxmlformats.org/officeDocument/2006/relationships/image" Target="../media/image280.jpeg"/><Relationship Id="rId96" Type="http://schemas.openxmlformats.org/officeDocument/2006/relationships/image" Target="../media/image200.jpeg"/><Relationship Id="rId140" Type="http://schemas.openxmlformats.org/officeDocument/2006/relationships/image" Target="../media/image332.png"/><Relationship Id="rId161" Type="http://schemas.openxmlformats.org/officeDocument/2006/relationships/image" Target="../media/image214.png"/><Relationship Id="rId182" Type="http://schemas.openxmlformats.org/officeDocument/2006/relationships/image" Target="../media/image354.png"/><Relationship Id="rId6" Type="http://schemas.openxmlformats.org/officeDocument/2006/relationships/image" Target="../media/image239.png"/><Relationship Id="rId23" Type="http://schemas.openxmlformats.org/officeDocument/2006/relationships/image" Target="../media/image251.png"/><Relationship Id="rId119" Type="http://schemas.openxmlformats.org/officeDocument/2006/relationships/image" Target="../media/image312.png"/><Relationship Id="rId44" Type="http://schemas.openxmlformats.org/officeDocument/2006/relationships/image" Target="../media/image189.png"/><Relationship Id="rId65" Type="http://schemas.openxmlformats.org/officeDocument/2006/relationships/image" Target="../media/image270.png"/><Relationship Id="rId86" Type="http://schemas.openxmlformats.org/officeDocument/2006/relationships/image" Target="../media/image291.jpeg"/><Relationship Id="rId130" Type="http://schemas.openxmlformats.org/officeDocument/2006/relationships/image" Target="../media/image323.png"/><Relationship Id="rId151" Type="http://schemas.openxmlformats.org/officeDocument/2006/relationships/image" Target="../media/image343.png"/><Relationship Id="rId172" Type="http://schemas.openxmlformats.org/officeDocument/2006/relationships/image" Target="../media/image349.png"/><Relationship Id="rId13" Type="http://schemas.openxmlformats.org/officeDocument/2006/relationships/image" Target="../media/image246.png"/><Relationship Id="rId18" Type="http://schemas.openxmlformats.org/officeDocument/2006/relationships/image" Target="../media/image176.png"/><Relationship Id="rId39" Type="http://schemas.openxmlformats.org/officeDocument/2006/relationships/image" Target="../media/image185.png"/><Relationship Id="rId109" Type="http://schemas.openxmlformats.org/officeDocument/2006/relationships/image" Target="../media/image308.png"/><Relationship Id="rId34" Type="http://schemas.openxmlformats.org/officeDocument/2006/relationships/image" Target="../media/image181.png"/><Relationship Id="rId50" Type="http://schemas.openxmlformats.org/officeDocument/2006/relationships/image" Target="../media/image262.png"/><Relationship Id="rId55" Type="http://schemas.openxmlformats.org/officeDocument/2006/relationships/image" Target="../media/image265.png"/><Relationship Id="rId76" Type="http://schemas.openxmlformats.org/officeDocument/2006/relationships/image" Target="../media/image281.jpeg"/><Relationship Id="rId97" Type="http://schemas.openxmlformats.org/officeDocument/2006/relationships/image" Target="../media/image201.jpeg"/><Relationship Id="rId104" Type="http://schemas.openxmlformats.org/officeDocument/2006/relationships/image" Target="../media/image303.png"/><Relationship Id="rId120" Type="http://schemas.openxmlformats.org/officeDocument/2006/relationships/image" Target="../media/image313.png"/><Relationship Id="rId125" Type="http://schemas.openxmlformats.org/officeDocument/2006/relationships/image" Target="../media/image318.png"/><Relationship Id="rId141" Type="http://schemas.openxmlformats.org/officeDocument/2006/relationships/image" Target="../media/image333.png"/><Relationship Id="rId146" Type="http://schemas.openxmlformats.org/officeDocument/2006/relationships/image" Target="../media/image338.jpeg"/><Relationship Id="rId167" Type="http://schemas.openxmlformats.org/officeDocument/2006/relationships/image" Target="../media/image220.png"/><Relationship Id="rId188" Type="http://schemas.openxmlformats.org/officeDocument/2006/relationships/image" Target="../media/image232.jpeg"/><Relationship Id="rId7" Type="http://schemas.openxmlformats.org/officeDocument/2006/relationships/image" Target="../media/image240.png"/><Relationship Id="rId71" Type="http://schemas.openxmlformats.org/officeDocument/2006/relationships/image" Target="../media/image276.png"/><Relationship Id="rId92" Type="http://schemas.openxmlformats.org/officeDocument/2006/relationships/image" Target="../media/image197.png"/><Relationship Id="rId162" Type="http://schemas.openxmlformats.org/officeDocument/2006/relationships/image" Target="../media/image215.png"/><Relationship Id="rId183" Type="http://schemas.openxmlformats.org/officeDocument/2006/relationships/image" Target="../media/image355.png"/><Relationship Id="rId2" Type="http://schemas.openxmlformats.org/officeDocument/2006/relationships/image" Target="../media/image235.png"/><Relationship Id="rId29" Type="http://schemas.openxmlformats.org/officeDocument/2006/relationships/image" Target="../media/image256.png"/><Relationship Id="rId24" Type="http://schemas.openxmlformats.org/officeDocument/2006/relationships/image" Target="../media/image252.png"/><Relationship Id="rId40" Type="http://schemas.openxmlformats.org/officeDocument/2006/relationships/image" Target="../media/image127.jpeg"/><Relationship Id="rId45" Type="http://schemas.openxmlformats.org/officeDocument/2006/relationships/image" Target="../media/image190.png"/><Relationship Id="rId66" Type="http://schemas.openxmlformats.org/officeDocument/2006/relationships/image" Target="../media/image271.png"/><Relationship Id="rId87" Type="http://schemas.openxmlformats.org/officeDocument/2006/relationships/image" Target="../media/image292.emf"/><Relationship Id="rId110" Type="http://schemas.openxmlformats.org/officeDocument/2006/relationships/image" Target="../media/image309.png"/><Relationship Id="rId115" Type="http://schemas.openxmlformats.org/officeDocument/2006/relationships/image" Target="../media/image206.tiff"/><Relationship Id="rId131" Type="http://schemas.openxmlformats.org/officeDocument/2006/relationships/image" Target="../media/image324.png"/><Relationship Id="rId136" Type="http://schemas.openxmlformats.org/officeDocument/2006/relationships/image" Target="../media/image329.png"/><Relationship Id="rId157" Type="http://schemas.openxmlformats.org/officeDocument/2006/relationships/image" Target="../media/image347.jpeg"/><Relationship Id="rId178" Type="http://schemas.openxmlformats.org/officeDocument/2006/relationships/image" Target="../media/image350.png"/><Relationship Id="rId61" Type="http://schemas.microsoft.com/office/2007/relationships/hdphoto" Target="../media/hdphoto1.wdp"/><Relationship Id="rId82" Type="http://schemas.openxmlformats.org/officeDocument/2006/relationships/image" Target="../media/image287.jpeg"/><Relationship Id="rId152" Type="http://schemas.openxmlformats.org/officeDocument/2006/relationships/image" Target="../media/image209.png"/><Relationship Id="rId173" Type="http://schemas.openxmlformats.org/officeDocument/2006/relationships/image" Target="../media/image226.png"/><Relationship Id="rId19" Type="http://schemas.openxmlformats.org/officeDocument/2006/relationships/image" Target="../media/image177.png"/><Relationship Id="rId14" Type="http://schemas.openxmlformats.org/officeDocument/2006/relationships/image" Target="../media/image247.png"/><Relationship Id="rId30" Type="http://schemas.openxmlformats.org/officeDocument/2006/relationships/image" Target="../media/image257.png"/><Relationship Id="rId35" Type="http://schemas.openxmlformats.org/officeDocument/2006/relationships/image" Target="../media/image182.png"/><Relationship Id="rId56" Type="http://schemas.openxmlformats.org/officeDocument/2006/relationships/image" Target="../media/image266.jpeg"/><Relationship Id="rId77" Type="http://schemas.openxmlformats.org/officeDocument/2006/relationships/image" Target="../media/image282.jpeg"/><Relationship Id="rId100" Type="http://schemas.openxmlformats.org/officeDocument/2006/relationships/image" Target="../media/image299.png"/><Relationship Id="rId105" Type="http://schemas.openxmlformats.org/officeDocument/2006/relationships/image" Target="../media/image304.png"/><Relationship Id="rId126" Type="http://schemas.openxmlformats.org/officeDocument/2006/relationships/image" Target="../media/image319.png"/><Relationship Id="rId147" Type="http://schemas.openxmlformats.org/officeDocument/2006/relationships/image" Target="../media/image339.jpeg"/><Relationship Id="rId168" Type="http://schemas.openxmlformats.org/officeDocument/2006/relationships/image" Target="../media/image221.png"/><Relationship Id="rId8" Type="http://schemas.openxmlformats.org/officeDocument/2006/relationships/image" Target="../media/image241.png"/><Relationship Id="rId51" Type="http://schemas.openxmlformats.org/officeDocument/2006/relationships/image" Target="../media/image263.png"/><Relationship Id="rId72" Type="http://schemas.openxmlformats.org/officeDocument/2006/relationships/image" Target="../media/image277.png"/><Relationship Id="rId93" Type="http://schemas.openxmlformats.org/officeDocument/2006/relationships/image" Target="../media/image198.png"/><Relationship Id="rId98" Type="http://schemas.openxmlformats.org/officeDocument/2006/relationships/image" Target="../media/image297.png"/><Relationship Id="rId121" Type="http://schemas.openxmlformats.org/officeDocument/2006/relationships/image" Target="../media/image314.png"/><Relationship Id="rId142" Type="http://schemas.openxmlformats.org/officeDocument/2006/relationships/image" Target="../media/image334.png"/><Relationship Id="rId163" Type="http://schemas.openxmlformats.org/officeDocument/2006/relationships/image" Target="../media/image348.png"/><Relationship Id="rId184" Type="http://schemas.openxmlformats.org/officeDocument/2006/relationships/image" Target="../media/image356.png"/><Relationship Id="rId189" Type="http://schemas.microsoft.com/office/2007/relationships/hdphoto" Target="../media/hdphoto3.wdp"/><Relationship Id="rId3" Type="http://schemas.openxmlformats.org/officeDocument/2006/relationships/image" Target="../media/image236.png"/><Relationship Id="rId25" Type="http://schemas.openxmlformats.org/officeDocument/2006/relationships/image" Target="../media/image253.png"/><Relationship Id="rId46" Type="http://schemas.openxmlformats.org/officeDocument/2006/relationships/image" Target="../media/image191.png"/><Relationship Id="rId67" Type="http://schemas.openxmlformats.org/officeDocument/2006/relationships/image" Target="../media/image272.jpeg"/><Relationship Id="rId116" Type="http://schemas.openxmlformats.org/officeDocument/2006/relationships/image" Target="../media/image207.tiff"/><Relationship Id="rId137" Type="http://schemas.openxmlformats.org/officeDocument/2006/relationships/image" Target="../media/image330.png"/><Relationship Id="rId158" Type="http://schemas.openxmlformats.org/officeDocument/2006/relationships/image" Target="../media/image211.png"/><Relationship Id="rId20" Type="http://schemas.openxmlformats.org/officeDocument/2006/relationships/image" Target="../media/image178.png"/><Relationship Id="rId41" Type="http://schemas.openxmlformats.org/officeDocument/2006/relationships/image" Target="../media/image186.png"/><Relationship Id="rId62" Type="http://schemas.openxmlformats.org/officeDocument/2006/relationships/image" Target="../media/image195.jpeg"/><Relationship Id="rId83" Type="http://schemas.openxmlformats.org/officeDocument/2006/relationships/image" Target="../media/image288.png"/><Relationship Id="rId88" Type="http://schemas.openxmlformats.org/officeDocument/2006/relationships/image" Target="../media/image293.jpeg"/><Relationship Id="rId111" Type="http://schemas.openxmlformats.org/officeDocument/2006/relationships/image" Target="../media/image202.tiff"/><Relationship Id="rId132" Type="http://schemas.openxmlformats.org/officeDocument/2006/relationships/image" Target="../media/image325.png"/><Relationship Id="rId153" Type="http://schemas.openxmlformats.org/officeDocument/2006/relationships/image" Target="../media/image210.png"/><Relationship Id="rId174" Type="http://schemas.openxmlformats.org/officeDocument/2006/relationships/image" Target="../media/image227.png"/><Relationship Id="rId179" Type="http://schemas.openxmlformats.org/officeDocument/2006/relationships/image" Target="../media/image351.png"/><Relationship Id="rId190" Type="http://schemas.openxmlformats.org/officeDocument/2006/relationships/image" Target="../media/image233.png"/><Relationship Id="rId15" Type="http://schemas.openxmlformats.org/officeDocument/2006/relationships/image" Target="../media/image248.png"/><Relationship Id="rId36" Type="http://schemas.openxmlformats.org/officeDocument/2006/relationships/image" Target="../media/image260.jpeg"/><Relationship Id="rId57" Type="http://schemas.microsoft.com/office/2007/relationships/hdphoto" Target="../media/hdphoto4.wdp"/><Relationship Id="rId106" Type="http://schemas.openxmlformats.org/officeDocument/2006/relationships/image" Target="../media/image305.png"/><Relationship Id="rId127" Type="http://schemas.openxmlformats.org/officeDocument/2006/relationships/image" Target="../media/image320.png"/><Relationship Id="rId10" Type="http://schemas.openxmlformats.org/officeDocument/2006/relationships/image" Target="../media/image243.png"/><Relationship Id="rId31" Type="http://schemas.openxmlformats.org/officeDocument/2006/relationships/image" Target="../media/image258.jpeg"/><Relationship Id="rId52" Type="http://schemas.openxmlformats.org/officeDocument/2006/relationships/image" Target="../media/image264.png"/><Relationship Id="rId73" Type="http://schemas.openxmlformats.org/officeDocument/2006/relationships/image" Target="../media/image278.jpeg"/><Relationship Id="rId78" Type="http://schemas.openxmlformats.org/officeDocument/2006/relationships/image" Target="../media/image283.jpeg"/><Relationship Id="rId94" Type="http://schemas.openxmlformats.org/officeDocument/2006/relationships/image" Target="../media/image199.png"/><Relationship Id="rId99" Type="http://schemas.openxmlformats.org/officeDocument/2006/relationships/image" Target="../media/image298.png"/><Relationship Id="rId101" Type="http://schemas.openxmlformats.org/officeDocument/2006/relationships/image" Target="../media/image300.png"/><Relationship Id="rId122" Type="http://schemas.openxmlformats.org/officeDocument/2006/relationships/image" Target="../media/image315.png"/><Relationship Id="rId143" Type="http://schemas.openxmlformats.org/officeDocument/2006/relationships/image" Target="../media/image335.png"/><Relationship Id="rId148" Type="http://schemas.openxmlformats.org/officeDocument/2006/relationships/image" Target="../media/image340.png"/><Relationship Id="rId164" Type="http://schemas.openxmlformats.org/officeDocument/2006/relationships/image" Target="../media/image216.png"/><Relationship Id="rId169" Type="http://schemas.openxmlformats.org/officeDocument/2006/relationships/image" Target="../media/image223.png"/><Relationship Id="rId185" Type="http://schemas.openxmlformats.org/officeDocument/2006/relationships/image" Target="../media/image357.png"/><Relationship Id="rId4" Type="http://schemas.openxmlformats.org/officeDocument/2006/relationships/image" Target="../media/image237.png"/><Relationship Id="rId9" Type="http://schemas.openxmlformats.org/officeDocument/2006/relationships/image" Target="../media/image242.png"/><Relationship Id="rId180" Type="http://schemas.openxmlformats.org/officeDocument/2006/relationships/image" Target="../media/image352.png"/><Relationship Id="rId26" Type="http://schemas.openxmlformats.org/officeDocument/2006/relationships/image" Target="../media/image179.png"/><Relationship Id="rId47" Type="http://schemas.openxmlformats.org/officeDocument/2006/relationships/image" Target="../media/image192.png"/><Relationship Id="rId68" Type="http://schemas.openxmlformats.org/officeDocument/2006/relationships/image" Target="../media/image273.jpeg"/><Relationship Id="rId89" Type="http://schemas.openxmlformats.org/officeDocument/2006/relationships/image" Target="../media/image294.png"/><Relationship Id="rId112" Type="http://schemas.openxmlformats.org/officeDocument/2006/relationships/image" Target="../media/image203.tiff"/><Relationship Id="rId133" Type="http://schemas.openxmlformats.org/officeDocument/2006/relationships/image" Target="../media/image326.png"/><Relationship Id="rId154" Type="http://schemas.openxmlformats.org/officeDocument/2006/relationships/image" Target="../media/image344.png"/><Relationship Id="rId175" Type="http://schemas.openxmlformats.org/officeDocument/2006/relationships/image" Target="../media/image228.png"/><Relationship Id="rId16" Type="http://schemas.openxmlformats.org/officeDocument/2006/relationships/image" Target="../media/image174.png"/><Relationship Id="rId37" Type="http://schemas.openxmlformats.org/officeDocument/2006/relationships/image" Target="../media/image183.png"/><Relationship Id="rId58" Type="http://schemas.openxmlformats.org/officeDocument/2006/relationships/image" Target="../media/image267.png"/><Relationship Id="rId79" Type="http://schemas.openxmlformats.org/officeDocument/2006/relationships/image" Target="../media/image284.jpeg"/><Relationship Id="rId102" Type="http://schemas.openxmlformats.org/officeDocument/2006/relationships/image" Target="../media/image301.png"/><Relationship Id="rId123" Type="http://schemas.openxmlformats.org/officeDocument/2006/relationships/image" Target="../media/image316.png"/><Relationship Id="rId144" Type="http://schemas.openxmlformats.org/officeDocument/2006/relationships/image" Target="../media/image336.png"/><Relationship Id="rId90" Type="http://schemas.openxmlformats.org/officeDocument/2006/relationships/image" Target="../media/image295.png"/><Relationship Id="rId165" Type="http://schemas.openxmlformats.org/officeDocument/2006/relationships/image" Target="../media/image218.png"/><Relationship Id="rId186" Type="http://schemas.openxmlformats.org/officeDocument/2006/relationships/image" Target="../media/image231.png"/><Relationship Id="rId27" Type="http://schemas.openxmlformats.org/officeDocument/2006/relationships/image" Target="../media/image254.png"/><Relationship Id="rId48" Type="http://schemas.openxmlformats.org/officeDocument/2006/relationships/image" Target="../media/image193.png"/><Relationship Id="rId69" Type="http://schemas.openxmlformats.org/officeDocument/2006/relationships/image" Target="../media/image274.jpeg"/><Relationship Id="rId113" Type="http://schemas.openxmlformats.org/officeDocument/2006/relationships/image" Target="../media/image204.tiff"/><Relationship Id="rId134" Type="http://schemas.openxmlformats.org/officeDocument/2006/relationships/image" Target="../media/image327.png"/><Relationship Id="rId80" Type="http://schemas.openxmlformats.org/officeDocument/2006/relationships/image" Target="../media/image285.png"/><Relationship Id="rId155" Type="http://schemas.openxmlformats.org/officeDocument/2006/relationships/image" Target="../media/image345.png"/><Relationship Id="rId176" Type="http://schemas.openxmlformats.org/officeDocument/2006/relationships/image" Target="../media/image229.png"/><Relationship Id="rId17" Type="http://schemas.openxmlformats.org/officeDocument/2006/relationships/image" Target="../media/image175.png"/><Relationship Id="rId38" Type="http://schemas.openxmlformats.org/officeDocument/2006/relationships/image" Target="../media/image184.png"/><Relationship Id="rId59" Type="http://schemas.openxmlformats.org/officeDocument/2006/relationships/image" Target="../media/image268.png"/><Relationship Id="rId103" Type="http://schemas.openxmlformats.org/officeDocument/2006/relationships/image" Target="../media/image302.png"/><Relationship Id="rId124" Type="http://schemas.openxmlformats.org/officeDocument/2006/relationships/image" Target="../media/image317.png"/><Relationship Id="rId70" Type="http://schemas.openxmlformats.org/officeDocument/2006/relationships/image" Target="../media/image275.jpeg"/><Relationship Id="rId91" Type="http://schemas.openxmlformats.org/officeDocument/2006/relationships/image" Target="../media/image196.png"/><Relationship Id="rId145" Type="http://schemas.openxmlformats.org/officeDocument/2006/relationships/image" Target="../media/image337.jpeg"/><Relationship Id="rId166" Type="http://schemas.openxmlformats.org/officeDocument/2006/relationships/image" Target="../media/image219.png"/><Relationship Id="rId187" Type="http://schemas.openxmlformats.org/officeDocument/2006/relationships/image" Target="../media/image358.png"/><Relationship Id="rId1" Type="http://schemas.openxmlformats.org/officeDocument/2006/relationships/image" Target="../media/image234.png"/><Relationship Id="rId28" Type="http://schemas.openxmlformats.org/officeDocument/2006/relationships/image" Target="../media/image255.png"/><Relationship Id="rId49" Type="http://schemas.openxmlformats.org/officeDocument/2006/relationships/image" Target="../media/image261.png"/><Relationship Id="rId114" Type="http://schemas.openxmlformats.org/officeDocument/2006/relationships/image" Target="../media/image205.tiff"/><Relationship Id="rId60" Type="http://schemas.openxmlformats.org/officeDocument/2006/relationships/image" Target="../media/image194.jpeg"/><Relationship Id="rId81" Type="http://schemas.openxmlformats.org/officeDocument/2006/relationships/image" Target="../media/image286.png"/><Relationship Id="rId135" Type="http://schemas.openxmlformats.org/officeDocument/2006/relationships/image" Target="../media/image328.png"/><Relationship Id="rId156" Type="http://schemas.openxmlformats.org/officeDocument/2006/relationships/image" Target="../media/image346.jpeg"/><Relationship Id="rId177" Type="http://schemas.openxmlformats.org/officeDocument/2006/relationships/image" Target="../media/image230.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376.png"/><Relationship Id="rId26" Type="http://schemas.openxmlformats.org/officeDocument/2006/relationships/image" Target="../media/image384.png"/><Relationship Id="rId39" Type="http://schemas.openxmlformats.org/officeDocument/2006/relationships/image" Target="../media/image397.png"/><Relationship Id="rId21" Type="http://schemas.openxmlformats.org/officeDocument/2006/relationships/image" Target="../media/image379.png"/><Relationship Id="rId34" Type="http://schemas.openxmlformats.org/officeDocument/2006/relationships/image" Target="../media/image392.png"/><Relationship Id="rId42" Type="http://schemas.openxmlformats.org/officeDocument/2006/relationships/image" Target="../media/image400.png"/><Relationship Id="rId47" Type="http://schemas.openxmlformats.org/officeDocument/2006/relationships/image" Target="../media/image405.png"/><Relationship Id="rId50" Type="http://schemas.openxmlformats.org/officeDocument/2006/relationships/image" Target="../media/image408.png"/><Relationship Id="rId55" Type="http://schemas.openxmlformats.org/officeDocument/2006/relationships/image" Target="../media/image413.png"/><Relationship Id="rId7" Type="http://schemas.openxmlformats.org/officeDocument/2006/relationships/image" Target="../media/image365.png"/><Relationship Id="rId2" Type="http://schemas.openxmlformats.org/officeDocument/2006/relationships/image" Target="../media/image360.png"/><Relationship Id="rId16" Type="http://schemas.openxmlformats.org/officeDocument/2006/relationships/image" Target="../media/image374.png"/><Relationship Id="rId29" Type="http://schemas.openxmlformats.org/officeDocument/2006/relationships/image" Target="../media/image387.png"/><Relationship Id="rId11" Type="http://schemas.openxmlformats.org/officeDocument/2006/relationships/image" Target="../media/image369.png"/><Relationship Id="rId24" Type="http://schemas.openxmlformats.org/officeDocument/2006/relationships/image" Target="../media/image382.png"/><Relationship Id="rId32" Type="http://schemas.openxmlformats.org/officeDocument/2006/relationships/image" Target="../media/image390.png"/><Relationship Id="rId37" Type="http://schemas.openxmlformats.org/officeDocument/2006/relationships/image" Target="../media/image395.png"/><Relationship Id="rId40" Type="http://schemas.openxmlformats.org/officeDocument/2006/relationships/image" Target="../media/image398.png"/><Relationship Id="rId45" Type="http://schemas.openxmlformats.org/officeDocument/2006/relationships/image" Target="../media/image403.png"/><Relationship Id="rId53" Type="http://schemas.openxmlformats.org/officeDocument/2006/relationships/image" Target="../media/image411.png"/><Relationship Id="rId58" Type="http://schemas.openxmlformats.org/officeDocument/2006/relationships/image" Target="../media/image416.png"/><Relationship Id="rId5" Type="http://schemas.openxmlformats.org/officeDocument/2006/relationships/image" Target="../media/image363.png"/><Relationship Id="rId19" Type="http://schemas.openxmlformats.org/officeDocument/2006/relationships/image" Target="../media/image377.png"/><Relationship Id="rId4" Type="http://schemas.openxmlformats.org/officeDocument/2006/relationships/image" Target="../media/image362.png"/><Relationship Id="rId9" Type="http://schemas.openxmlformats.org/officeDocument/2006/relationships/image" Target="../media/image367.png"/><Relationship Id="rId14" Type="http://schemas.openxmlformats.org/officeDocument/2006/relationships/image" Target="../media/image372.png"/><Relationship Id="rId22" Type="http://schemas.openxmlformats.org/officeDocument/2006/relationships/image" Target="../media/image380.png"/><Relationship Id="rId27" Type="http://schemas.openxmlformats.org/officeDocument/2006/relationships/image" Target="../media/image385.png"/><Relationship Id="rId30" Type="http://schemas.openxmlformats.org/officeDocument/2006/relationships/image" Target="../media/image388.png"/><Relationship Id="rId35" Type="http://schemas.openxmlformats.org/officeDocument/2006/relationships/image" Target="../media/image393.png"/><Relationship Id="rId43" Type="http://schemas.openxmlformats.org/officeDocument/2006/relationships/image" Target="../media/image401.png"/><Relationship Id="rId48" Type="http://schemas.openxmlformats.org/officeDocument/2006/relationships/image" Target="../media/image406.png"/><Relationship Id="rId56" Type="http://schemas.openxmlformats.org/officeDocument/2006/relationships/image" Target="../media/image414.png"/><Relationship Id="rId8" Type="http://schemas.openxmlformats.org/officeDocument/2006/relationships/image" Target="../media/image366.png"/><Relationship Id="rId51" Type="http://schemas.openxmlformats.org/officeDocument/2006/relationships/image" Target="../media/image409.png"/><Relationship Id="rId3" Type="http://schemas.openxmlformats.org/officeDocument/2006/relationships/image" Target="../media/image361.png"/><Relationship Id="rId12" Type="http://schemas.openxmlformats.org/officeDocument/2006/relationships/image" Target="../media/image370.png"/><Relationship Id="rId17" Type="http://schemas.openxmlformats.org/officeDocument/2006/relationships/image" Target="../media/image375.png"/><Relationship Id="rId25" Type="http://schemas.openxmlformats.org/officeDocument/2006/relationships/image" Target="../media/image383.png"/><Relationship Id="rId33" Type="http://schemas.openxmlformats.org/officeDocument/2006/relationships/image" Target="../media/image391.png"/><Relationship Id="rId38" Type="http://schemas.openxmlformats.org/officeDocument/2006/relationships/image" Target="../media/image396.png"/><Relationship Id="rId46" Type="http://schemas.openxmlformats.org/officeDocument/2006/relationships/image" Target="../media/image404.png"/><Relationship Id="rId20" Type="http://schemas.openxmlformats.org/officeDocument/2006/relationships/image" Target="../media/image378.png"/><Relationship Id="rId41" Type="http://schemas.openxmlformats.org/officeDocument/2006/relationships/image" Target="../media/image399.png"/><Relationship Id="rId54" Type="http://schemas.openxmlformats.org/officeDocument/2006/relationships/image" Target="../media/image412.png"/><Relationship Id="rId1" Type="http://schemas.openxmlformats.org/officeDocument/2006/relationships/image" Target="../media/image127.jpeg"/><Relationship Id="rId6" Type="http://schemas.openxmlformats.org/officeDocument/2006/relationships/image" Target="../media/image364.png"/><Relationship Id="rId15" Type="http://schemas.openxmlformats.org/officeDocument/2006/relationships/image" Target="../media/image373.png"/><Relationship Id="rId23" Type="http://schemas.openxmlformats.org/officeDocument/2006/relationships/image" Target="../media/image381.png"/><Relationship Id="rId28" Type="http://schemas.openxmlformats.org/officeDocument/2006/relationships/image" Target="../media/image386.png"/><Relationship Id="rId36" Type="http://schemas.openxmlformats.org/officeDocument/2006/relationships/image" Target="../media/image394.png"/><Relationship Id="rId49" Type="http://schemas.openxmlformats.org/officeDocument/2006/relationships/image" Target="../media/image407.png"/><Relationship Id="rId57" Type="http://schemas.openxmlformats.org/officeDocument/2006/relationships/image" Target="../media/image415.png"/><Relationship Id="rId10" Type="http://schemas.openxmlformats.org/officeDocument/2006/relationships/image" Target="../media/image368.png"/><Relationship Id="rId31" Type="http://schemas.openxmlformats.org/officeDocument/2006/relationships/image" Target="../media/image389.png"/><Relationship Id="rId44" Type="http://schemas.openxmlformats.org/officeDocument/2006/relationships/image" Target="../media/image402.png"/><Relationship Id="rId52" Type="http://schemas.openxmlformats.org/officeDocument/2006/relationships/image" Target="../media/image410.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12</xdr:row>
      <xdr:rowOff>2446</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3</xdr:row>
      <xdr:rowOff>346078</xdr:rowOff>
    </xdr:from>
    <xdr:to>
      <xdr:col>9</xdr:col>
      <xdr:colOff>729991</xdr:colOff>
      <xdr:row>9</xdr:row>
      <xdr:rowOff>183925</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20054925" y="1102030"/>
          <a:ext cx="3262923" cy="1591657"/>
        </a:xfrm>
        <a:prstGeom prst="rect">
          <a:avLst/>
        </a:prstGeom>
      </xdr:spPr>
    </xdr:pic>
    <xdr:clientData/>
  </xdr:twoCellAnchor>
  <xdr:twoCellAnchor editAs="oneCell">
    <xdr:from>
      <xdr:col>0</xdr:col>
      <xdr:colOff>9392</xdr:colOff>
      <xdr:row>44</xdr:row>
      <xdr:rowOff>50807</xdr:rowOff>
    </xdr:from>
    <xdr:to>
      <xdr:col>0</xdr:col>
      <xdr:colOff>438017</xdr:colOff>
      <xdr:row>44</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44</xdr:row>
      <xdr:rowOff>39830</xdr:rowOff>
    </xdr:from>
    <xdr:to>
      <xdr:col>8</xdr:col>
      <xdr:colOff>1029449</xdr:colOff>
      <xdr:row>44</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63</xdr:row>
      <xdr:rowOff>0</xdr:rowOff>
    </xdr:from>
    <xdr:to>
      <xdr:col>1</xdr:col>
      <xdr:colOff>304800</xdr:colOff>
      <xdr:row>63</xdr:row>
      <xdr:rowOff>306531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3111500</xdr:colOff>
      <xdr:row>26</xdr:row>
      <xdr:rowOff>1778000</xdr:rowOff>
    </xdr:from>
    <xdr:to>
      <xdr:col>1</xdr:col>
      <xdr:colOff>4048125</xdr:colOff>
      <xdr:row>26</xdr:row>
      <xdr:rowOff>2286000</xdr:rowOff>
    </xdr:to>
    <xdr:sp macro="" textlink="">
      <xdr:nvSpPr>
        <xdr:cNvPr id="9" name="Rectangle 8">
          <a:extLst>
            <a:ext uri="{FF2B5EF4-FFF2-40B4-BE49-F238E27FC236}">
              <a16:creationId xmlns:a16="http://schemas.microsoft.com/office/drawing/2014/main" id="{2A1FF012-5AF7-9543-983E-58DD680A7EC9}"/>
            </a:ext>
          </a:extLst>
        </xdr:cNvPr>
        <xdr:cNvSpPr/>
      </xdr:nvSpPr>
      <xdr:spPr>
        <a:xfrm>
          <a:off x="6197600" y="280543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1603375</xdr:colOff>
      <xdr:row>21</xdr:row>
      <xdr:rowOff>2397125</xdr:rowOff>
    </xdr:from>
    <xdr:to>
      <xdr:col>1</xdr:col>
      <xdr:colOff>2794000</xdr:colOff>
      <xdr:row>21</xdr:row>
      <xdr:rowOff>2619375</xdr:rowOff>
    </xdr:to>
    <xdr:sp macro="" textlink="">
      <xdr:nvSpPr>
        <xdr:cNvPr id="17" name="Rectangle 16">
          <a:extLst>
            <a:ext uri="{FF2B5EF4-FFF2-40B4-BE49-F238E27FC236}">
              <a16:creationId xmlns:a16="http://schemas.microsoft.com/office/drawing/2014/main" id="{BCCE77F9-7B80-E242-97DE-B402F66D92FA}"/>
            </a:ext>
          </a:extLst>
        </xdr:cNvPr>
        <xdr:cNvSpPr/>
      </xdr:nvSpPr>
      <xdr:spPr>
        <a:xfrm>
          <a:off x="4689475" y="20532725"/>
          <a:ext cx="1190625" cy="222250"/>
        </a:xfrm>
        <a:prstGeom prst="rect">
          <a:avLst/>
        </a:prstGeom>
        <a:solidFill>
          <a:sysClr val="window" lastClr="FFFFFF"/>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27</xdr:row>
      <xdr:rowOff>1778000</xdr:rowOff>
    </xdr:from>
    <xdr:to>
      <xdr:col>1</xdr:col>
      <xdr:colOff>4048125</xdr:colOff>
      <xdr:row>27</xdr:row>
      <xdr:rowOff>2286000</xdr:rowOff>
    </xdr:to>
    <xdr:sp macro="" textlink="">
      <xdr:nvSpPr>
        <xdr:cNvPr id="7" name="Rectangle 6">
          <a:extLst>
            <a:ext uri="{FF2B5EF4-FFF2-40B4-BE49-F238E27FC236}">
              <a16:creationId xmlns:a16="http://schemas.microsoft.com/office/drawing/2014/main" id="{AB3B4A52-ED0B-044D-98BF-533EA917F77E}"/>
            </a:ext>
          </a:extLst>
        </xdr:cNvPr>
        <xdr:cNvSpPr/>
      </xdr:nvSpPr>
      <xdr:spPr>
        <a:xfrm>
          <a:off x="6195786" y="46228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28</xdr:row>
      <xdr:rowOff>1778000</xdr:rowOff>
    </xdr:from>
    <xdr:to>
      <xdr:col>1</xdr:col>
      <xdr:colOff>4048125</xdr:colOff>
      <xdr:row>28</xdr:row>
      <xdr:rowOff>2286000</xdr:rowOff>
    </xdr:to>
    <xdr:sp macro="" textlink="">
      <xdr:nvSpPr>
        <xdr:cNvPr id="8" name="Rectangle 7">
          <a:extLst>
            <a:ext uri="{FF2B5EF4-FFF2-40B4-BE49-F238E27FC236}">
              <a16:creationId xmlns:a16="http://schemas.microsoft.com/office/drawing/2014/main" id="{1798BA0D-2F80-D54E-9F2B-CA3BE58092D9}"/>
            </a:ext>
          </a:extLst>
        </xdr:cNvPr>
        <xdr:cNvSpPr/>
      </xdr:nvSpPr>
      <xdr:spPr>
        <a:xfrm>
          <a:off x="6195786" y="46228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29</xdr:row>
      <xdr:rowOff>1778000</xdr:rowOff>
    </xdr:from>
    <xdr:to>
      <xdr:col>1</xdr:col>
      <xdr:colOff>4048125</xdr:colOff>
      <xdr:row>29</xdr:row>
      <xdr:rowOff>2286000</xdr:rowOff>
    </xdr:to>
    <xdr:sp macro="" textlink="">
      <xdr:nvSpPr>
        <xdr:cNvPr id="11" name="Rectangle 10">
          <a:extLst>
            <a:ext uri="{FF2B5EF4-FFF2-40B4-BE49-F238E27FC236}">
              <a16:creationId xmlns:a16="http://schemas.microsoft.com/office/drawing/2014/main" id="{0DBB475D-B37E-814B-A91D-F45F1973CD65}"/>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30</xdr:row>
      <xdr:rowOff>1778000</xdr:rowOff>
    </xdr:from>
    <xdr:to>
      <xdr:col>1</xdr:col>
      <xdr:colOff>4048125</xdr:colOff>
      <xdr:row>30</xdr:row>
      <xdr:rowOff>2286000</xdr:rowOff>
    </xdr:to>
    <xdr:sp macro="" textlink="">
      <xdr:nvSpPr>
        <xdr:cNvPr id="13" name="Rectangle 12">
          <a:extLst>
            <a:ext uri="{FF2B5EF4-FFF2-40B4-BE49-F238E27FC236}">
              <a16:creationId xmlns:a16="http://schemas.microsoft.com/office/drawing/2014/main" id="{E3FC2D75-3F4B-664F-B8D0-3900D36EA143}"/>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31</xdr:row>
      <xdr:rowOff>1778000</xdr:rowOff>
    </xdr:from>
    <xdr:to>
      <xdr:col>1</xdr:col>
      <xdr:colOff>4048125</xdr:colOff>
      <xdr:row>31</xdr:row>
      <xdr:rowOff>2286000</xdr:rowOff>
    </xdr:to>
    <xdr:sp macro="" textlink="">
      <xdr:nvSpPr>
        <xdr:cNvPr id="14" name="Rectangle 13">
          <a:extLst>
            <a:ext uri="{FF2B5EF4-FFF2-40B4-BE49-F238E27FC236}">
              <a16:creationId xmlns:a16="http://schemas.microsoft.com/office/drawing/2014/main" id="{99998704-67B7-1C4A-8F47-D159F1698F62}"/>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32</xdr:row>
      <xdr:rowOff>1778000</xdr:rowOff>
    </xdr:from>
    <xdr:to>
      <xdr:col>1</xdr:col>
      <xdr:colOff>4048125</xdr:colOff>
      <xdr:row>32</xdr:row>
      <xdr:rowOff>2286000</xdr:rowOff>
    </xdr:to>
    <xdr:sp macro="" textlink="">
      <xdr:nvSpPr>
        <xdr:cNvPr id="15" name="Rectangle 14">
          <a:extLst>
            <a:ext uri="{FF2B5EF4-FFF2-40B4-BE49-F238E27FC236}">
              <a16:creationId xmlns:a16="http://schemas.microsoft.com/office/drawing/2014/main" id="{032A6DAB-3A35-3545-9537-80BEAEE35AB5}"/>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33</xdr:row>
      <xdr:rowOff>1778000</xdr:rowOff>
    </xdr:from>
    <xdr:to>
      <xdr:col>1</xdr:col>
      <xdr:colOff>4048125</xdr:colOff>
      <xdr:row>33</xdr:row>
      <xdr:rowOff>2286000</xdr:rowOff>
    </xdr:to>
    <xdr:sp macro="" textlink="">
      <xdr:nvSpPr>
        <xdr:cNvPr id="16" name="Rectangle 15">
          <a:extLst>
            <a:ext uri="{FF2B5EF4-FFF2-40B4-BE49-F238E27FC236}">
              <a16:creationId xmlns:a16="http://schemas.microsoft.com/office/drawing/2014/main" id="{0FF50C21-B690-2C48-9E0F-FD0C53DFDF1F}"/>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33</xdr:row>
      <xdr:rowOff>1778000</xdr:rowOff>
    </xdr:from>
    <xdr:to>
      <xdr:col>1</xdr:col>
      <xdr:colOff>4048125</xdr:colOff>
      <xdr:row>33</xdr:row>
      <xdr:rowOff>2286000</xdr:rowOff>
    </xdr:to>
    <xdr:sp macro="" textlink="">
      <xdr:nvSpPr>
        <xdr:cNvPr id="18" name="Rectangle 17">
          <a:extLst>
            <a:ext uri="{FF2B5EF4-FFF2-40B4-BE49-F238E27FC236}">
              <a16:creationId xmlns:a16="http://schemas.microsoft.com/office/drawing/2014/main" id="{2FA12541-B1DF-6441-B1F6-0C58935BA9ED}"/>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34</xdr:row>
      <xdr:rowOff>1778000</xdr:rowOff>
    </xdr:from>
    <xdr:to>
      <xdr:col>1</xdr:col>
      <xdr:colOff>4048125</xdr:colOff>
      <xdr:row>34</xdr:row>
      <xdr:rowOff>2286000</xdr:rowOff>
    </xdr:to>
    <xdr:sp macro="" textlink="">
      <xdr:nvSpPr>
        <xdr:cNvPr id="19" name="Rectangle 18">
          <a:extLst>
            <a:ext uri="{FF2B5EF4-FFF2-40B4-BE49-F238E27FC236}">
              <a16:creationId xmlns:a16="http://schemas.microsoft.com/office/drawing/2014/main" id="{8E85C0FE-F3AF-D14F-9196-6CF77101F605}"/>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34</xdr:row>
      <xdr:rowOff>1778000</xdr:rowOff>
    </xdr:from>
    <xdr:to>
      <xdr:col>1</xdr:col>
      <xdr:colOff>4048125</xdr:colOff>
      <xdr:row>34</xdr:row>
      <xdr:rowOff>2286000</xdr:rowOff>
    </xdr:to>
    <xdr:sp macro="" textlink="">
      <xdr:nvSpPr>
        <xdr:cNvPr id="20" name="Rectangle 19">
          <a:extLst>
            <a:ext uri="{FF2B5EF4-FFF2-40B4-BE49-F238E27FC236}">
              <a16:creationId xmlns:a16="http://schemas.microsoft.com/office/drawing/2014/main" id="{18C80672-998E-0D49-B707-F19EE41B3201}"/>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35</xdr:row>
      <xdr:rowOff>1778000</xdr:rowOff>
    </xdr:from>
    <xdr:to>
      <xdr:col>1</xdr:col>
      <xdr:colOff>4048125</xdr:colOff>
      <xdr:row>35</xdr:row>
      <xdr:rowOff>2286000</xdr:rowOff>
    </xdr:to>
    <xdr:sp macro="" textlink="">
      <xdr:nvSpPr>
        <xdr:cNvPr id="21" name="Rectangle 20">
          <a:extLst>
            <a:ext uri="{FF2B5EF4-FFF2-40B4-BE49-F238E27FC236}">
              <a16:creationId xmlns:a16="http://schemas.microsoft.com/office/drawing/2014/main" id="{37455893-BBA5-F64A-AD33-443453913797}"/>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35</xdr:row>
      <xdr:rowOff>1778000</xdr:rowOff>
    </xdr:from>
    <xdr:to>
      <xdr:col>1</xdr:col>
      <xdr:colOff>4048125</xdr:colOff>
      <xdr:row>35</xdr:row>
      <xdr:rowOff>2286000</xdr:rowOff>
    </xdr:to>
    <xdr:sp macro="" textlink="">
      <xdr:nvSpPr>
        <xdr:cNvPr id="22" name="Rectangle 21">
          <a:extLst>
            <a:ext uri="{FF2B5EF4-FFF2-40B4-BE49-F238E27FC236}">
              <a16:creationId xmlns:a16="http://schemas.microsoft.com/office/drawing/2014/main" id="{EB5BC996-55E6-AF40-A854-F3B0F8FA2383}"/>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39</xdr:col>
      <xdr:colOff>621282</xdr:colOff>
      <xdr:row>5</xdr:row>
      <xdr:rowOff>107054</xdr:rowOff>
    </xdr:from>
    <xdr:to>
      <xdr:col>39</xdr:col>
      <xdr:colOff>621282</xdr:colOff>
      <xdr:row>10</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581</xdr:row>
      <xdr:rowOff>128068</xdr:rowOff>
    </xdr:from>
    <xdr:to>
      <xdr:col>5</xdr:col>
      <xdr:colOff>965200</xdr:colOff>
      <xdr:row>590</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20484</xdr:colOff>
      <xdr:row>596</xdr:row>
      <xdr:rowOff>50800</xdr:rowOff>
    </xdr:from>
    <xdr:to>
      <xdr:col>5</xdr:col>
      <xdr:colOff>914400</xdr:colOff>
      <xdr:row>611</xdr:row>
      <xdr:rowOff>81935</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76613" y="128279832"/>
          <a:ext cx="893916" cy="3103716"/>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1184911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567042</xdr:colOff>
      <xdr:row>0</xdr:row>
      <xdr:rowOff>97366</xdr:rowOff>
    </xdr:from>
    <xdr:to>
      <xdr:col>3</xdr:col>
      <xdr:colOff>0</xdr:colOff>
      <xdr:row>3</xdr:row>
      <xdr:rowOff>3722</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5380342" y="97366"/>
          <a:ext cx="1731657" cy="8170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39</xdr:row>
      <xdr:rowOff>173721</xdr:rowOff>
    </xdr:from>
    <xdr:to>
      <xdr:col>3</xdr:col>
      <xdr:colOff>5032</xdr:colOff>
      <xdr:row>43</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 xmlns:a14="http://schemas.microsoft.com/office/drawing/2010/main">
              <a:solidFill>
                <a:srgbClr val="FFFFFF"/>
              </a:solidFill>
            </a14:hiddenFill>
          </a:ext>
          <a:ext uri="{91240B29-F687-4f45-9708-019B960494DF}">
            <a14:hiddenLine xmlns="" xmlns:a14="http://schemas.microsoft.com/office/drawing/2010/main"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emilianoquevedomeza/Downloads/Spec%20guide-Laminado-Cdmx-Qro-Gdl-2025.xlsx" TargetMode="External"/><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Users/emilianoquevedomeza/Downloads/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Trabajo/SPEC%20GUIDES%202025/Spec%20guide-Lumbro-202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Users/emilianoquevedomeza/Downloads/Spec%20guide-Estructuras%20Jome-Gdl-2025.xlsx" TargetMode="External"/><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Users/emilianoquevedomeza/Downloads/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Users/emilianoquevedomeza/Downloads/Spec%20guide-CR%20Global-2025.xlsx" TargetMode="External"/><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Users/emilianoquevedomeza/Downloads/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 LAMINADO CDMX-QRO-GDL"/>
      <sheetName val="Hoja1"/>
      <sheetName val="COSTO LAMINADO CDMX-QRO-GDL"/>
      <sheetName val="BASE DE DATOS "/>
      <sheetName val="CODIGOS SAP"/>
    </sheetNames>
    <sheetDataSet>
      <sheetData sheetId="0"/>
      <sheetData sheetId="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5648</v>
          </cell>
        </row>
        <row r="20">
          <cell r="H20">
            <v>5848</v>
          </cell>
        </row>
        <row r="31">
          <cell r="H31">
            <v>2928</v>
          </cell>
        </row>
        <row r="41">
          <cell r="H41">
            <v>3068</v>
          </cell>
        </row>
        <row r="51">
          <cell r="H51">
            <v>6278</v>
          </cell>
        </row>
        <row r="61">
          <cell r="H61">
            <v>6708</v>
          </cell>
        </row>
        <row r="71">
          <cell r="H71">
            <v>6908</v>
          </cell>
        </row>
        <row r="81">
          <cell r="H81">
            <v>1448</v>
          </cell>
        </row>
        <row r="91">
          <cell r="H91">
            <v>1648</v>
          </cell>
        </row>
        <row r="101">
          <cell r="H101">
            <v>780</v>
          </cell>
        </row>
        <row r="110">
          <cell r="H110">
            <v>1774</v>
          </cell>
        </row>
        <row r="120">
          <cell r="H120">
            <v>2420</v>
          </cell>
        </row>
        <row r="130">
          <cell r="H130">
            <v>2718</v>
          </cell>
        </row>
        <row r="140">
          <cell r="H140">
            <v>5648</v>
          </cell>
        </row>
        <row r="150">
          <cell r="H150">
            <v>4514</v>
          </cell>
        </row>
        <row r="162">
          <cell r="H162">
            <v>990</v>
          </cell>
        </row>
        <row r="172">
          <cell r="H172">
            <v>820</v>
          </cell>
        </row>
        <row r="182">
          <cell r="H182">
            <v>820</v>
          </cell>
        </row>
        <row r="192">
          <cell r="H192">
            <v>398</v>
          </cell>
        </row>
        <row r="202">
          <cell r="H202">
            <v>598</v>
          </cell>
        </row>
        <row r="212">
          <cell r="H212">
            <v>860</v>
          </cell>
        </row>
        <row r="222">
          <cell r="H222">
            <v>1580</v>
          </cell>
        </row>
        <row r="232">
          <cell r="H232">
            <v>1380</v>
          </cell>
        </row>
        <row r="242">
          <cell r="H242">
            <v>1020</v>
          </cell>
        </row>
        <row r="254">
          <cell r="H254">
            <v>1774</v>
          </cell>
        </row>
        <row r="264">
          <cell r="H264">
            <v>1774</v>
          </cell>
        </row>
        <row r="274">
          <cell r="H274">
            <v>1980</v>
          </cell>
        </row>
        <row r="284">
          <cell r="H284">
            <v>1320</v>
          </cell>
        </row>
        <row r="294">
          <cell r="H294">
            <v>1980</v>
          </cell>
        </row>
        <row r="304">
          <cell r="H304">
            <v>1980</v>
          </cell>
        </row>
        <row r="316">
          <cell r="H316">
            <v>2078</v>
          </cell>
        </row>
        <row r="326">
          <cell r="H326">
            <v>780</v>
          </cell>
        </row>
        <row r="336">
          <cell r="H336">
            <v>1156</v>
          </cell>
        </row>
        <row r="348">
          <cell r="H348">
            <v>5175</v>
          </cell>
        </row>
        <row r="358">
          <cell r="H358">
            <v>4746.6000000000004</v>
          </cell>
        </row>
        <row r="368">
          <cell r="H368">
            <v>4746.6000000000004</v>
          </cell>
        </row>
        <row r="380">
          <cell r="H380">
            <v>2628.14</v>
          </cell>
        </row>
        <row r="396">
          <cell r="H396">
            <v>700</v>
          </cell>
        </row>
        <row r="406">
          <cell r="H406">
            <v>1541.6</v>
          </cell>
        </row>
        <row r="416">
          <cell r="H416">
            <v>540</v>
          </cell>
        </row>
        <row r="436">
          <cell r="H436">
            <v>2156</v>
          </cell>
        </row>
        <row r="452">
          <cell r="H452">
            <v>2980</v>
          </cell>
        </row>
        <row r="462">
          <cell r="H462">
            <v>2180</v>
          </cell>
        </row>
        <row r="472">
          <cell r="H472">
            <v>2980</v>
          </cell>
        </row>
        <row r="482">
          <cell r="H482">
            <v>5648</v>
          </cell>
        </row>
        <row r="492">
          <cell r="H492">
            <v>8300</v>
          </cell>
        </row>
        <row r="502">
          <cell r="H502">
            <v>10960</v>
          </cell>
        </row>
        <row r="512">
          <cell r="H512">
            <v>3960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GUIDE-LUMBRO"/>
      <sheetName val="COSTO CR GLOBAL "/>
    </sheetNames>
    <sheetDataSet>
      <sheetData sheetId="0"/>
      <sheetData sheetId="1" refreshError="1">
        <row r="10">
          <cell r="H10">
            <v>9136</v>
          </cell>
        </row>
        <row r="20">
          <cell r="H20">
            <v>9980</v>
          </cell>
        </row>
        <row r="31">
          <cell r="H31">
            <v>11000</v>
          </cell>
        </row>
        <row r="43">
          <cell r="H43">
            <v>15300</v>
          </cell>
        </row>
        <row r="55">
          <cell r="H55">
            <v>9800</v>
          </cell>
        </row>
        <row r="68">
          <cell r="H68">
            <v>15300</v>
          </cell>
        </row>
        <row r="80">
          <cell r="H80">
            <v>15656</v>
          </cell>
        </row>
        <row r="92">
          <cell r="H92">
            <v>23518</v>
          </cell>
        </row>
        <row r="104">
          <cell r="H104">
            <v>23520</v>
          </cell>
        </row>
        <row r="117">
          <cell r="H117">
            <v>23520</v>
          </cell>
        </row>
        <row r="130">
          <cell r="H130">
            <v>33244</v>
          </cell>
        </row>
        <row r="145">
          <cell r="H145">
            <v>3396</v>
          </cell>
        </row>
        <row r="153">
          <cell r="H153">
            <v>1696</v>
          </cell>
        </row>
        <row r="163">
          <cell r="H163">
            <v>1696</v>
          </cell>
        </row>
        <row r="173">
          <cell r="H173">
            <v>1696</v>
          </cell>
        </row>
        <row r="183">
          <cell r="H183">
            <v>4196</v>
          </cell>
        </row>
        <row r="195">
          <cell r="H195">
            <v>35692</v>
          </cell>
        </row>
        <row r="208">
          <cell r="H208">
            <v>34796</v>
          </cell>
        </row>
        <row r="221">
          <cell r="H221">
            <v>23520</v>
          </cell>
        </row>
        <row r="236">
          <cell r="H236">
            <v>17998</v>
          </cell>
        </row>
        <row r="247">
          <cell r="H247">
            <v>18838</v>
          </cell>
        </row>
        <row r="258">
          <cell r="H258">
            <v>18838</v>
          </cell>
        </row>
        <row r="269">
          <cell r="H269">
            <v>29784</v>
          </cell>
        </row>
        <row r="280">
          <cell r="H280">
            <v>21870</v>
          </cell>
        </row>
        <row r="291">
          <cell r="H291">
            <v>15792</v>
          </cell>
        </row>
        <row r="304">
          <cell r="H304">
            <v>8946</v>
          </cell>
        </row>
        <row r="315">
          <cell r="H315">
            <v>10574</v>
          </cell>
        </row>
        <row r="326">
          <cell r="H326">
            <v>10574</v>
          </cell>
        </row>
        <row r="337">
          <cell r="H337">
            <v>11760</v>
          </cell>
        </row>
        <row r="348">
          <cell r="H348">
            <v>15268</v>
          </cell>
        </row>
        <row r="361">
          <cell r="H361">
            <v>7764</v>
          </cell>
        </row>
        <row r="372">
          <cell r="H372">
            <v>10980</v>
          </cell>
        </row>
        <row r="383">
          <cell r="H383">
            <v>11200</v>
          </cell>
        </row>
        <row r="396">
          <cell r="H396">
            <v>11508</v>
          </cell>
        </row>
        <row r="407">
          <cell r="H407">
            <v>16202</v>
          </cell>
        </row>
        <row r="418">
          <cell r="H418">
            <v>1686</v>
          </cell>
        </row>
        <row r="429">
          <cell r="H429">
            <v>5292</v>
          </cell>
        </row>
        <row r="440">
          <cell r="H440">
            <v>4288</v>
          </cell>
        </row>
        <row r="453">
          <cell r="H453">
            <v>1710</v>
          </cell>
        </row>
        <row r="464">
          <cell r="H464">
            <v>1240</v>
          </cell>
        </row>
        <row r="475">
          <cell r="H475">
            <v>3738</v>
          </cell>
        </row>
        <row r="486">
          <cell r="H486">
            <v>2500</v>
          </cell>
        </row>
        <row r="497">
          <cell r="H497">
            <v>1710</v>
          </cell>
        </row>
        <row r="508">
          <cell r="H508">
            <v>3582</v>
          </cell>
        </row>
        <row r="519">
          <cell r="H519">
            <v>5892</v>
          </cell>
        </row>
        <row r="530">
          <cell r="H530">
            <v>3900</v>
          </cell>
        </row>
        <row r="543">
          <cell r="H543">
            <v>1072</v>
          </cell>
        </row>
        <row r="554">
          <cell r="H554">
            <v>660</v>
          </cell>
        </row>
        <row r="565">
          <cell r="H565">
            <v>516</v>
          </cell>
        </row>
        <row r="578">
          <cell r="H578">
            <v>4968</v>
          </cell>
        </row>
        <row r="589">
          <cell r="H589">
            <v>222</v>
          </cell>
        </row>
        <row r="600">
          <cell r="H600">
            <v>1062</v>
          </cell>
        </row>
        <row r="613">
          <cell r="H613">
            <v>8422</v>
          </cell>
        </row>
        <row r="624">
          <cell r="H624">
            <v>8422</v>
          </cell>
        </row>
        <row r="635">
          <cell r="H635">
            <v>2670</v>
          </cell>
        </row>
        <row r="646">
          <cell r="H646">
            <v>5892</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18.774999999999999</v>
    <v>16.852</v>
    <v>2.3599999999999999E-2</v>
    <v>1.3910000000000001E-3</v>
    <v>MXN</v>
    <v>USD</v>
    <v>16.997900000000001</v>
    <v>Currency Pair</v>
    <v>46279.056331018517</v>
    <v>16.9803</v>
    <v>US Dollar/Mexican Peso FX Spot Rate</v>
    <v>16.95</v>
    <v>16.966000000000001</v>
    <v>16.989599999999999</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m/d/yyyy\ 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3" headerRowBorderDxfId="11" tableBorderDxfId="12" totalsRowBorderDxfId="10">
  <autoFilter ref="I5:K19" xr:uid="{C71BE21C-CA74-F649-85D8-CE1524D3CEC7}"/>
  <tableColumns count="3">
    <tableColumn id="1" xr3:uid="{2B9E346C-DCAC-2C4F-B27E-6548C5B57F74}" name="PRODUCTO" dataDxfId="9"/>
    <tableColumn id="2" xr3:uid="{C2101E05-C85E-0A4D-AEB3-2C9C17A65D89}" name="FACTOR" dataDxfId="8"/>
    <tableColumn id="3" xr3:uid="{A527509A-B3B5-BD4A-BC59-DA540F155B7D}" name="COSTO A SUMAR EN PRECIO"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6" tableBorderDxfId="5">
  <autoFilter ref="M5:N19" xr:uid="{89613A6B-131A-4E40-A2A7-72C650D1D2CF}"/>
  <tableColumns count="2">
    <tableColumn id="1" xr3:uid="{E204F7AB-5F55-DF48-97F1-DA0D599E4A68}" name="PRODUCTO" dataDxfId="4"/>
    <tableColumn id="2" xr3:uid="{71A46547-EC8D-A84F-BE01-3B242204C27C}" name="COSTO A SUMAR EN PRECIO"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2">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84"/>
  <sheetViews>
    <sheetView tabSelected="1" view="pageBreakPreview" topLeftCell="B17" zoomScale="66" zoomScaleNormal="100" zoomScaleSheetLayoutView="50" workbookViewId="0">
      <selection activeCell="F17" sqref="F17"/>
    </sheetView>
  </sheetViews>
  <sheetFormatPr defaultColWidth="11.42578125" defaultRowHeight="11.1"/>
  <cols>
    <col min="1" max="1" width="40.42578125" style="21" customWidth="1"/>
    <col min="2" max="2" width="74.7109375" style="20" customWidth="1"/>
    <col min="3" max="3" width="76.7109375" style="21" customWidth="1"/>
    <col min="4" max="4" width="23" style="130" customWidth="1"/>
    <col min="5" max="5" width="10.7109375" style="19" customWidth="1"/>
    <col min="6" max="6" width="18.140625" style="83" customWidth="1"/>
    <col min="7" max="7" width="15" style="135" customWidth="1"/>
    <col min="8" max="8" width="19" style="22" customWidth="1"/>
    <col min="9" max="9" width="18.7109375" style="23" customWidth="1"/>
    <col min="10" max="10" width="19.42578125" style="19" customWidth="1"/>
    <col min="11" max="11" width="16.42578125" style="19" customWidth="1"/>
    <col min="12" max="12" width="31.42578125" style="19" customWidth="1"/>
    <col min="13" max="13" width="15.140625" style="19" customWidth="1"/>
    <col min="14" max="14" width="29.42578125" style="19" bestFit="1" customWidth="1"/>
    <col min="15" max="15" width="40.7109375" style="19" customWidth="1"/>
    <col min="16" max="18" width="40.7109375" style="57" customWidth="1"/>
    <col min="19" max="45" width="10.7109375" style="57"/>
    <col min="46" max="258" width="10.7109375" style="19"/>
    <col min="259" max="259" width="45.140625" style="19" customWidth="1"/>
    <col min="260" max="260" width="10.28515625" style="19" customWidth="1"/>
    <col min="261" max="261" width="68.28515625" style="19" customWidth="1"/>
    <col min="262" max="262" width="13.42578125" style="19" customWidth="1"/>
    <col min="263" max="263" width="6.7109375" style="19" customWidth="1"/>
    <col min="264" max="264" width="5.7109375" style="19" customWidth="1"/>
    <col min="265" max="265" width="10.7109375" style="19" customWidth="1"/>
    <col min="266" max="266" width="12.28515625" style="19" customWidth="1"/>
    <col min="267" max="514" width="10.7109375" style="19"/>
    <col min="515" max="515" width="45.140625" style="19" customWidth="1"/>
    <col min="516" max="516" width="10.28515625" style="19" customWidth="1"/>
    <col min="517" max="517" width="68.28515625" style="19" customWidth="1"/>
    <col min="518" max="518" width="13.42578125" style="19" customWidth="1"/>
    <col min="519" max="519" width="6.7109375" style="19" customWidth="1"/>
    <col min="520" max="520" width="5.7109375" style="19" customWidth="1"/>
    <col min="521" max="521" width="10.7109375" style="19" customWidth="1"/>
    <col min="522" max="522" width="12.28515625" style="19" customWidth="1"/>
    <col min="523" max="770" width="10.7109375" style="19"/>
    <col min="771" max="771" width="45.140625" style="19" customWidth="1"/>
    <col min="772" max="772" width="10.28515625" style="19" customWidth="1"/>
    <col min="773" max="773" width="68.28515625" style="19" customWidth="1"/>
    <col min="774" max="774" width="13.42578125" style="19" customWidth="1"/>
    <col min="775" max="775" width="6.7109375" style="19" customWidth="1"/>
    <col min="776" max="776" width="5.7109375" style="19" customWidth="1"/>
    <col min="777" max="777" width="10.7109375" style="19" customWidth="1"/>
    <col min="778" max="778" width="12.28515625" style="19" customWidth="1"/>
    <col min="779" max="1026" width="10.7109375" style="19"/>
    <col min="1027" max="1027" width="45.140625" style="19" customWidth="1"/>
    <col min="1028" max="1028" width="10.28515625" style="19" customWidth="1"/>
    <col min="1029" max="1029" width="68.28515625" style="19" customWidth="1"/>
    <col min="1030" max="1030" width="13.42578125" style="19" customWidth="1"/>
    <col min="1031" max="1031" width="6.7109375" style="19" customWidth="1"/>
    <col min="1032" max="1032" width="5.7109375" style="19" customWidth="1"/>
    <col min="1033" max="1033" width="10.7109375" style="19" customWidth="1"/>
    <col min="1034" max="1034" width="12.28515625" style="19" customWidth="1"/>
    <col min="1035" max="1282" width="10.7109375" style="19"/>
    <col min="1283" max="1283" width="45.140625" style="19" customWidth="1"/>
    <col min="1284" max="1284" width="10.28515625" style="19" customWidth="1"/>
    <col min="1285" max="1285" width="68.28515625" style="19" customWidth="1"/>
    <col min="1286" max="1286" width="13.42578125" style="19" customWidth="1"/>
    <col min="1287" max="1287" width="6.7109375" style="19" customWidth="1"/>
    <col min="1288" max="1288" width="5.7109375" style="19" customWidth="1"/>
    <col min="1289" max="1289" width="10.7109375" style="19" customWidth="1"/>
    <col min="1290" max="1290" width="12.28515625" style="19" customWidth="1"/>
    <col min="1291" max="1538" width="10.7109375" style="19"/>
    <col min="1539" max="1539" width="45.140625" style="19" customWidth="1"/>
    <col min="1540" max="1540" width="10.28515625" style="19" customWidth="1"/>
    <col min="1541" max="1541" width="68.28515625" style="19" customWidth="1"/>
    <col min="1542" max="1542" width="13.42578125" style="19" customWidth="1"/>
    <col min="1543" max="1543" width="6.7109375" style="19" customWidth="1"/>
    <col min="1544" max="1544" width="5.7109375" style="19" customWidth="1"/>
    <col min="1545" max="1545" width="10.7109375" style="19" customWidth="1"/>
    <col min="1546" max="1546" width="12.28515625" style="19" customWidth="1"/>
    <col min="1547" max="1794" width="10.7109375" style="19"/>
    <col min="1795" max="1795" width="45.140625" style="19" customWidth="1"/>
    <col min="1796" max="1796" width="10.28515625" style="19" customWidth="1"/>
    <col min="1797" max="1797" width="68.28515625" style="19" customWidth="1"/>
    <col min="1798" max="1798" width="13.42578125" style="19" customWidth="1"/>
    <col min="1799" max="1799" width="6.7109375" style="19" customWidth="1"/>
    <col min="1800" max="1800" width="5.7109375" style="19" customWidth="1"/>
    <col min="1801" max="1801" width="10.7109375" style="19" customWidth="1"/>
    <col min="1802" max="1802" width="12.28515625" style="19" customWidth="1"/>
    <col min="1803" max="2050" width="10.7109375" style="19"/>
    <col min="2051" max="2051" width="45.140625" style="19" customWidth="1"/>
    <col min="2052" max="2052" width="10.28515625" style="19" customWidth="1"/>
    <col min="2053" max="2053" width="68.28515625" style="19" customWidth="1"/>
    <col min="2054" max="2054" width="13.42578125" style="19" customWidth="1"/>
    <col min="2055" max="2055" width="6.7109375" style="19" customWidth="1"/>
    <col min="2056" max="2056" width="5.7109375" style="19" customWidth="1"/>
    <col min="2057" max="2057" width="10.7109375" style="19" customWidth="1"/>
    <col min="2058" max="2058" width="12.28515625" style="19" customWidth="1"/>
    <col min="2059" max="2306" width="10.7109375" style="19"/>
    <col min="2307" max="2307" width="45.140625" style="19" customWidth="1"/>
    <col min="2308" max="2308" width="10.28515625" style="19" customWidth="1"/>
    <col min="2309" max="2309" width="68.28515625" style="19" customWidth="1"/>
    <col min="2310" max="2310" width="13.42578125" style="19" customWidth="1"/>
    <col min="2311" max="2311" width="6.7109375" style="19" customWidth="1"/>
    <col min="2312" max="2312" width="5.7109375" style="19" customWidth="1"/>
    <col min="2313" max="2313" width="10.7109375" style="19" customWidth="1"/>
    <col min="2314" max="2314" width="12.28515625" style="19" customWidth="1"/>
    <col min="2315" max="2562" width="10.7109375" style="19"/>
    <col min="2563" max="2563" width="45.140625" style="19" customWidth="1"/>
    <col min="2564" max="2564" width="10.28515625" style="19" customWidth="1"/>
    <col min="2565" max="2565" width="68.28515625" style="19" customWidth="1"/>
    <col min="2566" max="2566" width="13.42578125" style="19" customWidth="1"/>
    <col min="2567" max="2567" width="6.7109375" style="19" customWidth="1"/>
    <col min="2568" max="2568" width="5.7109375" style="19" customWidth="1"/>
    <col min="2569" max="2569" width="10.7109375" style="19" customWidth="1"/>
    <col min="2570" max="2570" width="12.28515625" style="19" customWidth="1"/>
    <col min="2571" max="2818" width="10.7109375" style="19"/>
    <col min="2819" max="2819" width="45.140625" style="19" customWidth="1"/>
    <col min="2820" max="2820" width="10.28515625" style="19" customWidth="1"/>
    <col min="2821" max="2821" width="68.28515625" style="19" customWidth="1"/>
    <col min="2822" max="2822" width="13.42578125" style="19" customWidth="1"/>
    <col min="2823" max="2823" width="6.7109375" style="19" customWidth="1"/>
    <col min="2824" max="2824" width="5.7109375" style="19" customWidth="1"/>
    <col min="2825" max="2825" width="10.7109375" style="19" customWidth="1"/>
    <col min="2826" max="2826" width="12.28515625" style="19" customWidth="1"/>
    <col min="2827" max="3074" width="10.7109375" style="19"/>
    <col min="3075" max="3075" width="45.140625" style="19" customWidth="1"/>
    <col min="3076" max="3076" width="10.28515625" style="19" customWidth="1"/>
    <col min="3077" max="3077" width="68.28515625" style="19" customWidth="1"/>
    <col min="3078" max="3078" width="13.42578125" style="19" customWidth="1"/>
    <col min="3079" max="3079" width="6.7109375" style="19" customWidth="1"/>
    <col min="3080" max="3080" width="5.7109375" style="19" customWidth="1"/>
    <col min="3081" max="3081" width="10.7109375" style="19" customWidth="1"/>
    <col min="3082" max="3082" width="12.28515625" style="19" customWidth="1"/>
    <col min="3083" max="3330" width="10.7109375" style="19"/>
    <col min="3331" max="3331" width="45.140625" style="19" customWidth="1"/>
    <col min="3332" max="3332" width="10.28515625" style="19" customWidth="1"/>
    <col min="3333" max="3333" width="68.28515625" style="19" customWidth="1"/>
    <col min="3334" max="3334" width="13.42578125" style="19" customWidth="1"/>
    <col min="3335" max="3335" width="6.7109375" style="19" customWidth="1"/>
    <col min="3336" max="3336" width="5.7109375" style="19" customWidth="1"/>
    <col min="3337" max="3337" width="10.7109375" style="19" customWidth="1"/>
    <col min="3338" max="3338" width="12.28515625" style="19" customWidth="1"/>
    <col min="3339" max="3586" width="10.7109375" style="19"/>
    <col min="3587" max="3587" width="45.140625" style="19" customWidth="1"/>
    <col min="3588" max="3588" width="10.28515625" style="19" customWidth="1"/>
    <col min="3589" max="3589" width="68.28515625" style="19" customWidth="1"/>
    <col min="3590" max="3590" width="13.42578125" style="19" customWidth="1"/>
    <col min="3591" max="3591" width="6.7109375" style="19" customWidth="1"/>
    <col min="3592" max="3592" width="5.7109375" style="19" customWidth="1"/>
    <col min="3593" max="3593" width="10.7109375" style="19" customWidth="1"/>
    <col min="3594" max="3594" width="12.28515625" style="19" customWidth="1"/>
    <col min="3595" max="3842" width="10.7109375" style="19"/>
    <col min="3843" max="3843" width="45.140625" style="19" customWidth="1"/>
    <col min="3844" max="3844" width="10.28515625" style="19" customWidth="1"/>
    <col min="3845" max="3845" width="68.28515625" style="19" customWidth="1"/>
    <col min="3846" max="3846" width="13.42578125" style="19" customWidth="1"/>
    <col min="3847" max="3847" width="6.7109375" style="19" customWidth="1"/>
    <col min="3848" max="3848" width="5.7109375" style="19" customWidth="1"/>
    <col min="3849" max="3849" width="10.7109375" style="19" customWidth="1"/>
    <col min="3850" max="3850" width="12.28515625" style="19" customWidth="1"/>
    <col min="3851" max="4098" width="10.7109375" style="19"/>
    <col min="4099" max="4099" width="45.140625" style="19" customWidth="1"/>
    <col min="4100" max="4100" width="10.28515625" style="19" customWidth="1"/>
    <col min="4101" max="4101" width="68.28515625" style="19" customWidth="1"/>
    <col min="4102" max="4102" width="13.42578125" style="19" customWidth="1"/>
    <col min="4103" max="4103" width="6.7109375" style="19" customWidth="1"/>
    <col min="4104" max="4104" width="5.7109375" style="19" customWidth="1"/>
    <col min="4105" max="4105" width="10.7109375" style="19" customWidth="1"/>
    <col min="4106" max="4106" width="12.28515625" style="19" customWidth="1"/>
    <col min="4107" max="4354" width="10.7109375" style="19"/>
    <col min="4355" max="4355" width="45.140625" style="19" customWidth="1"/>
    <col min="4356" max="4356" width="10.28515625" style="19" customWidth="1"/>
    <col min="4357" max="4357" width="68.28515625" style="19" customWidth="1"/>
    <col min="4358" max="4358" width="13.42578125" style="19" customWidth="1"/>
    <col min="4359" max="4359" width="6.7109375" style="19" customWidth="1"/>
    <col min="4360" max="4360" width="5.7109375" style="19" customWidth="1"/>
    <col min="4361" max="4361" width="10.7109375" style="19" customWidth="1"/>
    <col min="4362" max="4362" width="12.28515625" style="19" customWidth="1"/>
    <col min="4363" max="4610" width="10.7109375" style="19"/>
    <col min="4611" max="4611" width="45.140625" style="19" customWidth="1"/>
    <col min="4612" max="4612" width="10.28515625" style="19" customWidth="1"/>
    <col min="4613" max="4613" width="68.28515625" style="19" customWidth="1"/>
    <col min="4614" max="4614" width="13.42578125" style="19" customWidth="1"/>
    <col min="4615" max="4615" width="6.7109375" style="19" customWidth="1"/>
    <col min="4616" max="4616" width="5.7109375" style="19" customWidth="1"/>
    <col min="4617" max="4617" width="10.7109375" style="19" customWidth="1"/>
    <col min="4618" max="4618" width="12.28515625" style="19" customWidth="1"/>
    <col min="4619" max="4866" width="10.7109375" style="19"/>
    <col min="4867" max="4867" width="45.140625" style="19" customWidth="1"/>
    <col min="4868" max="4868" width="10.28515625" style="19" customWidth="1"/>
    <col min="4869" max="4869" width="68.28515625" style="19" customWidth="1"/>
    <col min="4870" max="4870" width="13.42578125" style="19" customWidth="1"/>
    <col min="4871" max="4871" width="6.7109375" style="19" customWidth="1"/>
    <col min="4872" max="4872" width="5.7109375" style="19" customWidth="1"/>
    <col min="4873" max="4873" width="10.7109375" style="19" customWidth="1"/>
    <col min="4874" max="4874" width="12.28515625" style="19" customWidth="1"/>
    <col min="4875" max="5122" width="10.7109375" style="19"/>
    <col min="5123" max="5123" width="45.140625" style="19" customWidth="1"/>
    <col min="5124" max="5124" width="10.28515625" style="19" customWidth="1"/>
    <col min="5125" max="5125" width="68.28515625" style="19" customWidth="1"/>
    <col min="5126" max="5126" width="13.42578125" style="19" customWidth="1"/>
    <col min="5127" max="5127" width="6.7109375" style="19" customWidth="1"/>
    <col min="5128" max="5128" width="5.7109375" style="19" customWidth="1"/>
    <col min="5129" max="5129" width="10.7109375" style="19" customWidth="1"/>
    <col min="5130" max="5130" width="12.28515625" style="19" customWidth="1"/>
    <col min="5131" max="5378" width="10.7109375" style="19"/>
    <col min="5379" max="5379" width="45.140625" style="19" customWidth="1"/>
    <col min="5380" max="5380" width="10.28515625" style="19" customWidth="1"/>
    <col min="5381" max="5381" width="68.28515625" style="19" customWidth="1"/>
    <col min="5382" max="5382" width="13.42578125" style="19" customWidth="1"/>
    <col min="5383" max="5383" width="6.7109375" style="19" customWidth="1"/>
    <col min="5384" max="5384" width="5.7109375" style="19" customWidth="1"/>
    <col min="5385" max="5385" width="10.7109375" style="19" customWidth="1"/>
    <col min="5386" max="5386" width="12.28515625" style="19" customWidth="1"/>
    <col min="5387" max="5634" width="10.7109375" style="19"/>
    <col min="5635" max="5635" width="45.140625" style="19" customWidth="1"/>
    <col min="5636" max="5636" width="10.28515625" style="19" customWidth="1"/>
    <col min="5637" max="5637" width="68.28515625" style="19" customWidth="1"/>
    <col min="5638" max="5638" width="13.42578125" style="19" customWidth="1"/>
    <col min="5639" max="5639" width="6.7109375" style="19" customWidth="1"/>
    <col min="5640" max="5640" width="5.7109375" style="19" customWidth="1"/>
    <col min="5641" max="5641" width="10.7109375" style="19" customWidth="1"/>
    <col min="5642" max="5642" width="12.28515625" style="19" customWidth="1"/>
    <col min="5643" max="5890" width="10.7109375" style="19"/>
    <col min="5891" max="5891" width="45.140625" style="19" customWidth="1"/>
    <col min="5892" max="5892" width="10.28515625" style="19" customWidth="1"/>
    <col min="5893" max="5893" width="68.28515625" style="19" customWidth="1"/>
    <col min="5894" max="5894" width="13.42578125" style="19" customWidth="1"/>
    <col min="5895" max="5895" width="6.7109375" style="19" customWidth="1"/>
    <col min="5896" max="5896" width="5.7109375" style="19" customWidth="1"/>
    <col min="5897" max="5897" width="10.7109375" style="19" customWidth="1"/>
    <col min="5898" max="5898" width="12.28515625" style="19" customWidth="1"/>
    <col min="5899" max="6146" width="10.7109375" style="19"/>
    <col min="6147" max="6147" width="45.140625" style="19" customWidth="1"/>
    <col min="6148" max="6148" width="10.28515625" style="19" customWidth="1"/>
    <col min="6149" max="6149" width="68.28515625" style="19" customWidth="1"/>
    <col min="6150" max="6150" width="13.42578125" style="19" customWidth="1"/>
    <col min="6151" max="6151" width="6.7109375" style="19" customWidth="1"/>
    <col min="6152" max="6152" width="5.7109375" style="19" customWidth="1"/>
    <col min="6153" max="6153" width="10.7109375" style="19" customWidth="1"/>
    <col min="6154" max="6154" width="12.28515625" style="19" customWidth="1"/>
    <col min="6155" max="6402" width="10.7109375" style="19"/>
    <col min="6403" max="6403" width="45.140625" style="19" customWidth="1"/>
    <col min="6404" max="6404" width="10.28515625" style="19" customWidth="1"/>
    <col min="6405" max="6405" width="68.28515625" style="19" customWidth="1"/>
    <col min="6406" max="6406" width="13.42578125" style="19" customWidth="1"/>
    <col min="6407" max="6407" width="6.7109375" style="19" customWidth="1"/>
    <col min="6408" max="6408" width="5.7109375" style="19" customWidth="1"/>
    <col min="6409" max="6409" width="10.7109375" style="19" customWidth="1"/>
    <col min="6410" max="6410" width="12.28515625" style="19" customWidth="1"/>
    <col min="6411" max="6658" width="10.7109375" style="19"/>
    <col min="6659" max="6659" width="45.140625" style="19" customWidth="1"/>
    <col min="6660" max="6660" width="10.28515625" style="19" customWidth="1"/>
    <col min="6661" max="6661" width="68.28515625" style="19" customWidth="1"/>
    <col min="6662" max="6662" width="13.42578125" style="19" customWidth="1"/>
    <col min="6663" max="6663" width="6.7109375" style="19" customWidth="1"/>
    <col min="6664" max="6664" width="5.7109375" style="19" customWidth="1"/>
    <col min="6665" max="6665" width="10.7109375" style="19" customWidth="1"/>
    <col min="6666" max="6666" width="12.28515625" style="19" customWidth="1"/>
    <col min="6667" max="6914" width="10.7109375" style="19"/>
    <col min="6915" max="6915" width="45.140625" style="19" customWidth="1"/>
    <col min="6916" max="6916" width="10.28515625" style="19" customWidth="1"/>
    <col min="6917" max="6917" width="68.28515625" style="19" customWidth="1"/>
    <col min="6918" max="6918" width="13.42578125" style="19" customWidth="1"/>
    <col min="6919" max="6919" width="6.7109375" style="19" customWidth="1"/>
    <col min="6920" max="6920" width="5.7109375" style="19" customWidth="1"/>
    <col min="6921" max="6921" width="10.7109375" style="19" customWidth="1"/>
    <col min="6922" max="6922" width="12.28515625" style="19" customWidth="1"/>
    <col min="6923" max="7170" width="10.7109375" style="19"/>
    <col min="7171" max="7171" width="45.140625" style="19" customWidth="1"/>
    <col min="7172" max="7172" width="10.28515625" style="19" customWidth="1"/>
    <col min="7173" max="7173" width="68.28515625" style="19" customWidth="1"/>
    <col min="7174" max="7174" width="13.42578125" style="19" customWidth="1"/>
    <col min="7175" max="7175" width="6.7109375" style="19" customWidth="1"/>
    <col min="7176" max="7176" width="5.7109375" style="19" customWidth="1"/>
    <col min="7177" max="7177" width="10.7109375" style="19" customWidth="1"/>
    <col min="7178" max="7178" width="12.28515625" style="19" customWidth="1"/>
    <col min="7179" max="7426" width="10.7109375" style="19"/>
    <col min="7427" max="7427" width="45.140625" style="19" customWidth="1"/>
    <col min="7428" max="7428" width="10.28515625" style="19" customWidth="1"/>
    <col min="7429" max="7429" width="68.28515625" style="19" customWidth="1"/>
    <col min="7430" max="7430" width="13.42578125" style="19" customWidth="1"/>
    <col min="7431" max="7431" width="6.7109375" style="19" customWidth="1"/>
    <col min="7432" max="7432" width="5.7109375" style="19" customWidth="1"/>
    <col min="7433" max="7433" width="10.7109375" style="19" customWidth="1"/>
    <col min="7434" max="7434" width="12.28515625" style="19" customWidth="1"/>
    <col min="7435" max="7682" width="10.7109375" style="19"/>
    <col min="7683" max="7683" width="45.140625" style="19" customWidth="1"/>
    <col min="7684" max="7684" width="10.28515625" style="19" customWidth="1"/>
    <col min="7685" max="7685" width="68.28515625" style="19" customWidth="1"/>
    <col min="7686" max="7686" width="13.42578125" style="19" customWidth="1"/>
    <col min="7687" max="7687" width="6.7109375" style="19" customWidth="1"/>
    <col min="7688" max="7688" width="5.7109375" style="19" customWidth="1"/>
    <col min="7689" max="7689" width="10.7109375" style="19" customWidth="1"/>
    <col min="7690" max="7690" width="12.28515625" style="19" customWidth="1"/>
    <col min="7691" max="7938" width="10.7109375" style="19"/>
    <col min="7939" max="7939" width="45.140625" style="19" customWidth="1"/>
    <col min="7940" max="7940" width="10.28515625" style="19" customWidth="1"/>
    <col min="7941" max="7941" width="68.28515625" style="19" customWidth="1"/>
    <col min="7942" max="7942" width="13.42578125" style="19" customWidth="1"/>
    <col min="7943" max="7943" width="6.7109375" style="19" customWidth="1"/>
    <col min="7944" max="7944" width="5.7109375" style="19" customWidth="1"/>
    <col min="7945" max="7945" width="10.7109375" style="19" customWidth="1"/>
    <col min="7946" max="7946" width="12.28515625" style="19" customWidth="1"/>
    <col min="7947" max="8194" width="10.7109375" style="19"/>
    <col min="8195" max="8195" width="45.140625" style="19" customWidth="1"/>
    <col min="8196" max="8196" width="10.28515625" style="19" customWidth="1"/>
    <col min="8197" max="8197" width="68.28515625" style="19" customWidth="1"/>
    <col min="8198" max="8198" width="13.42578125" style="19" customWidth="1"/>
    <col min="8199" max="8199" width="6.7109375" style="19" customWidth="1"/>
    <col min="8200" max="8200" width="5.7109375" style="19" customWidth="1"/>
    <col min="8201" max="8201" width="10.7109375" style="19" customWidth="1"/>
    <col min="8202" max="8202" width="12.28515625" style="19" customWidth="1"/>
    <col min="8203" max="8450" width="10.7109375" style="19"/>
    <col min="8451" max="8451" width="45.140625" style="19" customWidth="1"/>
    <col min="8452" max="8452" width="10.28515625" style="19" customWidth="1"/>
    <col min="8453" max="8453" width="68.28515625" style="19" customWidth="1"/>
    <col min="8454" max="8454" width="13.42578125" style="19" customWidth="1"/>
    <col min="8455" max="8455" width="6.7109375" style="19" customWidth="1"/>
    <col min="8456" max="8456" width="5.7109375" style="19" customWidth="1"/>
    <col min="8457" max="8457" width="10.7109375" style="19" customWidth="1"/>
    <col min="8458" max="8458" width="12.28515625" style="19" customWidth="1"/>
    <col min="8459" max="8706" width="10.7109375" style="19"/>
    <col min="8707" max="8707" width="45.140625" style="19" customWidth="1"/>
    <col min="8708" max="8708" width="10.28515625" style="19" customWidth="1"/>
    <col min="8709" max="8709" width="68.28515625" style="19" customWidth="1"/>
    <col min="8710" max="8710" width="13.42578125" style="19" customWidth="1"/>
    <col min="8711" max="8711" width="6.7109375" style="19" customWidth="1"/>
    <col min="8712" max="8712" width="5.7109375" style="19" customWidth="1"/>
    <col min="8713" max="8713" width="10.7109375" style="19" customWidth="1"/>
    <col min="8714" max="8714" width="12.28515625" style="19" customWidth="1"/>
    <col min="8715" max="8962" width="10.7109375" style="19"/>
    <col min="8963" max="8963" width="45.140625" style="19" customWidth="1"/>
    <col min="8964" max="8964" width="10.28515625" style="19" customWidth="1"/>
    <col min="8965" max="8965" width="68.28515625" style="19" customWidth="1"/>
    <col min="8966" max="8966" width="13.42578125" style="19" customWidth="1"/>
    <col min="8967" max="8967" width="6.7109375" style="19" customWidth="1"/>
    <col min="8968" max="8968" width="5.7109375" style="19" customWidth="1"/>
    <col min="8969" max="8969" width="10.7109375" style="19" customWidth="1"/>
    <col min="8970" max="8970" width="12.28515625" style="19" customWidth="1"/>
    <col min="8971" max="9218" width="10.7109375" style="19"/>
    <col min="9219" max="9219" width="45.140625" style="19" customWidth="1"/>
    <col min="9220" max="9220" width="10.28515625" style="19" customWidth="1"/>
    <col min="9221" max="9221" width="68.28515625" style="19" customWidth="1"/>
    <col min="9222" max="9222" width="13.42578125" style="19" customWidth="1"/>
    <col min="9223" max="9223" width="6.7109375" style="19" customWidth="1"/>
    <col min="9224" max="9224" width="5.7109375" style="19" customWidth="1"/>
    <col min="9225" max="9225" width="10.7109375" style="19" customWidth="1"/>
    <col min="9226" max="9226" width="12.28515625" style="19" customWidth="1"/>
    <col min="9227" max="9474" width="10.7109375" style="19"/>
    <col min="9475" max="9475" width="45.140625" style="19" customWidth="1"/>
    <col min="9476" max="9476" width="10.28515625" style="19" customWidth="1"/>
    <col min="9477" max="9477" width="68.28515625" style="19" customWidth="1"/>
    <col min="9478" max="9478" width="13.42578125" style="19" customWidth="1"/>
    <col min="9479" max="9479" width="6.7109375" style="19" customWidth="1"/>
    <col min="9480" max="9480" width="5.7109375" style="19" customWidth="1"/>
    <col min="9481" max="9481" width="10.7109375" style="19" customWidth="1"/>
    <col min="9482" max="9482" width="12.28515625" style="19" customWidth="1"/>
    <col min="9483" max="9730" width="10.7109375" style="19"/>
    <col min="9731" max="9731" width="45.140625" style="19" customWidth="1"/>
    <col min="9732" max="9732" width="10.28515625" style="19" customWidth="1"/>
    <col min="9733" max="9733" width="68.28515625" style="19" customWidth="1"/>
    <col min="9734" max="9734" width="13.42578125" style="19" customWidth="1"/>
    <col min="9735" max="9735" width="6.7109375" style="19" customWidth="1"/>
    <col min="9736" max="9736" width="5.7109375" style="19" customWidth="1"/>
    <col min="9737" max="9737" width="10.7109375" style="19" customWidth="1"/>
    <col min="9738" max="9738" width="12.28515625" style="19" customWidth="1"/>
    <col min="9739" max="9986" width="10.7109375" style="19"/>
    <col min="9987" max="9987" width="45.140625" style="19" customWidth="1"/>
    <col min="9988" max="9988" width="10.28515625" style="19" customWidth="1"/>
    <col min="9989" max="9989" width="68.28515625" style="19" customWidth="1"/>
    <col min="9990" max="9990" width="13.42578125" style="19" customWidth="1"/>
    <col min="9991" max="9991" width="6.7109375" style="19" customWidth="1"/>
    <col min="9992" max="9992" width="5.7109375" style="19" customWidth="1"/>
    <col min="9993" max="9993" width="10.7109375" style="19" customWidth="1"/>
    <col min="9994" max="9994" width="12.28515625" style="19" customWidth="1"/>
    <col min="9995" max="10242" width="10.7109375" style="19"/>
    <col min="10243" max="10243" width="45.140625" style="19" customWidth="1"/>
    <col min="10244" max="10244" width="10.28515625" style="19" customWidth="1"/>
    <col min="10245" max="10245" width="68.28515625" style="19" customWidth="1"/>
    <col min="10246" max="10246" width="13.42578125" style="19" customWidth="1"/>
    <col min="10247" max="10247" width="6.7109375" style="19" customWidth="1"/>
    <col min="10248" max="10248" width="5.7109375" style="19" customWidth="1"/>
    <col min="10249" max="10249" width="10.7109375" style="19" customWidth="1"/>
    <col min="10250" max="10250" width="12.28515625" style="19" customWidth="1"/>
    <col min="10251" max="10498" width="10.7109375" style="19"/>
    <col min="10499" max="10499" width="45.140625" style="19" customWidth="1"/>
    <col min="10500" max="10500" width="10.28515625" style="19" customWidth="1"/>
    <col min="10501" max="10501" width="68.28515625" style="19" customWidth="1"/>
    <col min="10502" max="10502" width="13.42578125" style="19" customWidth="1"/>
    <col min="10503" max="10503" width="6.7109375" style="19" customWidth="1"/>
    <col min="10504" max="10504" width="5.7109375" style="19" customWidth="1"/>
    <col min="10505" max="10505" width="10.7109375" style="19" customWidth="1"/>
    <col min="10506" max="10506" width="12.28515625" style="19" customWidth="1"/>
    <col min="10507" max="10754" width="10.7109375" style="19"/>
    <col min="10755" max="10755" width="45.140625" style="19" customWidth="1"/>
    <col min="10756" max="10756" width="10.28515625" style="19" customWidth="1"/>
    <col min="10757" max="10757" width="68.28515625" style="19" customWidth="1"/>
    <col min="10758" max="10758" width="13.42578125" style="19" customWidth="1"/>
    <col min="10759" max="10759" width="6.7109375" style="19" customWidth="1"/>
    <col min="10760" max="10760" width="5.7109375" style="19" customWidth="1"/>
    <col min="10761" max="10761" width="10.7109375" style="19" customWidth="1"/>
    <col min="10762" max="10762" width="12.28515625" style="19" customWidth="1"/>
    <col min="10763" max="11010" width="10.7109375" style="19"/>
    <col min="11011" max="11011" width="45.140625" style="19" customWidth="1"/>
    <col min="11012" max="11012" width="10.28515625" style="19" customWidth="1"/>
    <col min="11013" max="11013" width="68.28515625" style="19" customWidth="1"/>
    <col min="11014" max="11014" width="13.42578125" style="19" customWidth="1"/>
    <col min="11015" max="11015" width="6.7109375" style="19" customWidth="1"/>
    <col min="11016" max="11016" width="5.7109375" style="19" customWidth="1"/>
    <col min="11017" max="11017" width="10.7109375" style="19" customWidth="1"/>
    <col min="11018" max="11018" width="12.28515625" style="19" customWidth="1"/>
    <col min="11019" max="11266" width="10.7109375" style="19"/>
    <col min="11267" max="11267" width="45.140625" style="19" customWidth="1"/>
    <col min="11268" max="11268" width="10.28515625" style="19" customWidth="1"/>
    <col min="11269" max="11269" width="68.28515625" style="19" customWidth="1"/>
    <col min="11270" max="11270" width="13.42578125" style="19" customWidth="1"/>
    <col min="11271" max="11271" width="6.7109375" style="19" customWidth="1"/>
    <col min="11272" max="11272" width="5.7109375" style="19" customWidth="1"/>
    <col min="11273" max="11273" width="10.7109375" style="19" customWidth="1"/>
    <col min="11274" max="11274" width="12.28515625" style="19" customWidth="1"/>
    <col min="11275" max="11522" width="10.7109375" style="19"/>
    <col min="11523" max="11523" width="45.140625" style="19" customWidth="1"/>
    <col min="11524" max="11524" width="10.28515625" style="19" customWidth="1"/>
    <col min="11525" max="11525" width="68.28515625" style="19" customWidth="1"/>
    <col min="11526" max="11526" width="13.42578125" style="19" customWidth="1"/>
    <col min="11527" max="11527" width="6.7109375" style="19" customWidth="1"/>
    <col min="11528" max="11528" width="5.7109375" style="19" customWidth="1"/>
    <col min="11529" max="11529" width="10.7109375" style="19" customWidth="1"/>
    <col min="11530" max="11530" width="12.28515625" style="19" customWidth="1"/>
    <col min="11531" max="11778" width="10.7109375" style="19"/>
    <col min="11779" max="11779" width="45.140625" style="19" customWidth="1"/>
    <col min="11780" max="11780" width="10.28515625" style="19" customWidth="1"/>
    <col min="11781" max="11781" width="68.28515625" style="19" customWidth="1"/>
    <col min="11782" max="11782" width="13.42578125" style="19" customWidth="1"/>
    <col min="11783" max="11783" width="6.7109375" style="19" customWidth="1"/>
    <col min="11784" max="11784" width="5.7109375" style="19" customWidth="1"/>
    <col min="11785" max="11785" width="10.7109375" style="19" customWidth="1"/>
    <col min="11786" max="11786" width="12.28515625" style="19" customWidth="1"/>
    <col min="11787" max="12034" width="10.7109375" style="19"/>
    <col min="12035" max="12035" width="45.140625" style="19" customWidth="1"/>
    <col min="12036" max="12036" width="10.28515625" style="19" customWidth="1"/>
    <col min="12037" max="12037" width="68.28515625" style="19" customWidth="1"/>
    <col min="12038" max="12038" width="13.42578125" style="19" customWidth="1"/>
    <col min="12039" max="12039" width="6.7109375" style="19" customWidth="1"/>
    <col min="12040" max="12040" width="5.7109375" style="19" customWidth="1"/>
    <col min="12041" max="12041" width="10.7109375" style="19" customWidth="1"/>
    <col min="12042" max="12042" width="12.28515625" style="19" customWidth="1"/>
    <col min="12043" max="12290" width="10.7109375" style="19"/>
    <col min="12291" max="12291" width="45.140625" style="19" customWidth="1"/>
    <col min="12292" max="12292" width="10.28515625" style="19" customWidth="1"/>
    <col min="12293" max="12293" width="68.28515625" style="19" customWidth="1"/>
    <col min="12294" max="12294" width="13.42578125" style="19" customWidth="1"/>
    <col min="12295" max="12295" width="6.7109375" style="19" customWidth="1"/>
    <col min="12296" max="12296" width="5.7109375" style="19" customWidth="1"/>
    <col min="12297" max="12297" width="10.7109375" style="19" customWidth="1"/>
    <col min="12298" max="12298" width="12.28515625" style="19" customWidth="1"/>
    <col min="12299" max="12546" width="10.7109375" style="19"/>
    <col min="12547" max="12547" width="45.140625" style="19" customWidth="1"/>
    <col min="12548" max="12548" width="10.28515625" style="19" customWidth="1"/>
    <col min="12549" max="12549" width="68.28515625" style="19" customWidth="1"/>
    <col min="12550" max="12550" width="13.42578125" style="19" customWidth="1"/>
    <col min="12551" max="12551" width="6.7109375" style="19" customWidth="1"/>
    <col min="12552" max="12552" width="5.7109375" style="19" customWidth="1"/>
    <col min="12553" max="12553" width="10.7109375" style="19" customWidth="1"/>
    <col min="12554" max="12554" width="12.28515625" style="19" customWidth="1"/>
    <col min="12555" max="12802" width="10.7109375" style="19"/>
    <col min="12803" max="12803" width="45.140625" style="19" customWidth="1"/>
    <col min="12804" max="12804" width="10.28515625" style="19" customWidth="1"/>
    <col min="12805" max="12805" width="68.28515625" style="19" customWidth="1"/>
    <col min="12806" max="12806" width="13.42578125" style="19" customWidth="1"/>
    <col min="12807" max="12807" width="6.7109375" style="19" customWidth="1"/>
    <col min="12808" max="12808" width="5.7109375" style="19" customWidth="1"/>
    <col min="12809" max="12809" width="10.7109375" style="19" customWidth="1"/>
    <col min="12810" max="12810" width="12.28515625" style="19" customWidth="1"/>
    <col min="12811" max="13058" width="10.7109375" style="19"/>
    <col min="13059" max="13059" width="45.140625" style="19" customWidth="1"/>
    <col min="13060" max="13060" width="10.28515625" style="19" customWidth="1"/>
    <col min="13061" max="13061" width="68.28515625" style="19" customWidth="1"/>
    <col min="13062" max="13062" width="13.42578125" style="19" customWidth="1"/>
    <col min="13063" max="13063" width="6.7109375" style="19" customWidth="1"/>
    <col min="13064" max="13064" width="5.7109375" style="19" customWidth="1"/>
    <col min="13065" max="13065" width="10.7109375" style="19" customWidth="1"/>
    <col min="13066" max="13066" width="12.28515625" style="19" customWidth="1"/>
    <col min="13067" max="13314" width="10.7109375" style="19"/>
    <col min="13315" max="13315" width="45.140625" style="19" customWidth="1"/>
    <col min="13316" max="13316" width="10.28515625" style="19" customWidth="1"/>
    <col min="13317" max="13317" width="68.28515625" style="19" customWidth="1"/>
    <col min="13318" max="13318" width="13.42578125" style="19" customWidth="1"/>
    <col min="13319" max="13319" width="6.7109375" style="19" customWidth="1"/>
    <col min="13320" max="13320" width="5.7109375" style="19" customWidth="1"/>
    <col min="13321" max="13321" width="10.7109375" style="19" customWidth="1"/>
    <col min="13322" max="13322" width="12.28515625" style="19" customWidth="1"/>
    <col min="13323" max="13570" width="10.7109375" style="19"/>
    <col min="13571" max="13571" width="45.140625" style="19" customWidth="1"/>
    <col min="13572" max="13572" width="10.28515625" style="19" customWidth="1"/>
    <col min="13573" max="13573" width="68.28515625" style="19" customWidth="1"/>
    <col min="13574" max="13574" width="13.42578125" style="19" customWidth="1"/>
    <col min="13575" max="13575" width="6.7109375" style="19" customWidth="1"/>
    <col min="13576" max="13576" width="5.7109375" style="19" customWidth="1"/>
    <col min="13577" max="13577" width="10.7109375" style="19" customWidth="1"/>
    <col min="13578" max="13578" width="12.28515625" style="19" customWidth="1"/>
    <col min="13579" max="13826" width="10.7109375" style="19"/>
    <col min="13827" max="13827" width="45.140625" style="19" customWidth="1"/>
    <col min="13828" max="13828" width="10.28515625" style="19" customWidth="1"/>
    <col min="13829" max="13829" width="68.28515625" style="19" customWidth="1"/>
    <col min="13830" max="13830" width="13.42578125" style="19" customWidth="1"/>
    <col min="13831" max="13831" width="6.7109375" style="19" customWidth="1"/>
    <col min="13832" max="13832" width="5.7109375" style="19" customWidth="1"/>
    <col min="13833" max="13833" width="10.7109375" style="19" customWidth="1"/>
    <col min="13834" max="13834" width="12.28515625" style="19" customWidth="1"/>
    <col min="13835" max="14082" width="10.7109375" style="19"/>
    <col min="14083" max="14083" width="45.140625" style="19" customWidth="1"/>
    <col min="14084" max="14084" width="10.28515625" style="19" customWidth="1"/>
    <col min="14085" max="14085" width="68.28515625" style="19" customWidth="1"/>
    <col min="14086" max="14086" width="13.42578125" style="19" customWidth="1"/>
    <col min="14087" max="14087" width="6.7109375" style="19" customWidth="1"/>
    <col min="14088" max="14088" width="5.7109375" style="19" customWidth="1"/>
    <col min="14089" max="14089" width="10.7109375" style="19" customWidth="1"/>
    <col min="14090" max="14090" width="12.28515625" style="19" customWidth="1"/>
    <col min="14091" max="14338" width="10.7109375" style="19"/>
    <col min="14339" max="14339" width="45.140625" style="19" customWidth="1"/>
    <col min="14340" max="14340" width="10.28515625" style="19" customWidth="1"/>
    <col min="14341" max="14341" width="68.28515625" style="19" customWidth="1"/>
    <col min="14342" max="14342" width="13.42578125" style="19" customWidth="1"/>
    <col min="14343" max="14343" width="6.7109375" style="19" customWidth="1"/>
    <col min="14344" max="14344" width="5.7109375" style="19" customWidth="1"/>
    <col min="14345" max="14345" width="10.7109375" style="19" customWidth="1"/>
    <col min="14346" max="14346" width="12.28515625" style="19" customWidth="1"/>
    <col min="14347" max="14594" width="10.7109375" style="19"/>
    <col min="14595" max="14595" width="45.140625" style="19" customWidth="1"/>
    <col min="14596" max="14596" width="10.28515625" style="19" customWidth="1"/>
    <col min="14597" max="14597" width="68.28515625" style="19" customWidth="1"/>
    <col min="14598" max="14598" width="13.42578125" style="19" customWidth="1"/>
    <col min="14599" max="14599" width="6.7109375" style="19" customWidth="1"/>
    <col min="14600" max="14600" width="5.7109375" style="19" customWidth="1"/>
    <col min="14601" max="14601" width="10.7109375" style="19" customWidth="1"/>
    <col min="14602" max="14602" width="12.28515625" style="19" customWidth="1"/>
    <col min="14603" max="14850" width="10.7109375" style="19"/>
    <col min="14851" max="14851" width="45.140625" style="19" customWidth="1"/>
    <col min="14852" max="14852" width="10.28515625" style="19" customWidth="1"/>
    <col min="14853" max="14853" width="68.28515625" style="19" customWidth="1"/>
    <col min="14854" max="14854" width="13.42578125" style="19" customWidth="1"/>
    <col min="14855" max="14855" width="6.7109375" style="19" customWidth="1"/>
    <col min="14856" max="14856" width="5.7109375" style="19" customWidth="1"/>
    <col min="14857" max="14857" width="10.7109375" style="19" customWidth="1"/>
    <col min="14858" max="14858" width="12.28515625" style="19" customWidth="1"/>
    <col min="14859" max="15106" width="10.7109375" style="19"/>
    <col min="15107" max="15107" width="45.140625" style="19" customWidth="1"/>
    <col min="15108" max="15108" width="10.28515625" style="19" customWidth="1"/>
    <col min="15109" max="15109" width="68.28515625" style="19" customWidth="1"/>
    <col min="15110" max="15110" width="13.42578125" style="19" customWidth="1"/>
    <col min="15111" max="15111" width="6.7109375" style="19" customWidth="1"/>
    <col min="15112" max="15112" width="5.7109375" style="19" customWidth="1"/>
    <col min="15113" max="15113" width="10.7109375" style="19" customWidth="1"/>
    <col min="15114" max="15114" width="12.28515625" style="19" customWidth="1"/>
    <col min="15115" max="15362" width="10.7109375" style="19"/>
    <col min="15363" max="15363" width="45.140625" style="19" customWidth="1"/>
    <col min="15364" max="15364" width="10.28515625" style="19" customWidth="1"/>
    <col min="15365" max="15365" width="68.28515625" style="19" customWidth="1"/>
    <col min="15366" max="15366" width="13.42578125" style="19" customWidth="1"/>
    <col min="15367" max="15367" width="6.7109375" style="19" customWidth="1"/>
    <col min="15368" max="15368" width="5.7109375" style="19" customWidth="1"/>
    <col min="15369" max="15369" width="10.7109375" style="19" customWidth="1"/>
    <col min="15370" max="15370" width="12.28515625" style="19" customWidth="1"/>
    <col min="15371" max="15618" width="10.7109375" style="19"/>
    <col min="15619" max="15619" width="45.140625" style="19" customWidth="1"/>
    <col min="15620" max="15620" width="10.28515625" style="19" customWidth="1"/>
    <col min="15621" max="15621" width="68.28515625" style="19" customWidth="1"/>
    <col min="15622" max="15622" width="13.42578125" style="19" customWidth="1"/>
    <col min="15623" max="15623" width="6.7109375" style="19" customWidth="1"/>
    <col min="15624" max="15624" width="5.7109375" style="19" customWidth="1"/>
    <col min="15625" max="15625" width="10.7109375" style="19" customWidth="1"/>
    <col min="15626" max="15626" width="12.28515625" style="19" customWidth="1"/>
    <col min="15627" max="15874" width="10.7109375" style="19"/>
    <col min="15875" max="15875" width="45.140625" style="19" customWidth="1"/>
    <col min="15876" max="15876" width="10.28515625" style="19" customWidth="1"/>
    <col min="15877" max="15877" width="68.28515625" style="19" customWidth="1"/>
    <col min="15878" max="15878" width="13.42578125" style="19" customWidth="1"/>
    <col min="15879" max="15879" width="6.7109375" style="19" customWidth="1"/>
    <col min="15880" max="15880" width="5.7109375" style="19" customWidth="1"/>
    <col min="15881" max="15881" width="10.7109375" style="19" customWidth="1"/>
    <col min="15882" max="15882" width="12.28515625" style="19" customWidth="1"/>
    <col min="15883" max="16130" width="10.7109375" style="19"/>
    <col min="16131" max="16131" width="45.140625" style="19" customWidth="1"/>
    <col min="16132" max="16132" width="10.28515625" style="19" customWidth="1"/>
    <col min="16133" max="16133" width="68.28515625" style="19" customWidth="1"/>
    <col min="16134" max="16134" width="13.42578125" style="19" customWidth="1"/>
    <col min="16135" max="16135" width="6.7109375" style="19" customWidth="1"/>
    <col min="16136" max="16136" width="5.7109375" style="19" customWidth="1"/>
    <col min="16137" max="16137" width="10.7109375" style="19" customWidth="1"/>
    <col min="16138" max="16138" width="12.28515625" style="19" customWidth="1"/>
    <col min="16139" max="16384" width="10.7109375" style="19"/>
  </cols>
  <sheetData>
    <row r="3" spans="1:45" ht="36">
      <c r="A3" s="92" t="s">
        <v>0</v>
      </c>
      <c r="B3" s="95" t="s">
        <v>1</v>
      </c>
      <c r="C3" s="93"/>
    </row>
    <row r="4" spans="1:45" ht="31.5" customHeight="1">
      <c r="A4" s="1367">
        <f ca="1">TODAY()</f>
        <v>46278</v>
      </c>
      <c r="B4" s="1367"/>
      <c r="C4" s="93"/>
    </row>
    <row r="5" spans="1:45">
      <c r="A5" s="93"/>
      <c r="B5" s="94"/>
      <c r="C5" s="93"/>
    </row>
    <row r="6" spans="1:45">
      <c r="A6" s="93"/>
      <c r="B6" s="94"/>
      <c r="C6" s="93"/>
    </row>
    <row r="7" spans="1:45" ht="36.75" customHeight="1">
      <c r="A7" s="92" t="s">
        <v>2</v>
      </c>
      <c r="B7" s="1364"/>
      <c r="C7" s="1364"/>
    </row>
    <row r="8" spans="1:45" s="42" customFormat="1" ht="24.75" customHeight="1">
      <c r="A8" s="149" t="s">
        <v>3</v>
      </c>
      <c r="B8" s="1365"/>
      <c r="C8" s="1365"/>
      <c r="D8" s="131"/>
      <c r="F8" s="84"/>
      <c r="G8" s="136"/>
      <c r="H8" s="43"/>
      <c r="I8" s="44"/>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row>
    <row r="9" spans="1:45" s="42" customFormat="1" ht="24.75" customHeight="1">
      <c r="A9" s="150" t="s">
        <v>4</v>
      </c>
      <c r="B9" s="1366"/>
      <c r="C9" s="1365"/>
      <c r="D9" s="131"/>
      <c r="F9" s="84"/>
      <c r="G9" s="136"/>
      <c r="H9" s="43"/>
      <c r="I9" s="44"/>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c r="AS9" s="55"/>
    </row>
    <row r="10" spans="1:45" s="42" customFormat="1" ht="24.75" customHeight="1">
      <c r="A10" s="150" t="s">
        <v>5</v>
      </c>
      <c r="B10" s="1368"/>
      <c r="C10" s="1368"/>
      <c r="D10" s="132"/>
      <c r="E10" s="46"/>
      <c r="F10" s="85"/>
      <c r="G10" s="137"/>
      <c r="H10" s="47"/>
      <c r="I10" s="48"/>
      <c r="J10" s="61"/>
      <c r="L10" s="49"/>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row>
    <row r="11" spans="1:45" s="42" customFormat="1" ht="24.75" customHeight="1">
      <c r="A11" s="150" t="s">
        <v>6</v>
      </c>
      <c r="B11" s="1365"/>
      <c r="C11" s="1365"/>
      <c r="D11" s="132"/>
      <c r="E11" s="46"/>
      <c r="F11" s="85"/>
      <c r="G11" s="137"/>
      <c r="H11" s="47"/>
      <c r="I11" s="48"/>
      <c r="J11" s="62"/>
      <c r="L11" s="49"/>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row>
    <row r="12" spans="1:45" s="42" customFormat="1" ht="24.75" customHeight="1">
      <c r="A12" s="150" t="s">
        <v>7</v>
      </c>
      <c r="B12" s="1308"/>
      <c r="C12" s="1308"/>
      <c r="D12" s="132"/>
      <c r="E12" s="46"/>
      <c r="F12" s="85"/>
      <c r="G12" s="137"/>
      <c r="H12" s="47"/>
      <c r="I12" s="48"/>
      <c r="J12" s="62"/>
      <c r="K12" s="55"/>
      <c r="L12" s="56"/>
      <c r="M12" s="55"/>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row>
    <row r="13" spans="1:45" s="42" customFormat="1" ht="20.25" customHeight="1">
      <c r="A13" s="91"/>
      <c r="B13" s="45"/>
      <c r="C13" s="50"/>
      <c r="D13" s="132"/>
      <c r="E13" s="46"/>
      <c r="F13" s="85"/>
      <c r="G13" s="137"/>
      <c r="H13" s="47"/>
      <c r="I13" s="48"/>
      <c r="J13" s="62"/>
      <c r="K13" s="55"/>
      <c r="L13" s="56"/>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row>
    <row r="14" spans="1:45" ht="26.25" customHeight="1" thickBot="1">
      <c r="C14" s="39"/>
      <c r="D14" s="133"/>
      <c r="E14" s="40"/>
      <c r="F14" s="86"/>
      <c r="G14" s="138"/>
      <c r="H14" s="53"/>
      <c r="I14" s="74"/>
      <c r="J14" s="75"/>
      <c r="K14" s="57"/>
      <c r="L14" s="58"/>
      <c r="M14" s="57"/>
      <c r="N14" s="57"/>
      <c r="O14" s="57"/>
    </row>
    <row r="15" spans="1:45" s="54" customFormat="1" ht="29.25" customHeight="1" thickTop="1">
      <c r="A15" s="151" t="s">
        <v>8</v>
      </c>
      <c r="B15" s="152" t="s">
        <v>9</v>
      </c>
      <c r="C15" s="153" t="s">
        <v>10</v>
      </c>
      <c r="D15" s="154" t="s">
        <v>11</v>
      </c>
      <c r="E15" s="155" t="s">
        <v>12</v>
      </c>
      <c r="F15" s="156" t="s">
        <v>13</v>
      </c>
      <c r="G15" s="157" t="s">
        <v>14</v>
      </c>
      <c r="H15" s="158" t="s">
        <v>15</v>
      </c>
      <c r="I15" s="158" t="s">
        <v>16</v>
      </c>
      <c r="J15" s="159" t="s">
        <v>17</v>
      </c>
      <c r="K15" s="59"/>
      <c r="L15" s="60"/>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row>
    <row r="16" spans="1:45" s="79" customFormat="1" ht="22.5" customHeight="1">
      <c r="A16" s="1317"/>
      <c r="B16" s="1318"/>
      <c r="C16" s="1318"/>
      <c r="D16" s="1318"/>
      <c r="E16" s="1318"/>
      <c r="F16" s="1318"/>
      <c r="G16" s="1318"/>
      <c r="H16" s="1318"/>
      <c r="I16" s="1318"/>
      <c r="J16" s="1319"/>
      <c r="K16" s="78"/>
      <c r="L16" s="58"/>
      <c r="M16" s="78"/>
      <c r="N16" s="78"/>
      <c r="O16" s="78"/>
      <c r="P16" s="78"/>
      <c r="Q16" s="78"/>
      <c r="R16" s="78"/>
      <c r="S16" s="78"/>
      <c r="T16" s="78"/>
      <c r="U16" s="78"/>
      <c r="V16" s="78"/>
      <c r="W16" s="78"/>
      <c r="X16" s="78"/>
      <c r="Y16" s="78"/>
      <c r="Z16" s="78"/>
      <c r="AA16" s="78"/>
      <c r="AB16" s="78"/>
      <c r="AC16" s="78"/>
      <c r="AD16" s="78"/>
      <c r="AE16" s="78"/>
      <c r="AF16" s="78"/>
      <c r="AG16" s="78"/>
      <c r="AH16" s="78"/>
      <c r="AI16" s="78"/>
      <c r="AJ16" s="78"/>
      <c r="AK16" s="78"/>
      <c r="AL16" s="78"/>
      <c r="AM16" s="78"/>
      <c r="AN16" s="78"/>
      <c r="AO16" s="78"/>
      <c r="AP16" s="78"/>
      <c r="AQ16" s="78"/>
      <c r="AR16" s="78"/>
      <c r="AS16" s="78"/>
    </row>
    <row r="17" spans="1:53" s="81" customFormat="1" ht="408" customHeight="1" thickBot="1">
      <c r="A17" s="1141"/>
      <c r="B17" s="160"/>
      <c r="C17" s="161"/>
      <c r="D17" s="162"/>
      <c r="E17" s="163">
        <f>Mobiliti!H15</f>
        <v>0</v>
      </c>
      <c r="F17" s="164">
        <f>Mobiliti!AA15</f>
        <v>0</v>
      </c>
      <c r="G17" s="736">
        <f>ROUND(Mobiliti!$AD$14,2)</f>
        <v>0</v>
      </c>
      <c r="H17" s="737">
        <f>F17*G17</f>
        <v>0</v>
      </c>
      <c r="I17" s="738">
        <f>F17-H17</f>
        <v>0</v>
      </c>
      <c r="J17" s="739">
        <f>E17*I17</f>
        <v>0</v>
      </c>
      <c r="K17" s="80"/>
      <c r="L17" s="56"/>
      <c r="M17" s="80"/>
      <c r="N17" s="80"/>
      <c r="O17" s="740"/>
      <c r="P17" s="740"/>
      <c r="Q17" s="80"/>
      <c r="R17" s="80"/>
      <c r="S17" s="80"/>
      <c r="T17" s="80"/>
      <c r="U17" s="80"/>
      <c r="V17" s="80"/>
      <c r="W17" s="80"/>
      <c r="X17" s="80"/>
      <c r="Y17" s="80"/>
      <c r="Z17" s="80"/>
      <c r="AA17" s="80"/>
      <c r="AB17" s="80"/>
      <c r="AC17" s="80"/>
      <c r="AD17" s="80"/>
      <c r="AE17" s="80"/>
      <c r="AF17" s="80"/>
      <c r="AG17" s="80"/>
      <c r="AH17" s="80"/>
      <c r="AI17" s="80"/>
      <c r="AJ17" s="80"/>
      <c r="AK17" s="80"/>
      <c r="AL17" s="80"/>
      <c r="AM17" s="80"/>
      <c r="AN17" s="80"/>
      <c r="AO17" s="80"/>
      <c r="AP17" s="80"/>
      <c r="AQ17" s="80"/>
      <c r="AR17" s="80"/>
      <c r="AS17" s="80"/>
      <c r="AT17" s="80"/>
      <c r="AU17" s="80"/>
      <c r="AV17" s="80"/>
      <c r="AW17" s="80"/>
      <c r="AX17" s="80"/>
      <c r="AY17" s="80"/>
      <c r="AZ17" s="80"/>
      <c r="BA17" s="80"/>
    </row>
    <row r="18" spans="1:53" s="165" customFormat="1" ht="306.95" customHeight="1" thickTop="1">
      <c r="A18" s="1141"/>
      <c r="B18" s="166"/>
      <c r="C18" s="161"/>
      <c r="D18" s="162"/>
      <c r="E18" s="163">
        <f>Mobiliti!H16</f>
        <v>0</v>
      </c>
      <c r="F18" s="164">
        <f>Mobiliti!AA16</f>
        <v>0</v>
      </c>
      <c r="G18" s="736">
        <f>ROUND(Mobiliti!$AD$14,2)</f>
        <v>0</v>
      </c>
      <c r="H18" s="737">
        <f t="shared" ref="H18:H24" si="0">F18*G18</f>
        <v>0</v>
      </c>
      <c r="I18" s="738">
        <f t="shared" ref="I18:I22" si="1">F18-H18</f>
        <v>0</v>
      </c>
      <c r="J18" s="739">
        <f t="shared" ref="J18:J22" si="2">E18*I18</f>
        <v>0</v>
      </c>
      <c r="K18" s="80"/>
      <c r="L18" s="56"/>
      <c r="M18" s="80"/>
      <c r="N18" s="80"/>
      <c r="O18" s="80"/>
      <c r="P18" s="741"/>
      <c r="Q18" s="80"/>
      <c r="R18" s="80"/>
      <c r="S18" s="80"/>
      <c r="T18" s="80"/>
      <c r="U18" s="80"/>
      <c r="V18" s="80"/>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row>
    <row r="19" spans="1:53" s="165" customFormat="1" ht="272.25" customHeight="1">
      <c r="A19" s="1141"/>
      <c r="B19" s="160"/>
      <c r="C19" s="161"/>
      <c r="D19" s="162"/>
      <c r="E19" s="163">
        <f>Mobiliti!H17</f>
        <v>0</v>
      </c>
      <c r="F19" s="164">
        <f>Mobiliti!AA17</f>
        <v>0</v>
      </c>
      <c r="G19" s="736">
        <f>ROUND(Mobiliti!$AD$14,2)</f>
        <v>0</v>
      </c>
      <c r="H19" s="737">
        <f t="shared" si="0"/>
        <v>0</v>
      </c>
      <c r="I19" s="738">
        <f t="shared" si="1"/>
        <v>0</v>
      </c>
      <c r="J19" s="739">
        <f t="shared" si="2"/>
        <v>0</v>
      </c>
      <c r="K19" s="80"/>
      <c r="L19" s="56"/>
      <c r="M19" s="80"/>
      <c r="N19" s="80"/>
      <c r="O19" s="80"/>
      <c r="P19" s="741"/>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80"/>
    </row>
    <row r="20" spans="1:53" s="165" customFormat="1" ht="306.95" customHeight="1">
      <c r="A20" s="1141"/>
      <c r="B20" s="166"/>
      <c r="C20" s="161"/>
      <c r="D20" s="162"/>
      <c r="E20" s="163">
        <f>Mobiliti!H18</f>
        <v>0</v>
      </c>
      <c r="F20" s="164">
        <f>Mobiliti!AA18</f>
        <v>0</v>
      </c>
      <c r="G20" s="736">
        <f>ROUND(Mobiliti!$AD$14,2)</f>
        <v>0</v>
      </c>
      <c r="H20" s="737">
        <f t="shared" si="0"/>
        <v>0</v>
      </c>
      <c r="I20" s="738">
        <f t="shared" si="1"/>
        <v>0</v>
      </c>
      <c r="J20" s="739">
        <f t="shared" si="2"/>
        <v>0</v>
      </c>
      <c r="K20" s="80"/>
      <c r="L20" s="56"/>
      <c r="M20" s="80"/>
      <c r="N20" s="80"/>
      <c r="O20" s="80"/>
      <c r="P20" s="741"/>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row>
    <row r="21" spans="1:53" s="165" customFormat="1" ht="306.95" customHeight="1">
      <c r="A21" s="1141"/>
      <c r="B21" s="160"/>
      <c r="C21" s="161"/>
      <c r="D21" s="162"/>
      <c r="E21" s="163">
        <f>Mobiliti!H19</f>
        <v>0</v>
      </c>
      <c r="F21" s="164">
        <f>Mobiliti!AA19</f>
        <v>0</v>
      </c>
      <c r="G21" s="736">
        <f>ROUND(Mobiliti!$AD$14,2)</f>
        <v>0</v>
      </c>
      <c r="H21" s="737">
        <f t="shared" si="0"/>
        <v>0</v>
      </c>
      <c r="I21" s="738">
        <f t="shared" si="1"/>
        <v>0</v>
      </c>
      <c r="J21" s="739">
        <f t="shared" si="2"/>
        <v>0</v>
      </c>
      <c r="K21" s="80"/>
      <c r="L21" s="56"/>
      <c r="M21" s="80"/>
      <c r="N21" s="80"/>
      <c r="O21" s="80"/>
      <c r="P21" s="741"/>
      <c r="Q21" s="80"/>
      <c r="R21" s="80"/>
      <c r="S21" s="80"/>
      <c r="T21" s="80"/>
      <c r="U21" s="80"/>
      <c r="V21" s="80"/>
      <c r="W21" s="80"/>
      <c r="X21" s="80"/>
      <c r="Y21" s="80"/>
      <c r="Z21" s="80"/>
      <c r="AA21" s="80"/>
      <c r="AB21" s="80"/>
      <c r="AC21" s="80"/>
      <c r="AD21" s="80"/>
      <c r="AE21" s="80"/>
      <c r="AF21" s="80"/>
      <c r="AG21" s="80"/>
      <c r="AH21" s="80"/>
      <c r="AI21" s="80"/>
      <c r="AJ21" s="80"/>
      <c r="AK21" s="80"/>
      <c r="AL21" s="80"/>
      <c r="AM21" s="80"/>
      <c r="AN21" s="80"/>
      <c r="AO21" s="80"/>
      <c r="AP21" s="80"/>
      <c r="AQ21" s="80"/>
      <c r="AR21" s="80"/>
      <c r="AS21" s="80"/>
      <c r="AT21" s="80"/>
      <c r="AU21" s="80"/>
      <c r="AV21" s="80"/>
      <c r="AW21" s="80"/>
      <c r="AX21" s="80"/>
      <c r="AY21" s="80"/>
      <c r="AZ21" s="80"/>
      <c r="BA21" s="80"/>
    </row>
    <row r="22" spans="1:53" s="165" customFormat="1" ht="306.95" customHeight="1">
      <c r="A22" s="1141"/>
      <c r="B22" s="166"/>
      <c r="C22" s="161"/>
      <c r="D22" s="162"/>
      <c r="E22" s="163">
        <f>Mobiliti!H20</f>
        <v>0</v>
      </c>
      <c r="F22" s="164">
        <f>Mobiliti!AA20</f>
        <v>0</v>
      </c>
      <c r="G22" s="736">
        <f>ROUND(Mobiliti!$AD$14,2)</f>
        <v>0</v>
      </c>
      <c r="H22" s="737">
        <f t="shared" si="0"/>
        <v>0</v>
      </c>
      <c r="I22" s="738">
        <f t="shared" si="1"/>
        <v>0</v>
      </c>
      <c r="J22" s="739">
        <f t="shared" si="2"/>
        <v>0</v>
      </c>
      <c r="K22" s="80"/>
      <c r="L22" s="56"/>
      <c r="M22" s="80"/>
      <c r="N22" s="80"/>
      <c r="O22" s="80"/>
      <c r="P22" s="741"/>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80"/>
      <c r="BA22" s="80"/>
    </row>
    <row r="23" spans="1:53" s="165" customFormat="1" ht="306.95" customHeight="1">
      <c r="A23" s="1141"/>
      <c r="B23" s="160"/>
      <c r="C23" s="161"/>
      <c r="D23" s="162"/>
      <c r="E23" s="163">
        <f>Mobiliti!H21</f>
        <v>0</v>
      </c>
      <c r="F23" s="164">
        <f>Mobiliti!AA21</f>
        <v>0</v>
      </c>
      <c r="G23" s="736">
        <f>ROUND(Mobiliti!$AD$14,2)</f>
        <v>0</v>
      </c>
      <c r="H23" s="737">
        <f t="shared" si="0"/>
        <v>0</v>
      </c>
      <c r="I23" s="738">
        <f t="shared" ref="I23:I24" si="3">F23-H23</f>
        <v>0</v>
      </c>
      <c r="J23" s="739">
        <f t="shared" ref="J23:J24" si="4">E23*I23</f>
        <v>0</v>
      </c>
      <c r="K23" s="80"/>
      <c r="L23" s="56"/>
      <c r="M23" s="80"/>
      <c r="N23" s="80"/>
      <c r="O23" s="80"/>
      <c r="P23" s="741"/>
      <c r="Q23" s="80"/>
      <c r="R23" s="80"/>
      <c r="S23" s="80"/>
      <c r="T23" s="80"/>
      <c r="U23" s="80"/>
      <c r="V23" s="80"/>
      <c r="W23" s="80"/>
      <c r="X23" s="80"/>
      <c r="Y23" s="80"/>
      <c r="Z23" s="80"/>
      <c r="AA23" s="80"/>
      <c r="AB23" s="80"/>
      <c r="AC23" s="80"/>
      <c r="AD23" s="80"/>
      <c r="AE23" s="80"/>
      <c r="AF23" s="80"/>
      <c r="AG23" s="80"/>
      <c r="AH23" s="80"/>
      <c r="AI23" s="80"/>
      <c r="AJ23" s="80"/>
      <c r="AK23" s="80"/>
      <c r="AL23" s="80"/>
      <c r="AM23" s="80"/>
      <c r="AN23" s="80"/>
      <c r="AO23" s="80"/>
      <c r="AP23" s="80"/>
      <c r="AQ23" s="80"/>
      <c r="AR23" s="80"/>
      <c r="AS23" s="80"/>
      <c r="AT23" s="80"/>
      <c r="AU23" s="80"/>
      <c r="AV23" s="80"/>
      <c r="AW23" s="80"/>
      <c r="AX23" s="80"/>
      <c r="AY23" s="80"/>
      <c r="AZ23" s="80"/>
      <c r="BA23" s="80"/>
    </row>
    <row r="24" spans="1:53" s="165" customFormat="1" ht="306.95" customHeight="1">
      <c r="A24" s="1141"/>
      <c r="B24" s="166"/>
      <c r="C24" s="161"/>
      <c r="D24" s="162"/>
      <c r="E24" s="163">
        <f>Mobiliti!H22</f>
        <v>0</v>
      </c>
      <c r="F24" s="164">
        <f>Mobiliti!AA22</f>
        <v>0</v>
      </c>
      <c r="G24" s="736">
        <f>ROUND(Mobiliti!$AD$14,2)</f>
        <v>0</v>
      </c>
      <c r="H24" s="737">
        <f t="shared" si="0"/>
        <v>0</v>
      </c>
      <c r="I24" s="738">
        <f t="shared" si="3"/>
        <v>0</v>
      </c>
      <c r="J24" s="739">
        <f t="shared" si="4"/>
        <v>0</v>
      </c>
      <c r="K24" s="80"/>
      <c r="L24" s="56"/>
      <c r="M24" s="80"/>
      <c r="N24" s="80"/>
      <c r="O24" s="80"/>
      <c r="P24" s="741"/>
      <c r="Q24" s="80"/>
      <c r="R24" s="80"/>
      <c r="S24" s="80"/>
      <c r="T24" s="80"/>
      <c r="U24" s="80"/>
      <c r="V24" s="80"/>
      <c r="W24" s="80"/>
      <c r="X24" s="80"/>
      <c r="Y24" s="80"/>
      <c r="Z24" s="80"/>
      <c r="AA24" s="80"/>
      <c r="AB24" s="80"/>
      <c r="AC24" s="80"/>
      <c r="AD24" s="80"/>
      <c r="AE24" s="80"/>
      <c r="AF24" s="80"/>
      <c r="AG24" s="80"/>
      <c r="AH24" s="80"/>
      <c r="AI24" s="80"/>
      <c r="AJ24" s="80"/>
      <c r="AK24" s="80"/>
      <c r="AL24" s="80"/>
      <c r="AM24" s="80"/>
      <c r="AN24" s="80"/>
      <c r="AO24" s="80"/>
      <c r="AP24" s="80"/>
      <c r="AQ24" s="80"/>
      <c r="AR24" s="80"/>
      <c r="AS24" s="80"/>
      <c r="AT24" s="80"/>
      <c r="AU24" s="80"/>
      <c r="AV24" s="80"/>
      <c r="AW24" s="80"/>
      <c r="AX24" s="80"/>
      <c r="AY24" s="80"/>
      <c r="AZ24" s="80"/>
      <c r="BA24" s="80"/>
    </row>
    <row r="25" spans="1:53" s="165" customFormat="1" ht="306.95" customHeight="1">
      <c r="A25" s="1141"/>
      <c r="B25" s="160"/>
      <c r="C25" s="161"/>
      <c r="D25" s="162"/>
      <c r="E25" s="163">
        <f>Mobiliti!H23</f>
        <v>0</v>
      </c>
      <c r="F25" s="164">
        <f>Mobiliti!AA23</f>
        <v>0</v>
      </c>
      <c r="G25" s="736">
        <f>ROUND(Mobiliti!$AD$14,2)</f>
        <v>0</v>
      </c>
      <c r="H25" s="737">
        <f t="shared" ref="H25:H27" si="5">F25*G25</f>
        <v>0</v>
      </c>
      <c r="I25" s="738">
        <f t="shared" ref="I25:I27" si="6">F25-H25</f>
        <v>0</v>
      </c>
      <c r="J25" s="739">
        <f t="shared" ref="J25:J27" si="7">E25*I25</f>
        <v>0</v>
      </c>
      <c r="K25" s="80"/>
      <c r="L25" s="56"/>
      <c r="M25" s="80"/>
      <c r="N25" s="80"/>
      <c r="O25" s="80"/>
      <c r="P25" s="741"/>
      <c r="Q25" s="80"/>
      <c r="R25" s="80"/>
      <c r="S25" s="80"/>
      <c r="T25" s="80"/>
      <c r="U25" s="80"/>
      <c r="V25" s="80"/>
      <c r="W25" s="80"/>
      <c r="X25" s="80"/>
      <c r="Y25" s="80"/>
      <c r="Z25" s="80"/>
      <c r="AA25" s="80"/>
      <c r="AB25" s="80"/>
      <c r="AC25" s="80"/>
      <c r="AD25" s="80"/>
      <c r="AE25" s="80"/>
      <c r="AF25" s="80"/>
      <c r="AG25" s="80"/>
      <c r="AH25" s="80"/>
      <c r="AI25" s="80"/>
      <c r="AJ25" s="80"/>
      <c r="AK25" s="80"/>
      <c r="AL25" s="80"/>
      <c r="AM25" s="80"/>
      <c r="AN25" s="80"/>
      <c r="AO25" s="80"/>
      <c r="AP25" s="80"/>
      <c r="AQ25" s="80"/>
      <c r="AR25" s="80"/>
      <c r="AS25" s="80"/>
      <c r="AT25" s="80"/>
      <c r="AU25" s="80"/>
      <c r="AV25" s="80"/>
      <c r="AW25" s="80"/>
      <c r="AX25" s="80"/>
      <c r="AY25" s="80"/>
      <c r="AZ25" s="80"/>
      <c r="BA25" s="80"/>
    </row>
    <row r="26" spans="1:53" s="165" customFormat="1" ht="306.95" customHeight="1">
      <c r="A26" s="1141"/>
      <c r="B26" s="160"/>
      <c r="C26" s="161"/>
      <c r="D26" s="162"/>
      <c r="E26" s="163">
        <f>Mobiliti!H24</f>
        <v>0</v>
      </c>
      <c r="F26" s="164">
        <f>Mobiliti!AA24</f>
        <v>0</v>
      </c>
      <c r="G26" s="736">
        <f>ROUND(Mobiliti!$AD$14,2)</f>
        <v>0</v>
      </c>
      <c r="H26" s="737">
        <f t="shared" si="5"/>
        <v>0</v>
      </c>
      <c r="I26" s="738">
        <f t="shared" si="6"/>
        <v>0</v>
      </c>
      <c r="J26" s="739">
        <f t="shared" si="7"/>
        <v>0</v>
      </c>
      <c r="K26" s="80"/>
      <c r="L26" s="56"/>
      <c r="M26" s="80"/>
      <c r="N26" s="80"/>
      <c r="O26" s="80"/>
      <c r="P26" s="741"/>
      <c r="Q26" s="80"/>
      <c r="R26" s="80"/>
      <c r="S26" s="80"/>
      <c r="T26" s="80"/>
      <c r="U26" s="80"/>
      <c r="V26" s="80"/>
      <c r="W26" s="80"/>
      <c r="X26" s="80"/>
      <c r="Y26" s="80"/>
      <c r="Z26" s="80"/>
      <c r="AA26" s="80"/>
      <c r="AB26" s="80"/>
      <c r="AC26" s="80"/>
      <c r="AD26" s="80"/>
      <c r="AE26" s="80"/>
      <c r="AF26" s="80"/>
      <c r="AG26" s="80"/>
      <c r="AH26" s="80"/>
      <c r="AI26" s="80"/>
      <c r="AJ26" s="80"/>
      <c r="AK26" s="80"/>
      <c r="AL26" s="80"/>
      <c r="AM26" s="80"/>
      <c r="AN26" s="80"/>
      <c r="AO26" s="80"/>
      <c r="AP26" s="80"/>
      <c r="AQ26" s="80"/>
      <c r="AR26" s="80"/>
      <c r="AS26" s="80"/>
      <c r="AT26" s="80"/>
      <c r="AU26" s="80"/>
      <c r="AV26" s="80"/>
      <c r="AW26" s="80"/>
      <c r="AX26" s="80"/>
      <c r="AY26" s="80"/>
      <c r="AZ26" s="80"/>
      <c r="BA26" s="80"/>
    </row>
    <row r="27" spans="1:53" s="165" customFormat="1" ht="306.95" customHeight="1">
      <c r="A27" s="1141"/>
      <c r="B27" s="160"/>
      <c r="C27" s="161"/>
      <c r="D27" s="162"/>
      <c r="E27" s="163">
        <f>Mobiliti!H25</f>
        <v>0</v>
      </c>
      <c r="F27" s="164">
        <f>Mobiliti!AA25</f>
        <v>0</v>
      </c>
      <c r="G27" s="736">
        <f>ROUND(Mobiliti!$AD$14,2)</f>
        <v>0</v>
      </c>
      <c r="H27" s="737">
        <f t="shared" si="5"/>
        <v>0</v>
      </c>
      <c r="I27" s="738">
        <f t="shared" si="6"/>
        <v>0</v>
      </c>
      <c r="J27" s="739">
        <f t="shared" si="7"/>
        <v>0</v>
      </c>
      <c r="K27" s="80"/>
      <c r="L27" s="56"/>
      <c r="M27" s="80"/>
      <c r="N27" s="80"/>
      <c r="O27" s="80"/>
      <c r="P27" s="741"/>
      <c r="Q27" s="80"/>
      <c r="R27" s="80"/>
      <c r="S27" s="80"/>
      <c r="T27" s="80"/>
      <c r="U27" s="80"/>
      <c r="V27" s="80"/>
      <c r="W27" s="80"/>
      <c r="X27" s="80"/>
      <c r="Y27" s="80"/>
      <c r="Z27" s="80"/>
      <c r="AA27" s="80"/>
      <c r="AB27" s="80"/>
      <c r="AC27" s="80"/>
      <c r="AD27" s="80"/>
      <c r="AE27" s="80"/>
      <c r="AF27" s="80"/>
      <c r="AG27" s="80"/>
      <c r="AH27" s="80"/>
      <c r="AI27" s="80"/>
      <c r="AJ27" s="80"/>
      <c r="AK27" s="80"/>
      <c r="AL27" s="80"/>
      <c r="AM27" s="80"/>
      <c r="AN27" s="80"/>
      <c r="AO27" s="80"/>
      <c r="AP27" s="80"/>
      <c r="AQ27" s="80"/>
      <c r="AR27" s="80"/>
      <c r="AS27" s="80"/>
      <c r="AT27" s="80"/>
      <c r="AU27" s="80"/>
      <c r="AV27" s="80"/>
      <c r="AW27" s="80"/>
      <c r="AX27" s="80"/>
      <c r="AY27" s="80"/>
      <c r="AZ27" s="80"/>
      <c r="BA27" s="80"/>
    </row>
    <row r="28" spans="1:53" s="165" customFormat="1" ht="306.95" customHeight="1">
      <c r="A28" s="1141"/>
      <c r="B28" s="160"/>
      <c r="C28" s="161"/>
      <c r="D28" s="162"/>
      <c r="E28" s="163">
        <f>Mobiliti!H26</f>
        <v>0</v>
      </c>
      <c r="F28" s="164">
        <f>Mobiliti!AA26</f>
        <v>0</v>
      </c>
      <c r="G28" s="736">
        <f>ROUND(Mobiliti!$AD$14,2)</f>
        <v>0</v>
      </c>
      <c r="H28" s="737">
        <f t="shared" ref="H28:H29" si="8">F28*G28</f>
        <v>0</v>
      </c>
      <c r="I28" s="738">
        <f t="shared" ref="I28:I29" si="9">F28-H28</f>
        <v>0</v>
      </c>
      <c r="J28" s="739">
        <f t="shared" ref="J28:J29" si="10">E28*I28</f>
        <v>0</v>
      </c>
      <c r="K28" s="80"/>
      <c r="L28" s="56"/>
      <c r="M28" s="80"/>
      <c r="N28" s="80"/>
      <c r="O28" s="80"/>
      <c r="P28" s="741"/>
      <c r="Q28" s="80"/>
      <c r="R28" s="80"/>
      <c r="S28" s="80"/>
      <c r="T28" s="80"/>
      <c r="U28" s="80"/>
      <c r="V28" s="80"/>
      <c r="W28" s="80"/>
      <c r="X28" s="80"/>
      <c r="Y28" s="80"/>
      <c r="Z28" s="80"/>
      <c r="AA28" s="80"/>
      <c r="AB28" s="80"/>
      <c r="AC28" s="80"/>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row>
    <row r="29" spans="1:53" s="165" customFormat="1" ht="306.95" customHeight="1">
      <c r="A29" s="1141"/>
      <c r="B29" s="160"/>
      <c r="C29" s="161"/>
      <c r="D29" s="162"/>
      <c r="E29" s="163">
        <f>Mobiliti!H27</f>
        <v>0</v>
      </c>
      <c r="F29" s="164">
        <f>Mobiliti!AA27</f>
        <v>0</v>
      </c>
      <c r="G29" s="736">
        <f>ROUND(Mobiliti!$AD$14,2)</f>
        <v>0</v>
      </c>
      <c r="H29" s="737">
        <f t="shared" si="8"/>
        <v>0</v>
      </c>
      <c r="I29" s="738">
        <f t="shared" si="9"/>
        <v>0</v>
      </c>
      <c r="J29" s="739">
        <f t="shared" si="10"/>
        <v>0</v>
      </c>
      <c r="K29" s="80"/>
      <c r="L29" s="56"/>
      <c r="M29" s="80"/>
      <c r="N29" s="80"/>
      <c r="O29" s="80"/>
      <c r="P29" s="741"/>
      <c r="Q29" s="80"/>
      <c r="R29" s="80"/>
      <c r="S29" s="80"/>
      <c r="T29" s="80"/>
      <c r="U29" s="80"/>
      <c r="V29" s="80"/>
      <c r="W29" s="80"/>
      <c r="X29" s="80"/>
      <c r="Y29" s="80"/>
      <c r="Z29" s="80"/>
      <c r="AA29" s="80"/>
      <c r="AB29" s="80"/>
      <c r="AC29" s="80"/>
      <c r="AD29" s="80"/>
      <c r="AE29" s="80"/>
      <c r="AF29" s="80"/>
      <c r="AG29" s="80"/>
      <c r="AH29" s="80"/>
      <c r="AI29" s="80"/>
      <c r="AJ29" s="80"/>
      <c r="AK29" s="80"/>
      <c r="AL29" s="80"/>
      <c r="AM29" s="80"/>
      <c r="AN29" s="80"/>
      <c r="AO29" s="80"/>
      <c r="AP29" s="80"/>
      <c r="AQ29" s="80"/>
      <c r="AR29" s="80"/>
      <c r="AS29" s="80"/>
      <c r="AT29" s="80"/>
      <c r="AU29" s="80"/>
      <c r="AV29" s="80"/>
      <c r="AW29" s="80"/>
      <c r="AX29" s="80"/>
      <c r="AY29" s="80"/>
      <c r="AZ29" s="80"/>
      <c r="BA29" s="80"/>
    </row>
    <row r="30" spans="1:53" s="165" customFormat="1" ht="306.95" customHeight="1">
      <c r="A30" s="1141"/>
      <c r="B30" s="160"/>
      <c r="C30" s="161"/>
      <c r="D30" s="162"/>
      <c r="E30" s="163">
        <f>Mobiliti!H28</f>
        <v>0</v>
      </c>
      <c r="F30" s="164">
        <f>Mobiliti!AA28</f>
        <v>0</v>
      </c>
      <c r="G30" s="736">
        <f>ROUND(Mobiliti!$AD$14,2)</f>
        <v>0</v>
      </c>
      <c r="H30" s="737">
        <f t="shared" ref="H30:H34" si="11">F30*G30</f>
        <v>0</v>
      </c>
      <c r="I30" s="738">
        <f t="shared" ref="I30:I34" si="12">F30-H30</f>
        <v>0</v>
      </c>
      <c r="J30" s="739">
        <f t="shared" ref="J30:J34" si="13">E30*I30</f>
        <v>0</v>
      </c>
      <c r="K30" s="80"/>
      <c r="L30" s="56"/>
      <c r="M30" s="80"/>
      <c r="N30" s="80"/>
      <c r="O30" s="80"/>
      <c r="P30" s="741"/>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c r="AY30" s="80"/>
      <c r="AZ30" s="80"/>
      <c r="BA30" s="80"/>
    </row>
    <row r="31" spans="1:53" s="165" customFormat="1" ht="306.95" customHeight="1">
      <c r="A31" s="1141"/>
      <c r="B31" s="160"/>
      <c r="C31" s="161"/>
      <c r="D31" s="162"/>
      <c r="E31" s="163">
        <f>Mobiliti!H29</f>
        <v>0</v>
      </c>
      <c r="F31" s="164">
        <f>Mobiliti!AA29</f>
        <v>0</v>
      </c>
      <c r="G31" s="736">
        <f>ROUND(Mobiliti!$AD$14,2)</f>
        <v>0</v>
      </c>
      <c r="H31" s="737">
        <f t="shared" si="11"/>
        <v>0</v>
      </c>
      <c r="I31" s="738">
        <f t="shared" si="12"/>
        <v>0</v>
      </c>
      <c r="J31" s="739">
        <f t="shared" si="13"/>
        <v>0</v>
      </c>
      <c r="K31" s="80"/>
      <c r="L31" s="56"/>
      <c r="M31" s="80"/>
      <c r="N31" s="80"/>
      <c r="O31" s="80"/>
      <c r="P31" s="741"/>
      <c r="Q31" s="80"/>
      <c r="R31" s="80"/>
      <c r="S31" s="80"/>
      <c r="T31" s="80"/>
      <c r="U31" s="80"/>
      <c r="V31" s="80"/>
      <c r="W31" s="80"/>
      <c r="X31" s="80"/>
      <c r="Y31" s="80"/>
      <c r="Z31" s="80"/>
      <c r="AA31" s="80"/>
      <c r="AB31" s="80"/>
      <c r="AC31" s="80"/>
      <c r="AD31" s="80"/>
      <c r="AE31" s="80"/>
      <c r="AF31" s="80"/>
      <c r="AG31" s="80"/>
      <c r="AH31" s="80"/>
      <c r="AI31" s="80"/>
      <c r="AJ31" s="80"/>
      <c r="AK31" s="80"/>
      <c r="AL31" s="80"/>
      <c r="AM31" s="80"/>
      <c r="AN31" s="80"/>
      <c r="AO31" s="80"/>
      <c r="AP31" s="80"/>
      <c r="AQ31" s="80"/>
      <c r="AR31" s="80"/>
      <c r="AS31" s="80"/>
      <c r="AT31" s="80"/>
      <c r="AU31" s="80"/>
      <c r="AV31" s="80"/>
      <c r="AW31" s="80"/>
      <c r="AX31" s="80"/>
      <c r="AY31" s="80"/>
      <c r="AZ31" s="80"/>
      <c r="BA31" s="80"/>
    </row>
    <row r="32" spans="1:53" s="165" customFormat="1" ht="306.95" customHeight="1">
      <c r="A32" s="1141"/>
      <c r="B32" s="160"/>
      <c r="C32" s="161"/>
      <c r="D32" s="162"/>
      <c r="E32" s="163">
        <f>Mobiliti!H30</f>
        <v>0</v>
      </c>
      <c r="F32" s="164">
        <f>Mobiliti!AA30</f>
        <v>0</v>
      </c>
      <c r="G32" s="736">
        <f>ROUND(Mobiliti!$AD$14,2)</f>
        <v>0</v>
      </c>
      <c r="H32" s="737">
        <f t="shared" si="11"/>
        <v>0</v>
      </c>
      <c r="I32" s="738">
        <f t="shared" si="12"/>
        <v>0</v>
      </c>
      <c r="J32" s="739">
        <f t="shared" si="13"/>
        <v>0</v>
      </c>
      <c r="K32" s="80"/>
      <c r="L32" s="56"/>
      <c r="M32" s="80"/>
      <c r="N32" s="80"/>
      <c r="O32" s="80"/>
      <c r="P32" s="741"/>
      <c r="Q32" s="80"/>
      <c r="R32" s="80"/>
      <c r="S32" s="80"/>
      <c r="T32" s="80"/>
      <c r="U32" s="80"/>
      <c r="V32" s="80"/>
      <c r="W32" s="80"/>
      <c r="X32" s="80"/>
      <c r="Y32" s="80"/>
      <c r="Z32" s="80"/>
      <c r="AA32" s="80"/>
      <c r="AB32" s="80"/>
      <c r="AC32" s="80"/>
      <c r="AD32" s="80"/>
      <c r="AE32" s="80"/>
      <c r="AF32" s="80"/>
      <c r="AG32" s="80"/>
      <c r="AH32" s="80"/>
      <c r="AI32" s="80"/>
      <c r="AJ32" s="80"/>
      <c r="AK32" s="80"/>
      <c r="AL32" s="80"/>
      <c r="AM32" s="80"/>
      <c r="AN32" s="80"/>
      <c r="AO32" s="80"/>
      <c r="AP32" s="80"/>
      <c r="AQ32" s="80"/>
      <c r="AR32" s="80"/>
      <c r="AS32" s="80"/>
      <c r="AT32" s="80"/>
      <c r="AU32" s="80"/>
      <c r="AV32" s="80"/>
      <c r="AW32" s="80"/>
      <c r="AX32" s="80"/>
      <c r="AY32" s="80"/>
      <c r="AZ32" s="80"/>
      <c r="BA32" s="80"/>
    </row>
    <row r="33" spans="1:53" s="165" customFormat="1" ht="306.95" customHeight="1">
      <c r="A33" s="1141"/>
      <c r="B33" s="160"/>
      <c r="C33" s="161"/>
      <c r="D33" s="162"/>
      <c r="E33" s="163">
        <f>Mobiliti!H31</f>
        <v>0</v>
      </c>
      <c r="F33" s="164">
        <f>Mobiliti!AA31</f>
        <v>0</v>
      </c>
      <c r="G33" s="736">
        <f>ROUND(Mobiliti!$AD$14,2)</f>
        <v>0</v>
      </c>
      <c r="H33" s="737">
        <f t="shared" si="11"/>
        <v>0</v>
      </c>
      <c r="I33" s="738">
        <f t="shared" si="12"/>
        <v>0</v>
      </c>
      <c r="J33" s="739">
        <f t="shared" si="13"/>
        <v>0</v>
      </c>
      <c r="K33" s="80"/>
      <c r="L33" s="56"/>
      <c r="M33" s="80"/>
      <c r="N33" s="80"/>
      <c r="O33" s="80"/>
      <c r="P33" s="741"/>
      <c r="Q33" s="80"/>
      <c r="R33" s="80"/>
      <c r="S33" s="80"/>
      <c r="T33" s="80"/>
      <c r="U33" s="80"/>
      <c r="V33" s="80"/>
      <c r="W33" s="80"/>
      <c r="X33" s="80"/>
      <c r="Y33" s="80"/>
      <c r="Z33" s="80"/>
      <c r="AA33" s="80"/>
      <c r="AB33" s="80"/>
      <c r="AC33" s="80"/>
      <c r="AD33" s="80"/>
      <c r="AE33" s="80"/>
      <c r="AF33" s="80"/>
      <c r="AG33" s="80"/>
      <c r="AH33" s="80"/>
      <c r="AI33" s="80"/>
      <c r="AJ33" s="80"/>
      <c r="AK33" s="80"/>
      <c r="AL33" s="80"/>
      <c r="AM33" s="80"/>
      <c r="AN33" s="80"/>
      <c r="AO33" s="80"/>
      <c r="AP33" s="80"/>
      <c r="AQ33" s="80"/>
      <c r="AR33" s="80"/>
      <c r="AS33" s="80"/>
      <c r="AT33" s="80"/>
      <c r="AU33" s="80"/>
      <c r="AV33" s="80"/>
      <c r="AW33" s="80"/>
      <c r="AX33" s="80"/>
      <c r="AY33" s="80"/>
      <c r="AZ33" s="80"/>
      <c r="BA33" s="80"/>
    </row>
    <row r="34" spans="1:53" s="165" customFormat="1" ht="306.95" customHeight="1">
      <c r="A34" s="1141"/>
      <c r="B34" s="160"/>
      <c r="C34" s="161"/>
      <c r="D34" s="162"/>
      <c r="E34" s="163">
        <f>Mobiliti!H32</f>
        <v>0</v>
      </c>
      <c r="F34" s="164">
        <f>Mobiliti!AA32</f>
        <v>0</v>
      </c>
      <c r="G34" s="736">
        <f>ROUND(Mobiliti!$AD$14,2)</f>
        <v>0</v>
      </c>
      <c r="H34" s="737">
        <f t="shared" si="11"/>
        <v>0</v>
      </c>
      <c r="I34" s="738">
        <f t="shared" si="12"/>
        <v>0</v>
      </c>
      <c r="J34" s="739">
        <f t="shared" si="13"/>
        <v>0</v>
      </c>
      <c r="K34" s="80"/>
      <c r="L34" s="56"/>
      <c r="M34" s="80"/>
      <c r="N34" s="80"/>
      <c r="O34" s="80"/>
      <c r="P34" s="741"/>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c r="AY34" s="80"/>
      <c r="AZ34" s="80"/>
      <c r="BA34" s="80"/>
    </row>
    <row r="35" spans="1:53" s="165" customFormat="1" ht="306.95" customHeight="1">
      <c r="A35" s="1141"/>
      <c r="B35" s="160"/>
      <c r="C35" s="161"/>
      <c r="D35" s="162"/>
      <c r="E35" s="163">
        <f>Mobiliti!H33</f>
        <v>0</v>
      </c>
      <c r="F35" s="164">
        <f>Mobiliti!AA33</f>
        <v>0</v>
      </c>
      <c r="G35" s="736">
        <f>ROUND(Mobiliti!$AD$14,2)</f>
        <v>0</v>
      </c>
      <c r="H35" s="737">
        <f t="shared" ref="H35:H36" si="14">F35*G35</f>
        <v>0</v>
      </c>
      <c r="I35" s="738">
        <f t="shared" ref="I35:I36" si="15">F35-H35</f>
        <v>0</v>
      </c>
      <c r="J35" s="739">
        <f t="shared" ref="J35:J36" si="16">E35*I35</f>
        <v>0</v>
      </c>
      <c r="K35" s="80"/>
      <c r="L35" s="56"/>
      <c r="M35" s="80"/>
      <c r="N35" s="80"/>
      <c r="O35" s="80"/>
      <c r="P35" s="741"/>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row>
    <row r="36" spans="1:53" s="165" customFormat="1" ht="306.95" customHeight="1">
      <c r="A36" s="1141"/>
      <c r="B36" s="160"/>
      <c r="C36" s="161"/>
      <c r="D36" s="162"/>
      <c r="E36" s="163">
        <f>Mobiliti!H34</f>
        <v>0</v>
      </c>
      <c r="F36" s="164">
        <f>Mobiliti!AA34</f>
        <v>0</v>
      </c>
      <c r="G36" s="736">
        <f>ROUND(Mobiliti!$AD$14,2)</f>
        <v>0</v>
      </c>
      <c r="H36" s="737">
        <f t="shared" si="14"/>
        <v>0</v>
      </c>
      <c r="I36" s="738">
        <f t="shared" si="15"/>
        <v>0</v>
      </c>
      <c r="J36" s="739">
        <f t="shared" si="16"/>
        <v>0</v>
      </c>
      <c r="K36" s="80"/>
      <c r="L36" s="56"/>
      <c r="M36" s="80"/>
      <c r="N36" s="80"/>
      <c r="O36" s="80"/>
      <c r="P36" s="741"/>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row>
    <row r="37" spans="1:53" ht="26.25" customHeight="1">
      <c r="C37" s="39"/>
      <c r="D37" s="1320" t="s">
        <v>18</v>
      </c>
      <c r="E37" s="1321"/>
      <c r="F37" s="1321"/>
      <c r="G37" s="1321"/>
      <c r="H37" s="1322" cm="1">
        <f t="array" ref="H37">SUM(IFERROR(J17:J37,0))</f>
        <v>0</v>
      </c>
      <c r="I37" s="1322"/>
      <c r="J37" s="1323"/>
      <c r="K37" s="57"/>
      <c r="L37" s="58"/>
      <c r="M37" s="1272">
        <f>VLOOKUP($D$64,Tabla_Regiones,2,0)</f>
        <v>0.15</v>
      </c>
      <c r="N37" s="1273">
        <f>IF(Mobiliti!$C$14="Dólares",Cotizacion!H37*17.5,Cotizacion!H37)</f>
        <v>0</v>
      </c>
      <c r="O37" s="1274">
        <f>VLOOKUP(N37,Fletes!$D$45:$F$50,3,TRUE)</f>
        <v>1.3</v>
      </c>
    </row>
    <row r="38" spans="1:53" ht="26.25" customHeight="1">
      <c r="C38" s="39"/>
      <c r="D38" s="1324" t="s">
        <v>19</v>
      </c>
      <c r="E38" s="1325"/>
      <c r="F38" s="1325"/>
      <c r="G38" s="1325"/>
      <c r="H38" s="1326">
        <f>H37*$N$39</f>
        <v>0</v>
      </c>
      <c r="I38" s="1326"/>
      <c r="J38" s="1327"/>
      <c r="K38" s="57"/>
      <c r="L38" s="58"/>
      <c r="M38" s="1275"/>
      <c r="N38" s="1269"/>
      <c r="O38" s="1276"/>
      <c r="P38" s="742"/>
    </row>
    <row r="39" spans="1:53" ht="26.25" customHeight="1">
      <c r="C39" s="39"/>
      <c r="D39" s="1309" t="s">
        <v>18</v>
      </c>
      <c r="E39" s="1310"/>
      <c r="F39" s="1310"/>
      <c r="G39" s="1310"/>
      <c r="H39" s="1311">
        <f>H37+H38</f>
        <v>0</v>
      </c>
      <c r="I39" s="1311"/>
      <c r="J39" s="1312"/>
      <c r="K39" s="57"/>
      <c r="L39" s="58"/>
      <c r="M39" s="1275"/>
      <c r="N39" s="1270">
        <f>M37*O37</f>
        <v>0.19500000000000001</v>
      </c>
      <c r="O39" s="1276"/>
    </row>
    <row r="40" spans="1:53" ht="26.25" customHeight="1">
      <c r="C40" s="39"/>
      <c r="D40" s="1309" t="s">
        <v>20</v>
      </c>
      <c r="E40" s="1310"/>
      <c r="F40" s="1310"/>
      <c r="G40" s="1310"/>
      <c r="H40" s="1311">
        <f>H39*16%</f>
        <v>0</v>
      </c>
      <c r="I40" s="1311"/>
      <c r="J40" s="1312"/>
      <c r="K40" s="57"/>
      <c r="L40" s="58"/>
      <c r="M40" s="1277"/>
      <c r="N40" s="1271"/>
      <c r="O40" s="1278"/>
    </row>
    <row r="41" spans="1:53" ht="26.25" customHeight="1">
      <c r="C41" s="39"/>
      <c r="D41" s="1313" t="s">
        <v>21</v>
      </c>
      <c r="E41" s="1314"/>
      <c r="F41" s="1314"/>
      <c r="G41" s="1314"/>
      <c r="H41" s="1315">
        <f>H39+H40</f>
        <v>0</v>
      </c>
      <c r="I41" s="1315"/>
      <c r="J41" s="1316"/>
      <c r="K41" s="57"/>
      <c r="L41" s="58"/>
      <c r="M41" s="57"/>
      <c r="N41" s="57"/>
      <c r="O41" s="57"/>
    </row>
    <row r="42" spans="1:53" ht="26.25" customHeight="1">
      <c r="C42" s="39"/>
      <c r="D42" s="133"/>
      <c r="E42" s="40"/>
      <c r="F42" s="86"/>
      <c r="G42" s="138"/>
      <c r="H42" s="25"/>
      <c r="I42" s="26"/>
      <c r="J42" s="41"/>
      <c r="K42" s="57"/>
      <c r="L42" s="58"/>
      <c r="M42" s="57"/>
      <c r="N42" s="57"/>
      <c r="O42" s="57"/>
    </row>
    <row r="43" spans="1:53" ht="26.25" customHeight="1">
      <c r="C43" s="39"/>
      <c r="D43" s="133"/>
      <c r="E43" s="40"/>
      <c r="F43" s="86"/>
      <c r="G43" s="138"/>
      <c r="H43" s="25"/>
      <c r="I43" s="26"/>
      <c r="J43" s="41"/>
      <c r="K43" s="57"/>
      <c r="L43" s="58"/>
      <c r="M43" s="57"/>
      <c r="N43" s="57"/>
      <c r="O43" s="57"/>
    </row>
    <row r="44" spans="1:53" ht="26.25" customHeight="1">
      <c r="C44" s="39"/>
      <c r="D44" s="133"/>
      <c r="E44" s="40"/>
      <c r="F44" s="86"/>
      <c r="G44" s="138"/>
      <c r="H44" s="25"/>
      <c r="I44" s="26"/>
      <c r="J44" s="41"/>
      <c r="K44" s="57"/>
      <c r="L44" s="58"/>
      <c r="M44" s="57"/>
      <c r="N44" s="57"/>
      <c r="O44" s="57"/>
    </row>
    <row r="45" spans="1:53" s="77" customFormat="1" ht="41.25" customHeight="1">
      <c r="A45" s="1336" t="s">
        <v>22</v>
      </c>
      <c r="B45" s="1336"/>
      <c r="C45" s="1336"/>
      <c r="D45" s="1334" t="s">
        <v>23</v>
      </c>
      <c r="E45" s="1335"/>
      <c r="F45" s="1335"/>
      <c r="G45" s="1335"/>
      <c r="H45" s="1335"/>
      <c r="I45" s="1335"/>
      <c r="J45" s="1335"/>
      <c r="K45" s="76"/>
      <c r="L45"/>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6"/>
      <c r="AO45" s="76"/>
      <c r="AP45" s="76"/>
      <c r="AQ45" s="76"/>
      <c r="AR45" s="76"/>
      <c r="AS45" s="76"/>
    </row>
    <row r="46" spans="1:53" ht="26.25" customHeight="1">
      <c r="B46" s="19"/>
      <c r="C46" s="19"/>
      <c r="D46" s="133"/>
      <c r="E46" s="40"/>
      <c r="F46" s="86"/>
      <c r="G46" s="138"/>
      <c r="H46" s="25"/>
      <c r="I46" s="26"/>
      <c r="J46" s="41"/>
      <c r="K46" s="57"/>
      <c r="L46" s="58"/>
      <c r="M46" s="57"/>
      <c r="N46" s="57"/>
      <c r="O46" s="57"/>
    </row>
    <row r="47" spans="1:53" ht="26.25" customHeight="1">
      <c r="A47" s="35"/>
      <c r="B47" s="34"/>
      <c r="C47" s="35"/>
      <c r="D47" s="134"/>
      <c r="E47" s="33"/>
      <c r="F47" s="87"/>
      <c r="G47" s="139"/>
      <c r="H47" s="36"/>
      <c r="I47" s="37"/>
      <c r="J47" s="33"/>
      <c r="K47" s="57"/>
      <c r="L47" s="58"/>
      <c r="M47" s="57"/>
      <c r="N47" s="57"/>
      <c r="O47" s="57"/>
    </row>
    <row r="48" spans="1:53" ht="26.25" customHeight="1">
      <c r="A48" s="1337" t="s">
        <v>24</v>
      </c>
      <c r="B48" s="1338"/>
      <c r="C48" s="1338"/>
      <c r="D48" s="1338"/>
      <c r="E48" s="1338"/>
      <c r="F48" s="1338"/>
      <c r="G48" s="1338"/>
      <c r="H48" s="1338"/>
      <c r="I48" s="1338"/>
      <c r="J48" s="1339"/>
      <c r="K48" s="57"/>
      <c r="L48" s="58"/>
      <c r="M48" s="57"/>
      <c r="N48" s="57"/>
      <c r="O48" s="57"/>
    </row>
    <row r="49" spans="1:45" ht="24.75" customHeight="1">
      <c r="A49" s="1328" t="s">
        <v>25</v>
      </c>
      <c r="B49" s="1329"/>
      <c r="C49" s="1329"/>
      <c r="D49" s="1329"/>
      <c r="E49" s="1329"/>
      <c r="F49" s="1329"/>
      <c r="G49" s="1329"/>
      <c r="H49" s="1329"/>
      <c r="I49" s="1329"/>
      <c r="J49" s="1330"/>
      <c r="K49" s="57"/>
      <c r="L49" s="58"/>
      <c r="M49" s="57"/>
      <c r="N49" s="57"/>
      <c r="O49" s="57"/>
    </row>
    <row r="50" spans="1:45" ht="24.75" customHeight="1">
      <c r="A50" s="1331" t="s">
        <v>26</v>
      </c>
      <c r="B50" s="1332"/>
      <c r="C50" s="1332"/>
      <c r="D50" s="1332"/>
      <c r="E50" s="1332"/>
      <c r="F50" s="1332"/>
      <c r="G50" s="1332"/>
      <c r="H50" s="1332"/>
      <c r="I50" s="1332"/>
      <c r="J50" s="1333"/>
    </row>
    <row r="51" spans="1:45" ht="55.5" customHeight="1">
      <c r="A51" s="1331" t="s">
        <v>27</v>
      </c>
      <c r="B51" s="1332"/>
      <c r="C51" s="1332"/>
      <c r="D51" s="1332"/>
      <c r="E51" s="1332"/>
      <c r="F51" s="1332"/>
      <c r="G51" s="1332"/>
      <c r="H51" s="1332"/>
      <c r="I51" s="1332"/>
      <c r="J51" s="1333"/>
    </row>
    <row r="52" spans="1:45" ht="74.45" customHeight="1">
      <c r="A52" s="1331" t="s">
        <v>28</v>
      </c>
      <c r="B52" s="1332"/>
      <c r="C52" s="1332"/>
      <c r="D52" s="1332"/>
      <c r="E52" s="1332"/>
      <c r="F52" s="1332"/>
      <c r="G52" s="1332"/>
      <c r="H52" s="1332"/>
      <c r="I52" s="1332"/>
      <c r="J52" s="1333"/>
    </row>
    <row r="53" spans="1:45" ht="24.75" customHeight="1">
      <c r="A53" s="1331" t="s">
        <v>29</v>
      </c>
      <c r="B53" s="1332"/>
      <c r="C53" s="1332"/>
      <c r="D53" s="1332"/>
      <c r="E53" s="1332"/>
      <c r="F53" s="1332"/>
      <c r="G53" s="1332"/>
      <c r="H53" s="1332"/>
      <c r="I53" s="1332"/>
      <c r="J53" s="1333"/>
    </row>
    <row r="54" spans="1:45" ht="24.75" customHeight="1">
      <c r="A54" s="1331" t="s">
        <v>30</v>
      </c>
      <c r="B54" s="1332"/>
      <c r="C54" s="1332"/>
      <c r="D54" s="1332"/>
      <c r="E54" s="1332"/>
      <c r="F54" s="1332"/>
      <c r="G54" s="1332"/>
      <c r="H54" s="1332"/>
      <c r="I54" s="1332"/>
      <c r="J54" s="1333"/>
    </row>
    <row r="55" spans="1:45" ht="73.5" customHeight="1">
      <c r="A55" s="1340" t="s">
        <v>31</v>
      </c>
      <c r="B55" s="1341"/>
      <c r="C55" s="1341"/>
      <c r="D55" s="1341"/>
      <c r="E55" s="1341"/>
      <c r="F55" s="1341"/>
      <c r="G55" s="1341"/>
      <c r="H55" s="1341"/>
      <c r="I55" s="1341"/>
      <c r="J55" s="1342"/>
      <c r="K55" s="90"/>
    </row>
    <row r="56" spans="1:45" ht="24.75" customHeight="1">
      <c r="A56" s="140"/>
      <c r="B56" s="141"/>
      <c r="C56" s="142"/>
      <c r="D56" s="143"/>
      <c r="E56" s="144"/>
      <c r="F56" s="145"/>
      <c r="G56" s="146"/>
      <c r="H56" s="147"/>
      <c r="I56" s="148"/>
      <c r="J56" s="144"/>
      <c r="K56" s="89"/>
      <c r="L56" s="27"/>
      <c r="M56" s="24"/>
      <c r="N56" s="63"/>
    </row>
    <row r="57" spans="1:45" s="27" customFormat="1" ht="24.75" customHeight="1">
      <c r="A57" s="1328" t="s">
        <v>32</v>
      </c>
      <c r="B57" s="1329"/>
      <c r="C57" s="1329"/>
      <c r="D57" s="1329"/>
      <c r="E57" s="1329"/>
      <c r="F57" s="1329"/>
      <c r="G57" s="1329"/>
      <c r="H57" s="1329"/>
      <c r="I57" s="1329"/>
      <c r="J57" s="1329"/>
      <c r="K57" s="88"/>
      <c r="L57" s="28"/>
      <c r="M57" s="26"/>
      <c r="N57" s="41"/>
      <c r="P57" s="71"/>
      <c r="Q57" s="71"/>
      <c r="R57" s="24"/>
      <c r="S57" s="63"/>
      <c r="T57" s="71"/>
      <c r="U57" s="71"/>
      <c r="V57" s="71"/>
      <c r="W57" s="71"/>
      <c r="X57" s="71"/>
      <c r="Y57" s="71"/>
      <c r="Z57" s="71"/>
      <c r="AA57" s="71"/>
      <c r="AB57" s="71"/>
      <c r="AC57" s="71"/>
      <c r="AD57" s="71"/>
      <c r="AE57" s="71"/>
      <c r="AF57" s="71"/>
      <c r="AG57" s="71"/>
      <c r="AH57" s="71"/>
      <c r="AI57" s="71"/>
      <c r="AJ57" s="71"/>
      <c r="AK57" s="71"/>
      <c r="AL57" s="71"/>
      <c r="AM57" s="71"/>
      <c r="AN57" s="71"/>
      <c r="AO57" s="71"/>
      <c r="AP57" s="71"/>
      <c r="AQ57" s="71"/>
      <c r="AR57" s="71"/>
      <c r="AS57" s="71"/>
    </row>
    <row r="58" spans="1:45" s="28" customFormat="1" ht="24.75" customHeight="1">
      <c r="A58" s="1331" t="s">
        <v>33</v>
      </c>
      <c r="B58" s="1332"/>
      <c r="C58" s="1332"/>
      <c r="D58" s="1332"/>
      <c r="E58" s="1332"/>
      <c r="F58" s="1332"/>
      <c r="G58" s="1332"/>
      <c r="H58" s="1332"/>
      <c r="I58" s="1332"/>
      <c r="J58" s="1333"/>
      <c r="K58" s="29"/>
      <c r="L58" s="29"/>
      <c r="M58" s="26"/>
      <c r="N58" s="41"/>
      <c r="P58" s="72"/>
      <c r="Q58" s="72"/>
      <c r="R58" s="26"/>
      <c r="S58" s="41"/>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row>
    <row r="59" spans="1:45" s="29" customFormat="1" ht="54" customHeight="1">
      <c r="A59" s="1328" t="s">
        <v>34</v>
      </c>
      <c r="B59" s="1329"/>
      <c r="C59" s="1329"/>
      <c r="D59" s="1329"/>
      <c r="E59" s="1329"/>
      <c r="F59" s="1329"/>
      <c r="G59" s="1329"/>
      <c r="H59" s="1329"/>
      <c r="I59" s="1329"/>
      <c r="J59" s="1330"/>
      <c r="K59" s="30"/>
      <c r="L59" s="30"/>
      <c r="M59" s="26"/>
      <c r="N59" s="41"/>
      <c r="P59" s="73"/>
      <c r="Q59" s="73"/>
      <c r="R59" s="26"/>
      <c r="S59" s="41"/>
      <c r="T59" s="73"/>
      <c r="U59" s="73"/>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row>
    <row r="60" spans="1:45" s="30" customFormat="1" ht="24.75" customHeight="1">
      <c r="A60" s="1343" t="s">
        <v>35</v>
      </c>
      <c r="B60" s="1344"/>
      <c r="C60" s="1344"/>
      <c r="D60" s="1344"/>
      <c r="E60" s="1344"/>
      <c r="F60" s="1344"/>
      <c r="G60" s="1344"/>
      <c r="H60" s="1344"/>
      <c r="I60" s="1344"/>
      <c r="J60" s="1345"/>
      <c r="M60" s="51"/>
      <c r="N60" s="52"/>
      <c r="R60" s="26"/>
      <c r="S60" s="41"/>
    </row>
    <row r="61" spans="1:45" s="30" customFormat="1" ht="24.75" customHeight="1">
      <c r="A61" s="1343" t="s">
        <v>36</v>
      </c>
      <c r="B61" s="1344"/>
      <c r="C61" s="1344"/>
      <c r="D61" s="1344"/>
      <c r="E61" s="1344"/>
      <c r="F61" s="1344"/>
      <c r="G61" s="1344"/>
      <c r="H61" s="1344"/>
      <c r="I61" s="1344"/>
      <c r="J61" s="1345"/>
      <c r="K61" s="64"/>
      <c r="Q61" s="52"/>
      <c r="R61" s="51"/>
    </row>
    <row r="62" spans="1:45" s="30" customFormat="1" ht="24.75" customHeight="1">
      <c r="A62" s="1343"/>
      <c r="B62" s="1344"/>
      <c r="C62" s="1344"/>
      <c r="D62" s="1344"/>
      <c r="E62" s="1344"/>
      <c r="F62" s="1344"/>
      <c r="G62" s="1344"/>
      <c r="H62" s="1344"/>
      <c r="I62" s="1344"/>
      <c r="J62" s="1345"/>
      <c r="K62" s="64"/>
    </row>
    <row r="63" spans="1:45" s="30" customFormat="1" ht="24.75" customHeight="1">
      <c r="A63" s="1346" t="s">
        <v>37</v>
      </c>
      <c r="B63" s="1347"/>
      <c r="C63" s="1347"/>
      <c r="D63" s="1347"/>
      <c r="E63" s="1347"/>
      <c r="F63" s="1347"/>
      <c r="G63" s="1347"/>
      <c r="H63" s="1347"/>
      <c r="I63" s="1347"/>
      <c r="J63" s="1348"/>
      <c r="K63" s="64"/>
    </row>
    <row r="64" spans="1:45" s="30" customFormat="1" ht="42.95" customHeight="1">
      <c r="A64" s="1349" t="s">
        <v>38</v>
      </c>
      <c r="B64" s="1350"/>
      <c r="C64" s="1350"/>
      <c r="D64" s="1178" t="s">
        <v>39</v>
      </c>
      <c r="E64" s="1163"/>
      <c r="F64" s="1163"/>
      <c r="G64" s="1163"/>
      <c r="H64" s="1163"/>
      <c r="I64" s="1163"/>
      <c r="J64" s="1159"/>
      <c r="K64" s="64"/>
    </row>
    <row r="65" spans="1:11" s="30" customFormat="1" ht="66.75" customHeight="1">
      <c r="A65" s="1343" t="s">
        <v>40</v>
      </c>
      <c r="B65" s="1344"/>
      <c r="C65" s="1344"/>
      <c r="D65" s="1344"/>
      <c r="E65" s="1344"/>
      <c r="F65" s="1344"/>
      <c r="G65" s="1344"/>
      <c r="H65" s="1344"/>
      <c r="I65" s="1344"/>
      <c r="J65" s="1345"/>
      <c r="K65" s="64"/>
    </row>
    <row r="66" spans="1:11" s="30" customFormat="1" ht="56.25" customHeight="1">
      <c r="A66" s="1343" t="s">
        <v>41</v>
      </c>
      <c r="B66" s="1344"/>
      <c r="C66" s="1344"/>
      <c r="D66" s="1344"/>
      <c r="E66" s="1344"/>
      <c r="F66" s="1344"/>
      <c r="G66" s="1344"/>
      <c r="H66" s="1344"/>
      <c r="I66" s="1344"/>
      <c r="J66" s="1345"/>
      <c r="K66" s="64"/>
    </row>
    <row r="67" spans="1:11" s="30" customFormat="1" ht="66" customHeight="1">
      <c r="A67" s="1343" t="s">
        <v>42</v>
      </c>
      <c r="B67" s="1344"/>
      <c r="C67" s="1344"/>
      <c r="D67" s="1344"/>
      <c r="E67" s="1344"/>
      <c r="F67" s="1344"/>
      <c r="G67" s="1344"/>
      <c r="H67" s="1344"/>
      <c r="I67" s="1344"/>
      <c r="J67" s="1345"/>
      <c r="K67" s="64"/>
    </row>
    <row r="68" spans="1:11" s="30" customFormat="1" ht="63" customHeight="1">
      <c r="A68" s="1343" t="s">
        <v>43</v>
      </c>
      <c r="B68" s="1344"/>
      <c r="C68" s="1344"/>
      <c r="D68" s="1344"/>
      <c r="E68" s="1344"/>
      <c r="F68" s="1344"/>
      <c r="G68" s="1344"/>
      <c r="H68" s="1344"/>
      <c r="I68" s="1344"/>
      <c r="J68" s="1345"/>
      <c r="K68" s="64"/>
    </row>
    <row r="69" spans="1:11" s="30" customFormat="1" ht="47.25" customHeight="1">
      <c r="A69" s="1343" t="s">
        <v>44</v>
      </c>
      <c r="B69" s="1344"/>
      <c r="C69" s="1344"/>
      <c r="D69" s="1344"/>
      <c r="E69" s="1344"/>
      <c r="F69" s="1344"/>
      <c r="G69" s="1344"/>
      <c r="H69" s="1344"/>
      <c r="I69" s="1344"/>
      <c r="J69" s="1345"/>
      <c r="K69" s="64"/>
    </row>
    <row r="70" spans="1:11" s="30" customFormat="1" ht="24.75" customHeight="1">
      <c r="A70" s="1343"/>
      <c r="B70" s="1344"/>
      <c r="C70" s="1344"/>
      <c r="D70" s="1344"/>
      <c r="E70" s="1344"/>
      <c r="F70" s="1344"/>
      <c r="G70" s="1344"/>
      <c r="H70" s="1344"/>
      <c r="I70" s="1344"/>
      <c r="J70" s="1345"/>
      <c r="K70" s="64"/>
    </row>
    <row r="71" spans="1:11" s="30" customFormat="1" ht="24.75" customHeight="1">
      <c r="A71" s="1346" t="s">
        <v>45</v>
      </c>
      <c r="B71" s="1347"/>
      <c r="C71" s="1347"/>
      <c r="D71" s="1347"/>
      <c r="E71" s="1347"/>
      <c r="F71" s="1347"/>
      <c r="G71" s="1347"/>
      <c r="H71" s="1347"/>
      <c r="I71" s="1347"/>
      <c r="J71" s="1348"/>
      <c r="K71" s="64"/>
    </row>
    <row r="72" spans="1:11" s="30" customFormat="1" ht="60" customHeight="1">
      <c r="A72" s="1343" t="s">
        <v>46</v>
      </c>
      <c r="B72" s="1344"/>
      <c r="C72" s="1344"/>
      <c r="D72" s="1344"/>
      <c r="E72" s="1344"/>
      <c r="F72" s="1344"/>
      <c r="G72" s="1344"/>
      <c r="H72" s="1344"/>
      <c r="I72" s="1344"/>
      <c r="J72" s="1345"/>
      <c r="K72" s="64"/>
    </row>
    <row r="73" spans="1:11" s="30" customFormat="1" ht="62.25" customHeight="1">
      <c r="A73" s="1343" t="s">
        <v>47</v>
      </c>
      <c r="B73" s="1344"/>
      <c r="C73" s="1344"/>
      <c r="D73" s="1344"/>
      <c r="E73" s="1344"/>
      <c r="F73" s="1344"/>
      <c r="G73" s="1344"/>
      <c r="H73" s="1344"/>
      <c r="I73" s="1344"/>
      <c r="J73" s="1345"/>
      <c r="K73" s="64"/>
    </row>
    <row r="74" spans="1:11" s="30" customFormat="1" ht="24.75" customHeight="1">
      <c r="A74" s="1343"/>
      <c r="B74" s="1344"/>
      <c r="C74" s="1344"/>
      <c r="D74" s="1344"/>
      <c r="E74" s="1344"/>
      <c r="F74" s="1344"/>
      <c r="G74" s="1344"/>
      <c r="H74" s="1344"/>
      <c r="I74" s="1344"/>
      <c r="J74" s="1345"/>
      <c r="K74" s="64"/>
    </row>
    <row r="75" spans="1:11" s="30" customFormat="1" ht="24.75" customHeight="1">
      <c r="A75" s="1346" t="s">
        <v>48</v>
      </c>
      <c r="B75" s="1362"/>
      <c r="C75" s="1362"/>
      <c r="D75" s="1362"/>
      <c r="E75" s="1362"/>
      <c r="F75" s="1362"/>
      <c r="G75" s="1362"/>
      <c r="H75" s="1362"/>
      <c r="I75" s="1362"/>
      <c r="J75" s="1363"/>
      <c r="K75" s="64"/>
    </row>
    <row r="76" spans="1:11" s="30" customFormat="1" ht="24.75" customHeight="1">
      <c r="A76" s="1346" t="s">
        <v>49</v>
      </c>
      <c r="B76" s="1347"/>
      <c r="C76" s="1347"/>
      <c r="D76" s="1347"/>
      <c r="E76" s="1347"/>
      <c r="F76" s="1347"/>
      <c r="G76" s="1347"/>
      <c r="H76" s="1347"/>
      <c r="I76" s="1347"/>
      <c r="J76" s="1348"/>
      <c r="K76" s="64"/>
    </row>
    <row r="77" spans="1:11" s="30" customFormat="1" ht="24.75" customHeight="1">
      <c r="A77" s="1343"/>
      <c r="B77" s="1344"/>
      <c r="C77" s="1344"/>
      <c r="D77" s="1344"/>
      <c r="E77" s="1344"/>
      <c r="F77" s="1344"/>
      <c r="G77" s="1344"/>
      <c r="H77" s="1344"/>
      <c r="I77" s="1344"/>
      <c r="J77" s="1345"/>
      <c r="K77" s="64"/>
    </row>
    <row r="78" spans="1:11" s="30" customFormat="1" ht="24.75" customHeight="1">
      <c r="A78" s="1346" t="s">
        <v>50</v>
      </c>
      <c r="B78" s="1347"/>
      <c r="C78" s="1347"/>
      <c r="D78" s="1347"/>
      <c r="E78" s="1347"/>
      <c r="F78" s="1347"/>
      <c r="G78" s="1347"/>
      <c r="H78" s="1347"/>
      <c r="I78" s="1347"/>
      <c r="J78" s="1348"/>
      <c r="K78" s="64"/>
    </row>
    <row r="79" spans="1:11" s="30" customFormat="1" ht="24.75" customHeight="1">
      <c r="A79" s="1331" t="s">
        <v>51</v>
      </c>
      <c r="B79" s="1332"/>
      <c r="C79" s="1332"/>
      <c r="D79" s="1332"/>
      <c r="E79" s="1332"/>
      <c r="F79" s="1332"/>
      <c r="G79" s="1332"/>
      <c r="H79" s="1332"/>
      <c r="I79" s="1332"/>
      <c r="J79" s="1333"/>
      <c r="K79" s="64"/>
    </row>
    <row r="80" spans="1:11" s="30" customFormat="1" ht="49.5" customHeight="1">
      <c r="A80" s="1331" t="s">
        <v>52</v>
      </c>
      <c r="B80" s="1332"/>
      <c r="C80" s="1332"/>
      <c r="D80" s="1332"/>
      <c r="E80" s="1332"/>
      <c r="F80" s="1332"/>
      <c r="G80" s="1332"/>
      <c r="H80" s="1332"/>
      <c r="I80" s="1332"/>
      <c r="J80" s="1333"/>
      <c r="K80" s="64"/>
    </row>
    <row r="81" spans="1:11" s="30" customFormat="1" ht="51.75" customHeight="1">
      <c r="A81" s="1331" t="s">
        <v>53</v>
      </c>
      <c r="B81" s="1332"/>
      <c r="C81" s="1332"/>
      <c r="D81" s="1332"/>
      <c r="E81" s="1332"/>
      <c r="F81" s="1332"/>
      <c r="G81" s="1332"/>
      <c r="H81" s="1332"/>
      <c r="I81" s="1332"/>
      <c r="J81" s="1333"/>
      <c r="K81" s="64"/>
    </row>
    <row r="82" spans="1:11" s="30" customFormat="1" ht="24.75" customHeight="1">
      <c r="A82" s="140"/>
      <c r="B82" s="141"/>
      <c r="C82" s="142"/>
      <c r="D82" s="143"/>
      <c r="E82" s="144"/>
      <c r="F82" s="145"/>
      <c r="G82" s="146"/>
      <c r="H82" s="147"/>
      <c r="I82" s="148"/>
      <c r="J82" s="144"/>
      <c r="K82" s="64"/>
    </row>
    <row r="83" spans="1:11" s="30" customFormat="1" ht="24.75" customHeight="1">
      <c r="A83" s="1328" t="s">
        <v>54</v>
      </c>
      <c r="B83" s="1329"/>
      <c r="C83" s="1329"/>
      <c r="D83" s="1329"/>
      <c r="E83" s="1329"/>
      <c r="F83" s="1329"/>
      <c r="G83" s="1329"/>
      <c r="H83" s="1329"/>
      <c r="I83" s="1329"/>
      <c r="J83" s="1330"/>
      <c r="K83" s="64"/>
    </row>
    <row r="84" spans="1:11" s="30" customFormat="1" ht="24.75" customHeight="1">
      <c r="A84" s="1331" t="s">
        <v>55</v>
      </c>
      <c r="B84" s="1332"/>
      <c r="C84" s="1332"/>
      <c r="D84" s="1332"/>
      <c r="E84" s="1332"/>
      <c r="F84" s="1332"/>
      <c r="G84" s="1332"/>
      <c r="H84" s="1332"/>
      <c r="I84" s="1332"/>
      <c r="J84" s="1333"/>
      <c r="K84" s="64"/>
    </row>
    <row r="85" spans="1:11" s="30" customFormat="1" ht="24.75" customHeight="1">
      <c r="A85" s="1351"/>
      <c r="B85" s="1352"/>
      <c r="C85" s="1352"/>
      <c r="D85" s="1352"/>
      <c r="E85" s="1352"/>
      <c r="F85" s="1352"/>
      <c r="G85" s="1352"/>
      <c r="H85" s="1352"/>
      <c r="I85" s="1352"/>
      <c r="J85" s="1353"/>
      <c r="K85" s="64"/>
    </row>
    <row r="86" spans="1:11" s="30" customFormat="1" ht="24.75" customHeight="1">
      <c r="A86" s="1328" t="s">
        <v>56</v>
      </c>
      <c r="B86" s="1329"/>
      <c r="C86" s="1329"/>
      <c r="D86" s="1329"/>
      <c r="E86" s="1329"/>
      <c r="F86" s="1329"/>
      <c r="G86" s="1329"/>
      <c r="H86" s="1329"/>
      <c r="I86" s="1329"/>
      <c r="J86" s="1330"/>
      <c r="K86" s="64"/>
    </row>
    <row r="87" spans="1:11" s="30" customFormat="1" ht="24.75" customHeight="1">
      <c r="A87" s="1331" t="s">
        <v>57</v>
      </c>
      <c r="B87" s="1332"/>
      <c r="C87" s="1332"/>
      <c r="D87" s="1332"/>
      <c r="E87" s="1332"/>
      <c r="F87" s="1332"/>
      <c r="G87" s="1332"/>
      <c r="H87" s="1332"/>
      <c r="I87" s="1332"/>
      <c r="J87" s="1333"/>
      <c r="K87" s="64"/>
    </row>
    <row r="88" spans="1:11" s="30" customFormat="1" ht="24.75" customHeight="1">
      <c r="A88" s="1331" t="s">
        <v>58</v>
      </c>
      <c r="B88" s="1332"/>
      <c r="C88" s="1332"/>
      <c r="D88" s="1332"/>
      <c r="E88" s="1332"/>
      <c r="F88" s="1332"/>
      <c r="G88" s="1332"/>
      <c r="H88" s="1332"/>
      <c r="I88" s="1332"/>
      <c r="J88" s="1333"/>
      <c r="K88" s="64"/>
    </row>
    <row r="89" spans="1:11" s="30" customFormat="1" ht="67.5" customHeight="1">
      <c r="A89" s="1340" t="s">
        <v>59</v>
      </c>
      <c r="B89" s="1341"/>
      <c r="C89" s="1341"/>
      <c r="D89" s="1341"/>
      <c r="E89" s="1341"/>
      <c r="F89" s="1341"/>
      <c r="G89" s="1341"/>
      <c r="H89" s="1341"/>
      <c r="I89" s="1341"/>
      <c r="J89" s="1342"/>
      <c r="K89" s="64"/>
    </row>
    <row r="90" spans="1:11" s="30" customFormat="1" ht="17.25" customHeight="1">
      <c r="A90" s="1356" t="str">
        <f>IF('Control Administrativo'!B30="FIRMAS COMPLETAS","DOCUMENTO AUTORIZADO - LISTO PARA PROCESO","PENDIENTE: FIRMA DEL CLIENTE Y DEL EJECUTIVO DE VENTAS")</f>
        <v>PENDIENTE: FIRMA DEL CLIENTE Y DEL EJECUTIVO DE VENTAS</v>
      </c>
      <c r="B90" s="1357"/>
      <c r="C90" s="1357"/>
      <c r="D90" s="1357"/>
      <c r="E90" s="1357"/>
      <c r="F90" s="1357"/>
      <c r="G90" s="1358"/>
      <c r="H90" s="1358"/>
      <c r="I90" s="1358"/>
      <c r="J90" s="1359"/>
      <c r="K90" s="64"/>
    </row>
    <row r="91" spans="1:11" s="30" customFormat="1" ht="17.25" customHeight="1">
      <c r="A91" s="1360"/>
      <c r="B91" s="1360"/>
      <c r="C91" s="1360"/>
      <c r="D91" s="1361"/>
      <c r="E91" s="1361"/>
      <c r="F91" s="1361"/>
      <c r="G91" s="1361"/>
      <c r="H91" s="1361"/>
      <c r="I91" s="1361"/>
      <c r="J91" s="1361"/>
      <c r="K91" s="64"/>
    </row>
    <row r="92" spans="1:11" s="30" customFormat="1" ht="83.25" customHeight="1">
      <c r="A92" s="1360"/>
      <c r="B92" s="1360"/>
      <c r="C92" s="1360"/>
      <c r="D92" s="1361"/>
      <c r="E92" s="1361"/>
      <c r="F92" s="1361"/>
      <c r="G92" s="1361"/>
      <c r="H92" s="1361"/>
      <c r="I92" s="1361"/>
      <c r="J92" s="1361"/>
      <c r="K92" s="64"/>
    </row>
    <row r="93" spans="1:11" s="30" customFormat="1" ht="17.25" customHeight="1">
      <c r="A93" s="1354" t="s">
        <v>60</v>
      </c>
      <c r="B93" s="1354"/>
      <c r="C93" s="1354"/>
      <c r="D93" s="1355" t="s">
        <v>61</v>
      </c>
      <c r="E93" s="1355"/>
      <c r="F93" s="1355"/>
      <c r="G93" s="1355"/>
      <c r="H93" s="1355"/>
      <c r="I93" s="1355"/>
      <c r="J93" s="1355"/>
      <c r="K93" s="64"/>
    </row>
    <row r="94" spans="1:11" s="30" customFormat="1" ht="17.25" customHeight="1">
      <c r="A94" s="21"/>
      <c r="B94" s="20"/>
      <c r="C94" s="21"/>
      <c r="D94" s="130"/>
      <c r="E94" s="19"/>
      <c r="F94" s="83"/>
      <c r="G94" s="135"/>
      <c r="H94" s="22"/>
      <c r="I94" s="23"/>
      <c r="J94" s="19"/>
      <c r="K94" s="64"/>
    </row>
    <row r="95" spans="1:11" s="30" customFormat="1" ht="17.25" customHeight="1">
      <c r="A95" s="21"/>
      <c r="B95" s="20"/>
      <c r="C95" s="21"/>
      <c r="D95" s="130"/>
      <c r="E95" s="19"/>
      <c r="F95" s="83"/>
      <c r="G95" s="135"/>
      <c r="H95" s="22"/>
      <c r="I95" s="23"/>
      <c r="J95" s="19"/>
      <c r="K95" s="64"/>
    </row>
    <row r="96" spans="1:11" s="30" customFormat="1" ht="17.25" customHeight="1">
      <c r="A96" s="21"/>
      <c r="B96" s="20"/>
      <c r="C96" s="21"/>
      <c r="D96" s="130"/>
      <c r="E96" s="19"/>
      <c r="F96" s="83"/>
      <c r="G96" s="135"/>
      <c r="H96" s="22"/>
      <c r="I96" s="23"/>
      <c r="J96" s="19"/>
      <c r="K96" s="64"/>
    </row>
    <row r="97" spans="1:11" s="30" customFormat="1" ht="17.25" customHeight="1">
      <c r="A97" s="21"/>
      <c r="B97" s="20"/>
      <c r="C97" s="21"/>
      <c r="D97" s="130"/>
      <c r="E97" s="19"/>
      <c r="F97" s="83"/>
      <c r="G97" s="135"/>
      <c r="H97" s="22"/>
      <c r="I97" s="23"/>
      <c r="J97" s="19"/>
      <c r="K97" s="64"/>
    </row>
    <row r="98" spans="1:11" s="30" customFormat="1" ht="17.25" customHeight="1">
      <c r="A98" s="21"/>
      <c r="B98" s="20"/>
      <c r="C98" s="21"/>
      <c r="D98" s="130"/>
      <c r="E98" s="19"/>
      <c r="F98" s="83"/>
      <c r="G98" s="135"/>
      <c r="H98" s="22"/>
      <c r="I98" s="23"/>
      <c r="J98" s="19"/>
      <c r="K98" s="64"/>
    </row>
    <row r="99" spans="1:11" s="30" customFormat="1" ht="17.25" customHeight="1">
      <c r="A99" s="21"/>
      <c r="B99" s="20"/>
      <c r="C99" s="21"/>
      <c r="D99" s="130"/>
      <c r="E99" s="19"/>
      <c r="F99" s="83"/>
      <c r="G99" s="135"/>
      <c r="H99" s="22"/>
      <c r="I99" s="23"/>
      <c r="J99" s="19"/>
      <c r="K99" s="64"/>
    </row>
    <row r="100" spans="1:11" s="30" customFormat="1" ht="17.25" customHeight="1">
      <c r="A100" s="21"/>
      <c r="B100" s="20"/>
      <c r="C100" s="21"/>
      <c r="D100" s="130"/>
      <c r="E100" s="19"/>
      <c r="F100" s="83"/>
      <c r="G100" s="135"/>
      <c r="H100" s="22"/>
      <c r="I100" s="23"/>
      <c r="J100" s="19"/>
      <c r="K100" s="64"/>
    </row>
    <row r="101" spans="1:11" s="30" customFormat="1" ht="17.25" customHeight="1">
      <c r="A101" s="21"/>
      <c r="B101" s="20"/>
      <c r="C101" s="21"/>
      <c r="D101" s="130"/>
      <c r="E101" s="19"/>
      <c r="F101" s="83"/>
      <c r="G101" s="135"/>
      <c r="H101" s="22"/>
      <c r="I101" s="23"/>
      <c r="J101" s="19"/>
      <c r="K101" s="64"/>
    </row>
    <row r="102" spans="1:11" s="30" customFormat="1" ht="17.25" customHeight="1">
      <c r="A102" s="21"/>
      <c r="B102" s="20"/>
      <c r="C102" s="21"/>
      <c r="D102" s="130"/>
      <c r="E102" s="19"/>
      <c r="F102" s="83"/>
      <c r="G102" s="135"/>
      <c r="H102" s="22"/>
      <c r="I102" s="23"/>
      <c r="J102" s="19"/>
      <c r="K102" s="64"/>
    </row>
    <row r="103" spans="1:11" s="30" customFormat="1" ht="17.25" customHeight="1">
      <c r="A103" s="21"/>
      <c r="B103" s="20"/>
      <c r="C103" s="21"/>
      <c r="D103" s="130"/>
      <c r="E103" s="19"/>
      <c r="F103" s="83"/>
      <c r="G103" s="135"/>
      <c r="H103" s="22"/>
      <c r="I103" s="23"/>
      <c r="J103" s="19"/>
      <c r="K103" s="64"/>
    </row>
    <row r="104" spans="1:11" s="30" customFormat="1" ht="17.25" customHeight="1">
      <c r="A104" s="21"/>
      <c r="B104" s="20"/>
      <c r="C104" s="21"/>
      <c r="D104" s="130"/>
      <c r="E104" s="19"/>
      <c r="F104" s="83"/>
      <c r="G104" s="135"/>
      <c r="H104" s="22"/>
      <c r="I104" s="23"/>
      <c r="J104" s="19"/>
      <c r="K104" s="64"/>
    </row>
    <row r="105" spans="1:11" s="30" customFormat="1" ht="17.25" customHeight="1">
      <c r="A105" s="21"/>
      <c r="B105" s="20"/>
      <c r="C105" s="21"/>
      <c r="D105" s="130"/>
      <c r="E105" s="19"/>
      <c r="F105" s="83"/>
      <c r="G105" s="135"/>
      <c r="H105" s="22"/>
      <c r="I105" s="23"/>
      <c r="J105" s="19"/>
      <c r="K105" s="64"/>
    </row>
    <row r="106" spans="1:11" s="30" customFormat="1" ht="17.25" customHeight="1">
      <c r="A106" s="21"/>
      <c r="B106" s="20"/>
      <c r="C106" s="21"/>
      <c r="D106" s="130"/>
      <c r="E106" s="19"/>
      <c r="F106" s="83"/>
      <c r="G106" s="135"/>
      <c r="H106" s="22"/>
      <c r="I106" s="23"/>
      <c r="J106" s="19"/>
      <c r="K106" s="64"/>
    </row>
    <row r="107" spans="1:11" s="30" customFormat="1" ht="17.25" customHeight="1">
      <c r="A107" s="21"/>
      <c r="B107" s="20"/>
      <c r="C107" s="21"/>
      <c r="D107" s="130"/>
      <c r="E107" s="19"/>
      <c r="F107" s="83"/>
      <c r="G107" s="135"/>
      <c r="H107" s="22"/>
      <c r="I107" s="23"/>
      <c r="J107" s="19"/>
      <c r="K107" s="64"/>
    </row>
    <row r="108" spans="1:11" s="30" customFormat="1" ht="17.25" customHeight="1">
      <c r="A108" s="21"/>
      <c r="B108" s="20"/>
      <c r="C108" s="21"/>
      <c r="D108" s="130"/>
      <c r="E108" s="19"/>
      <c r="F108" s="83"/>
      <c r="G108" s="135"/>
      <c r="H108" s="22"/>
      <c r="I108" s="23"/>
      <c r="J108" s="19"/>
      <c r="K108" s="64"/>
    </row>
    <row r="109" spans="1:11" s="30" customFormat="1" ht="17.25" customHeight="1">
      <c r="A109" s="21"/>
      <c r="B109" s="20"/>
      <c r="C109" s="21"/>
      <c r="D109" s="130"/>
      <c r="E109" s="19"/>
      <c r="F109" s="83"/>
      <c r="G109" s="135"/>
      <c r="H109" s="22"/>
      <c r="I109" s="23"/>
      <c r="J109" s="19"/>
      <c r="K109" s="64"/>
    </row>
    <row r="110" spans="1:11" s="30" customFormat="1" ht="17.25" customHeight="1">
      <c r="A110" s="21"/>
      <c r="B110" s="20"/>
      <c r="C110" s="21"/>
      <c r="D110" s="130"/>
      <c r="E110" s="19"/>
      <c r="F110" s="83"/>
      <c r="G110" s="135"/>
      <c r="H110" s="22"/>
      <c r="I110" s="23"/>
      <c r="J110" s="19"/>
      <c r="K110" s="64"/>
    </row>
    <row r="111" spans="1:11" s="30" customFormat="1" ht="17.25" customHeight="1">
      <c r="A111" s="21"/>
      <c r="B111" s="20"/>
      <c r="C111" s="21"/>
      <c r="D111" s="130"/>
      <c r="E111" s="19"/>
      <c r="F111" s="83"/>
      <c r="G111" s="135"/>
      <c r="H111" s="22"/>
      <c r="I111" s="23"/>
      <c r="J111" s="19"/>
      <c r="K111" s="64"/>
    </row>
    <row r="112" spans="1:11" s="30" customFormat="1" ht="17.25" customHeight="1">
      <c r="A112" s="21"/>
      <c r="B112" s="20"/>
      <c r="C112" s="21"/>
      <c r="D112" s="130"/>
      <c r="E112" s="19"/>
      <c r="F112" s="83"/>
      <c r="G112" s="135"/>
      <c r="H112" s="22"/>
      <c r="I112" s="23"/>
      <c r="J112" s="19"/>
      <c r="K112" s="64"/>
    </row>
    <row r="113" spans="1:45" s="30" customFormat="1" ht="17.25" customHeight="1">
      <c r="A113" s="21"/>
      <c r="B113" s="20"/>
      <c r="C113" s="21"/>
      <c r="D113" s="130"/>
      <c r="E113" s="19"/>
      <c r="F113" s="83"/>
      <c r="G113" s="135"/>
      <c r="H113" s="22"/>
      <c r="I113" s="23"/>
      <c r="J113" s="19"/>
      <c r="K113" s="64"/>
    </row>
    <row r="114" spans="1:45" s="30" customFormat="1" ht="17.25" customHeight="1">
      <c r="A114" s="21"/>
      <c r="B114" s="20"/>
      <c r="C114" s="21"/>
      <c r="D114" s="130"/>
      <c r="E114" s="19"/>
      <c r="F114" s="83"/>
      <c r="G114" s="135"/>
      <c r="H114" s="22"/>
      <c r="I114" s="23"/>
      <c r="J114" s="19"/>
      <c r="K114" s="64"/>
    </row>
    <row r="115" spans="1:45" s="30" customFormat="1" ht="17.25" customHeight="1">
      <c r="A115" s="21"/>
      <c r="B115" s="20"/>
      <c r="C115" s="21"/>
      <c r="D115" s="130"/>
      <c r="E115" s="19"/>
      <c r="F115" s="83"/>
      <c r="G115" s="135"/>
      <c r="H115" s="22"/>
      <c r="I115" s="23"/>
      <c r="J115" s="19"/>
      <c r="K115" s="64"/>
    </row>
    <row r="116" spans="1:45" s="31" customFormat="1" ht="17.25" customHeight="1">
      <c r="A116" s="21"/>
      <c r="B116" s="20"/>
      <c r="C116" s="21"/>
      <c r="D116" s="130"/>
      <c r="E116" s="19"/>
      <c r="F116" s="83"/>
      <c r="G116" s="135"/>
      <c r="H116" s="22"/>
      <c r="I116" s="23"/>
      <c r="J116" s="19"/>
      <c r="K116" s="65"/>
      <c r="L116" s="65"/>
    </row>
    <row r="117" spans="1:45" s="31" customFormat="1" ht="17.25" customHeight="1">
      <c r="A117" s="21"/>
      <c r="B117" s="20"/>
      <c r="C117" s="21"/>
      <c r="D117" s="130"/>
      <c r="E117" s="19"/>
      <c r="F117" s="83"/>
      <c r="G117" s="135"/>
      <c r="H117" s="22"/>
      <c r="I117" s="23"/>
      <c r="J117" s="19"/>
      <c r="K117" s="65"/>
      <c r="L117" s="65"/>
    </row>
    <row r="118" spans="1:45" s="31" customFormat="1" ht="17.25" customHeight="1">
      <c r="A118" s="21"/>
      <c r="B118" s="20"/>
      <c r="C118" s="21"/>
      <c r="D118" s="130"/>
      <c r="E118" s="19"/>
      <c r="F118" s="83"/>
      <c r="G118" s="135"/>
      <c r="H118" s="22"/>
      <c r="I118" s="23"/>
      <c r="J118" s="19"/>
      <c r="K118" s="65"/>
      <c r="L118" s="65"/>
    </row>
    <row r="119" spans="1:45" s="31" customFormat="1" ht="17.25" customHeight="1">
      <c r="A119" s="21"/>
      <c r="B119" s="20"/>
      <c r="C119" s="21"/>
      <c r="D119" s="130"/>
      <c r="E119" s="19"/>
      <c r="F119" s="83"/>
      <c r="G119" s="135"/>
      <c r="H119" s="22"/>
      <c r="I119" s="23"/>
      <c r="J119" s="19"/>
      <c r="K119" s="65"/>
      <c r="L119" s="65"/>
    </row>
    <row r="120" spans="1:45" s="31" customFormat="1" ht="17.25" customHeight="1">
      <c r="A120" s="21"/>
      <c r="B120" s="20"/>
      <c r="C120" s="21"/>
      <c r="D120" s="130"/>
      <c r="E120" s="19"/>
      <c r="F120" s="83"/>
      <c r="G120" s="135"/>
      <c r="H120" s="22"/>
      <c r="I120" s="23"/>
      <c r="J120" s="19"/>
      <c r="K120" s="65"/>
      <c r="L120" s="65"/>
    </row>
    <row r="121" spans="1:45" s="31" customFormat="1" ht="17.25" customHeight="1">
      <c r="A121" s="21"/>
      <c r="B121" s="20"/>
      <c r="C121" s="21"/>
      <c r="D121" s="130"/>
      <c r="E121" s="19"/>
      <c r="F121" s="83"/>
      <c r="G121" s="135"/>
      <c r="H121" s="22"/>
      <c r="I121" s="23"/>
      <c r="J121" s="19"/>
      <c r="K121" s="65"/>
      <c r="L121" s="65"/>
    </row>
    <row r="122" spans="1:45" s="31" customFormat="1" ht="17.25" customHeight="1">
      <c r="A122" s="21"/>
      <c r="B122" s="20"/>
      <c r="C122" s="21"/>
      <c r="D122" s="130"/>
      <c r="E122" s="19"/>
      <c r="F122" s="83"/>
      <c r="G122" s="135"/>
      <c r="H122" s="22"/>
      <c r="I122" s="23"/>
      <c r="J122" s="19"/>
      <c r="K122" s="65"/>
      <c r="L122" s="65"/>
    </row>
    <row r="123" spans="1:45" s="31" customFormat="1" ht="17.25" customHeight="1">
      <c r="A123" s="21"/>
      <c r="B123" s="20"/>
      <c r="C123" s="21"/>
      <c r="D123" s="130"/>
      <c r="E123" s="19"/>
      <c r="F123" s="83"/>
      <c r="G123" s="135"/>
      <c r="H123" s="22"/>
      <c r="I123" s="23"/>
      <c r="J123" s="19"/>
      <c r="K123" s="65"/>
      <c r="L123" s="65"/>
    </row>
    <row r="124" spans="1:45" s="31" customFormat="1" ht="17.25" customHeight="1">
      <c r="A124" s="21"/>
      <c r="B124" s="20"/>
      <c r="C124" s="21"/>
      <c r="D124" s="130"/>
      <c r="E124" s="19"/>
      <c r="F124" s="83"/>
      <c r="G124" s="135"/>
      <c r="H124" s="22"/>
      <c r="I124" s="23"/>
      <c r="J124" s="19"/>
      <c r="K124" s="65"/>
      <c r="L124" s="65"/>
    </row>
    <row r="125" spans="1:45" s="29" customFormat="1" ht="17.25" customHeight="1">
      <c r="A125" s="21"/>
      <c r="B125" s="20"/>
      <c r="C125" s="21"/>
      <c r="D125" s="130"/>
      <c r="E125" s="19"/>
      <c r="F125" s="83"/>
      <c r="G125" s="135"/>
      <c r="H125" s="22"/>
      <c r="I125" s="23"/>
      <c r="J125" s="19"/>
      <c r="K125" s="66"/>
      <c r="L125" s="66"/>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row>
    <row r="126" spans="1:45" s="32" customFormat="1" ht="17.25" customHeight="1">
      <c r="A126" s="21"/>
      <c r="B126" s="20"/>
      <c r="C126" s="21"/>
      <c r="D126" s="130"/>
      <c r="E126" s="19"/>
      <c r="F126" s="83"/>
      <c r="G126" s="135"/>
      <c r="H126" s="22"/>
      <c r="I126" s="23"/>
      <c r="J126" s="19"/>
      <c r="K126" s="66"/>
      <c r="L126" s="67"/>
    </row>
    <row r="127" spans="1:45" s="32" customFormat="1" ht="17.25" customHeight="1">
      <c r="A127" s="21"/>
      <c r="B127" s="20"/>
      <c r="C127" s="21"/>
      <c r="D127" s="130"/>
      <c r="E127" s="19"/>
      <c r="F127" s="83"/>
      <c r="G127" s="135"/>
      <c r="H127" s="22"/>
      <c r="I127" s="23"/>
      <c r="J127" s="19"/>
      <c r="K127" s="66"/>
      <c r="L127" s="67"/>
    </row>
    <row r="128" spans="1:45" s="32" customFormat="1" ht="17.25" customHeight="1">
      <c r="A128" s="21"/>
      <c r="B128" s="20"/>
      <c r="C128" s="21"/>
      <c r="D128" s="130"/>
      <c r="E128" s="19"/>
      <c r="F128" s="83"/>
      <c r="G128" s="135"/>
      <c r="H128" s="22"/>
      <c r="I128" s="23"/>
      <c r="J128" s="19"/>
      <c r="K128" s="66"/>
      <c r="L128" s="67"/>
    </row>
    <row r="129" spans="1:45" s="32" customFormat="1" ht="17.25" customHeight="1">
      <c r="A129" s="21"/>
      <c r="B129" s="20"/>
      <c r="C129" s="21"/>
      <c r="D129" s="130"/>
      <c r="E129" s="19"/>
      <c r="F129" s="83"/>
      <c r="G129" s="135"/>
      <c r="H129" s="22"/>
      <c r="I129" s="23"/>
      <c r="J129" s="19"/>
      <c r="K129" s="66"/>
      <c r="L129" s="67"/>
    </row>
    <row r="130" spans="1:45" s="32" customFormat="1" ht="17.25" customHeight="1">
      <c r="A130" s="21"/>
      <c r="B130" s="20"/>
      <c r="C130" s="21"/>
      <c r="D130" s="130"/>
      <c r="E130" s="19"/>
      <c r="F130" s="83"/>
      <c r="G130" s="135"/>
      <c r="H130" s="22"/>
      <c r="I130" s="23"/>
      <c r="J130" s="19"/>
      <c r="K130" s="66"/>
      <c r="L130" s="67"/>
    </row>
    <row r="131" spans="1:45" s="32" customFormat="1" ht="17.25" customHeight="1">
      <c r="A131" s="21"/>
      <c r="B131" s="20"/>
      <c r="C131" s="21"/>
      <c r="D131" s="130"/>
      <c r="E131" s="19"/>
      <c r="F131" s="83"/>
      <c r="G131" s="135"/>
      <c r="H131" s="22"/>
      <c r="I131" s="23"/>
      <c r="J131" s="19"/>
      <c r="K131" s="66"/>
      <c r="L131" s="67"/>
    </row>
    <row r="132" spans="1:45" s="29" customFormat="1" ht="17.25" customHeight="1">
      <c r="A132" s="21"/>
      <c r="B132" s="20"/>
      <c r="C132" s="21"/>
      <c r="D132" s="130"/>
      <c r="E132" s="19"/>
      <c r="F132" s="83"/>
      <c r="G132" s="135"/>
      <c r="H132" s="22"/>
      <c r="I132" s="23"/>
      <c r="J132" s="19"/>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row>
    <row r="133" spans="1:45" s="29" customFormat="1" ht="17.25" customHeight="1">
      <c r="A133" s="21"/>
      <c r="B133" s="20"/>
      <c r="C133" s="21"/>
      <c r="D133" s="130"/>
      <c r="E133" s="19"/>
      <c r="F133" s="83"/>
      <c r="G133" s="135"/>
      <c r="H133" s="22"/>
      <c r="I133" s="23"/>
      <c r="J133" s="19"/>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row>
    <row r="134" spans="1:45" ht="15" customHeight="1">
      <c r="K134" s="68"/>
      <c r="L134" s="69"/>
    </row>
    <row r="135" spans="1:45" ht="15" customHeight="1">
      <c r="K135" s="68"/>
      <c r="L135" s="69"/>
    </row>
    <row r="136" spans="1:45" ht="15" customHeight="1">
      <c r="K136" s="68"/>
      <c r="L136" s="69"/>
    </row>
    <row r="137" spans="1:45" ht="15" customHeight="1"/>
    <row r="138" spans="1:45" ht="15" customHeight="1">
      <c r="L138" s="70"/>
    </row>
    <row r="139" spans="1:45" ht="15" customHeight="1"/>
    <row r="140" spans="1:45" ht="18.75" customHeight="1"/>
    <row r="141" spans="1:45" s="38" customFormat="1">
      <c r="A141" s="21"/>
      <c r="B141" s="20"/>
      <c r="C141" s="21"/>
      <c r="D141" s="130"/>
      <c r="E141" s="19"/>
      <c r="F141" s="83"/>
      <c r="G141" s="135"/>
      <c r="H141" s="22"/>
      <c r="I141" s="23"/>
      <c r="J141" s="19"/>
    </row>
    <row r="142" spans="1:45" s="38" customFormat="1" ht="38.25" customHeight="1">
      <c r="A142" s="21"/>
      <c r="B142" s="20"/>
      <c r="C142" s="21"/>
      <c r="D142" s="130"/>
      <c r="E142" s="19"/>
      <c r="F142" s="83"/>
      <c r="G142" s="135"/>
      <c r="H142" s="22"/>
      <c r="I142" s="23"/>
      <c r="J142" s="19"/>
    </row>
    <row r="143" spans="1:45" s="38" customFormat="1" ht="38.25" customHeight="1">
      <c r="A143" s="21"/>
      <c r="B143" s="20"/>
      <c r="C143" s="21"/>
      <c r="D143" s="130"/>
      <c r="E143" s="19"/>
      <c r="F143" s="83"/>
      <c r="G143" s="135"/>
      <c r="H143" s="22"/>
      <c r="I143" s="23"/>
      <c r="J143" s="19"/>
    </row>
    <row r="144" spans="1:45" s="38" customFormat="1" ht="38.25" customHeight="1">
      <c r="A144" s="21"/>
      <c r="B144" s="20"/>
      <c r="C144" s="21"/>
      <c r="D144" s="130"/>
      <c r="E144" s="19"/>
      <c r="F144" s="83"/>
      <c r="G144" s="135"/>
      <c r="H144" s="22"/>
      <c r="I144" s="23"/>
      <c r="J144" s="19"/>
    </row>
    <row r="145" spans="1:10" s="38" customFormat="1" ht="38.25" customHeight="1">
      <c r="A145" s="21"/>
      <c r="B145" s="20"/>
      <c r="C145" s="21"/>
      <c r="D145" s="130"/>
      <c r="E145" s="19"/>
      <c r="F145" s="83"/>
      <c r="G145" s="135"/>
      <c r="H145" s="22"/>
      <c r="I145" s="23"/>
      <c r="J145" s="19"/>
    </row>
    <row r="146" spans="1:10" s="38" customFormat="1" ht="38.25" customHeight="1">
      <c r="A146" s="21"/>
      <c r="B146" s="20"/>
      <c r="C146" s="21"/>
      <c r="D146" s="130"/>
      <c r="E146" s="19"/>
      <c r="F146" s="83"/>
      <c r="G146" s="135"/>
      <c r="H146" s="22"/>
      <c r="I146" s="23"/>
      <c r="J146" s="19"/>
    </row>
    <row r="147" spans="1:10" s="38" customFormat="1" ht="46.5" customHeight="1">
      <c r="A147" s="21"/>
      <c r="B147" s="20"/>
      <c r="C147" s="21"/>
      <c r="D147" s="130"/>
      <c r="E147" s="19"/>
      <c r="F147" s="83"/>
      <c r="G147" s="135"/>
      <c r="H147" s="22"/>
      <c r="I147" s="23"/>
      <c r="J147" s="19"/>
    </row>
    <row r="148" spans="1:10" s="38" customFormat="1">
      <c r="A148" s="21"/>
      <c r="B148" s="20"/>
      <c r="C148" s="21"/>
      <c r="D148" s="130"/>
      <c r="E148" s="19"/>
      <c r="F148" s="83"/>
      <c r="G148" s="135"/>
      <c r="H148" s="22"/>
      <c r="I148" s="23"/>
      <c r="J148" s="19"/>
    </row>
    <row r="149" spans="1:10" s="38" customFormat="1">
      <c r="A149" s="21"/>
      <c r="B149" s="20"/>
      <c r="C149" s="21"/>
      <c r="D149" s="130"/>
      <c r="E149" s="19"/>
      <c r="F149" s="83"/>
      <c r="G149" s="135"/>
      <c r="H149" s="22"/>
      <c r="I149" s="23"/>
      <c r="J149" s="19"/>
    </row>
    <row r="150" spans="1:10" s="38" customFormat="1" ht="38.25" customHeight="1">
      <c r="A150" s="21"/>
      <c r="B150" s="20"/>
      <c r="C150" s="21"/>
      <c r="D150" s="130"/>
      <c r="E150" s="19"/>
      <c r="F150" s="83"/>
      <c r="G150" s="135"/>
      <c r="H150" s="22"/>
      <c r="I150" s="23"/>
      <c r="J150" s="19"/>
    </row>
    <row r="151" spans="1:10" s="38" customFormat="1" ht="38.25" customHeight="1">
      <c r="A151" s="21"/>
      <c r="B151" s="20"/>
      <c r="C151" s="21"/>
      <c r="D151" s="130"/>
      <c r="E151" s="19"/>
      <c r="F151" s="83"/>
      <c r="G151" s="135"/>
      <c r="H151" s="22"/>
      <c r="I151" s="23"/>
      <c r="J151" s="19"/>
    </row>
    <row r="152" spans="1:10" s="38" customFormat="1" ht="38.25" customHeight="1">
      <c r="A152" s="21"/>
      <c r="B152" s="20"/>
      <c r="C152" s="21"/>
      <c r="D152" s="130"/>
      <c r="E152" s="19"/>
      <c r="F152" s="83"/>
      <c r="G152" s="135"/>
      <c r="H152" s="22"/>
      <c r="I152" s="23"/>
      <c r="J152" s="19"/>
    </row>
    <row r="153" spans="1:10" s="38" customFormat="1" ht="38.25" customHeight="1">
      <c r="A153" s="21"/>
      <c r="B153" s="20"/>
      <c r="C153" s="21"/>
      <c r="D153" s="130"/>
      <c r="E153" s="19"/>
      <c r="F153" s="83"/>
      <c r="G153" s="135"/>
      <c r="H153" s="22"/>
      <c r="I153" s="23"/>
      <c r="J153" s="19"/>
    </row>
    <row r="154" spans="1:10" s="38" customFormat="1">
      <c r="A154" s="21"/>
      <c r="B154" s="20"/>
      <c r="C154" s="21"/>
      <c r="D154" s="130"/>
      <c r="E154" s="19"/>
      <c r="F154" s="83"/>
      <c r="G154" s="135"/>
      <c r="H154" s="22"/>
      <c r="I154" s="23"/>
      <c r="J154" s="19"/>
    </row>
    <row r="155" spans="1:10" s="38" customFormat="1">
      <c r="A155" s="21"/>
      <c r="B155" s="20"/>
      <c r="C155" s="21"/>
      <c r="D155" s="130"/>
      <c r="E155" s="19"/>
      <c r="F155" s="83"/>
      <c r="G155" s="135"/>
      <c r="H155" s="22"/>
      <c r="I155" s="23"/>
      <c r="J155" s="19"/>
    </row>
    <row r="156" spans="1:10" s="38" customFormat="1" ht="38.25" customHeight="1">
      <c r="A156" s="21"/>
      <c r="B156" s="20"/>
      <c r="C156" s="21"/>
      <c r="D156" s="130"/>
      <c r="E156" s="19"/>
      <c r="F156" s="83"/>
      <c r="G156" s="135"/>
      <c r="H156" s="22"/>
      <c r="I156" s="23"/>
      <c r="J156" s="19"/>
    </row>
    <row r="157" spans="1:10" s="38" customFormat="1" ht="38.25" customHeight="1">
      <c r="A157" s="21"/>
      <c r="B157" s="20"/>
      <c r="C157" s="21"/>
      <c r="D157" s="130"/>
      <c r="E157" s="19"/>
      <c r="F157" s="83"/>
      <c r="G157" s="135"/>
      <c r="H157" s="22"/>
      <c r="I157" s="23"/>
      <c r="J157" s="19"/>
    </row>
    <row r="158" spans="1:10" s="38" customFormat="1" ht="38.25" customHeight="1">
      <c r="A158" s="21"/>
      <c r="B158" s="20"/>
      <c r="C158" s="21"/>
      <c r="D158" s="130"/>
      <c r="E158" s="19"/>
      <c r="F158" s="83"/>
      <c r="G158" s="135"/>
      <c r="H158" s="22"/>
      <c r="I158" s="23"/>
      <c r="J158" s="19"/>
    </row>
    <row r="159" spans="1:10" s="38" customFormat="1" ht="38.25" customHeight="1">
      <c r="A159" s="21"/>
      <c r="B159" s="20"/>
      <c r="C159" s="21"/>
      <c r="D159" s="130"/>
      <c r="E159" s="19"/>
      <c r="F159" s="83"/>
      <c r="G159" s="135"/>
      <c r="H159" s="22"/>
      <c r="I159" s="23"/>
      <c r="J159" s="19"/>
    </row>
    <row r="160" spans="1:10" s="38" customFormat="1" ht="38.25" customHeight="1">
      <c r="A160" s="21"/>
      <c r="B160" s="20"/>
      <c r="C160" s="21"/>
      <c r="D160" s="130"/>
      <c r="E160" s="19"/>
      <c r="F160" s="83"/>
      <c r="G160" s="135"/>
      <c r="H160" s="22"/>
      <c r="I160" s="23"/>
      <c r="J160" s="19"/>
    </row>
    <row r="161" spans="1:10" s="38" customFormat="1" ht="38.25" customHeight="1">
      <c r="A161" s="21"/>
      <c r="B161" s="20"/>
      <c r="C161" s="21"/>
      <c r="D161" s="130"/>
      <c r="E161" s="19"/>
      <c r="F161" s="83"/>
      <c r="G161" s="135"/>
      <c r="H161" s="22"/>
      <c r="I161" s="23"/>
      <c r="J161" s="19"/>
    </row>
    <row r="162" spans="1:10" s="38" customFormat="1">
      <c r="A162" s="21"/>
      <c r="B162" s="20"/>
      <c r="C162" s="21"/>
      <c r="D162" s="130"/>
      <c r="E162" s="19"/>
      <c r="F162" s="83"/>
      <c r="G162" s="135"/>
      <c r="H162" s="22"/>
      <c r="I162" s="23"/>
      <c r="J162" s="19"/>
    </row>
    <row r="163" spans="1:10" s="38" customFormat="1">
      <c r="A163" s="21"/>
      <c r="B163" s="20"/>
      <c r="C163" s="21"/>
      <c r="D163" s="130"/>
      <c r="E163" s="19"/>
      <c r="F163" s="83"/>
      <c r="G163" s="135"/>
      <c r="H163" s="22"/>
      <c r="I163" s="23"/>
      <c r="J163" s="19"/>
    </row>
    <row r="164" spans="1:10" s="38" customFormat="1" ht="41.25" customHeight="1">
      <c r="A164" s="21"/>
      <c r="B164" s="20"/>
      <c r="C164" s="21"/>
      <c r="D164" s="130"/>
      <c r="E164" s="19"/>
      <c r="F164" s="83"/>
      <c r="G164" s="135"/>
      <c r="H164" s="22"/>
      <c r="I164" s="23"/>
      <c r="J164" s="19"/>
    </row>
    <row r="165" spans="1:10" s="38" customFormat="1" ht="41.25" customHeight="1">
      <c r="A165" s="21"/>
      <c r="B165" s="20"/>
      <c r="C165" s="21"/>
      <c r="D165" s="130"/>
      <c r="E165" s="19"/>
      <c r="F165" s="83"/>
      <c r="G165" s="135"/>
      <c r="H165" s="22"/>
      <c r="I165" s="23"/>
      <c r="J165" s="19"/>
    </row>
    <row r="166" spans="1:10" s="38" customFormat="1">
      <c r="A166" s="21"/>
      <c r="B166" s="20"/>
      <c r="C166" s="21"/>
      <c r="D166" s="130"/>
      <c r="E166" s="19"/>
      <c r="F166" s="83"/>
      <c r="G166" s="135"/>
      <c r="H166" s="22"/>
      <c r="I166" s="23"/>
      <c r="J166" s="19"/>
    </row>
    <row r="167" spans="1:10" s="38" customFormat="1">
      <c r="A167" s="21"/>
      <c r="B167" s="20"/>
      <c r="C167" s="21"/>
      <c r="D167" s="130"/>
      <c r="E167" s="19"/>
      <c r="F167" s="83"/>
      <c r="G167" s="135"/>
      <c r="H167" s="22"/>
      <c r="I167" s="23"/>
      <c r="J167" s="19"/>
    </row>
    <row r="168" spans="1:10" s="38" customFormat="1" ht="37.5" customHeight="1">
      <c r="A168" s="21"/>
      <c r="B168" s="20"/>
      <c r="C168" s="21"/>
      <c r="D168" s="130"/>
      <c r="E168" s="19"/>
      <c r="F168" s="83"/>
      <c r="G168" s="135"/>
      <c r="H168" s="22"/>
      <c r="I168" s="23"/>
      <c r="J168" s="19"/>
    </row>
    <row r="169" spans="1:10" s="38" customFormat="1">
      <c r="A169" s="21"/>
      <c r="B169" s="20"/>
      <c r="C169" s="21"/>
      <c r="D169" s="130"/>
      <c r="E169" s="19"/>
      <c r="F169" s="83"/>
      <c r="G169" s="135"/>
      <c r="H169" s="22"/>
      <c r="I169" s="23"/>
      <c r="J169" s="19"/>
    </row>
    <row r="170" spans="1:10" s="38" customFormat="1">
      <c r="A170" s="21"/>
      <c r="B170" s="20"/>
      <c r="C170" s="21"/>
      <c r="D170" s="130"/>
      <c r="E170" s="19"/>
      <c r="F170" s="83"/>
      <c r="G170" s="135"/>
      <c r="H170" s="22"/>
      <c r="I170" s="23"/>
      <c r="J170" s="19"/>
    </row>
    <row r="171" spans="1:10" s="38" customFormat="1" ht="38.25" customHeight="1">
      <c r="A171" s="21"/>
      <c r="B171" s="20"/>
      <c r="C171" s="21"/>
      <c r="D171" s="130"/>
      <c r="E171" s="19"/>
      <c r="F171" s="83"/>
      <c r="G171" s="135"/>
      <c r="H171" s="22"/>
      <c r="I171" s="23"/>
      <c r="J171" s="19"/>
    </row>
    <row r="172" spans="1:10" s="38" customFormat="1" ht="38.25" customHeight="1">
      <c r="A172" s="21"/>
      <c r="B172" s="20"/>
      <c r="C172" s="21"/>
      <c r="D172" s="130"/>
      <c r="E172" s="19"/>
      <c r="F172" s="83"/>
      <c r="G172" s="135"/>
      <c r="H172" s="22"/>
      <c r="I172" s="23"/>
      <c r="J172" s="19"/>
    </row>
    <row r="173" spans="1:10" s="38" customFormat="1" ht="38.25" customHeight="1">
      <c r="A173" s="21"/>
      <c r="B173" s="20"/>
      <c r="C173" s="21"/>
      <c r="D173" s="130"/>
      <c r="E173" s="19"/>
      <c r="F173" s="83"/>
      <c r="G173" s="135"/>
      <c r="H173" s="22"/>
      <c r="I173" s="23"/>
      <c r="J173" s="19"/>
    </row>
    <row r="174" spans="1:10" s="38" customFormat="1" ht="13.5" customHeight="1">
      <c r="A174" s="21"/>
      <c r="B174" s="20"/>
      <c r="C174" s="21"/>
      <c r="D174" s="130"/>
      <c r="E174" s="19"/>
      <c r="F174" s="83"/>
      <c r="G174" s="135"/>
      <c r="H174" s="22"/>
      <c r="I174" s="23"/>
      <c r="J174" s="19"/>
    </row>
    <row r="175" spans="1:10" s="38" customFormat="1">
      <c r="A175" s="21"/>
      <c r="B175" s="20"/>
      <c r="C175" s="21"/>
      <c r="D175" s="130"/>
      <c r="E175" s="19"/>
      <c r="F175" s="83"/>
      <c r="G175" s="135"/>
      <c r="H175" s="22"/>
      <c r="I175" s="23"/>
      <c r="J175" s="19"/>
    </row>
    <row r="176" spans="1:10" s="38" customFormat="1" ht="38.25" customHeight="1">
      <c r="A176" s="21"/>
      <c r="B176" s="20"/>
      <c r="C176" s="21"/>
      <c r="D176" s="130"/>
      <c r="E176" s="19"/>
      <c r="F176" s="83"/>
      <c r="G176" s="135"/>
      <c r="H176" s="22"/>
      <c r="I176" s="23"/>
      <c r="J176" s="19"/>
    </row>
    <row r="177" spans="1:10" s="38" customFormat="1">
      <c r="A177" s="21"/>
      <c r="B177" s="20"/>
      <c r="C177" s="21"/>
      <c r="D177" s="130"/>
      <c r="E177" s="19"/>
      <c r="F177" s="83"/>
      <c r="G177" s="135"/>
      <c r="H177" s="22"/>
      <c r="I177" s="23"/>
      <c r="J177" s="19"/>
    </row>
    <row r="178" spans="1:10" s="38" customFormat="1">
      <c r="A178" s="21"/>
      <c r="B178" s="20"/>
      <c r="C178" s="21"/>
      <c r="D178" s="130"/>
      <c r="E178" s="19"/>
      <c r="F178" s="83"/>
      <c r="G178" s="135"/>
      <c r="H178" s="22"/>
      <c r="I178" s="23"/>
      <c r="J178" s="19"/>
    </row>
    <row r="179" spans="1:10" s="38" customFormat="1" ht="37.5" customHeight="1">
      <c r="A179" s="21"/>
      <c r="B179" s="20"/>
      <c r="C179" s="21"/>
      <c r="D179" s="130"/>
      <c r="E179" s="19"/>
      <c r="F179" s="83"/>
      <c r="G179" s="135"/>
      <c r="H179" s="22"/>
      <c r="I179" s="23"/>
      <c r="J179" s="19"/>
    </row>
    <row r="180" spans="1:10" s="38" customFormat="1" ht="37.5" customHeight="1">
      <c r="A180" s="21"/>
      <c r="B180" s="20"/>
      <c r="C180" s="21"/>
      <c r="D180" s="130"/>
      <c r="E180" s="19"/>
      <c r="F180" s="83"/>
      <c r="G180" s="135"/>
      <c r="H180" s="22"/>
      <c r="I180" s="23"/>
      <c r="J180" s="19"/>
    </row>
    <row r="181" spans="1:10" s="38" customFormat="1" ht="37.5" customHeight="1">
      <c r="A181" s="21"/>
      <c r="B181" s="20"/>
      <c r="C181" s="21"/>
      <c r="D181" s="130"/>
      <c r="E181" s="19"/>
      <c r="F181" s="83"/>
      <c r="G181" s="135"/>
      <c r="H181" s="22"/>
      <c r="I181" s="23"/>
      <c r="J181" s="19"/>
    </row>
    <row r="182" spans="1:10" ht="18.75" customHeight="1"/>
    <row r="183" spans="1:10" ht="14.25" customHeight="1"/>
    <row r="184" spans="1:10" ht="14.25" customHeight="1"/>
  </sheetData>
  <sheetProtection formatCells="0" formatColumns="0" formatRows="0" insertRows="0" insertHyperlinks="0" deleteRows="0"/>
  <mergeCells count="65">
    <mergeCell ref="B7:C7"/>
    <mergeCell ref="B8:C8"/>
    <mergeCell ref="B9:C9"/>
    <mergeCell ref="B11:C11"/>
    <mergeCell ref="A4:B4"/>
    <mergeCell ref="B10:C10"/>
    <mergeCell ref="A93:C93"/>
    <mergeCell ref="D93:J93"/>
    <mergeCell ref="A90:J90"/>
    <mergeCell ref="A70:J70"/>
    <mergeCell ref="A91:C92"/>
    <mergeCell ref="D91:J92"/>
    <mergeCell ref="A71:J71"/>
    <mergeCell ref="A75:J75"/>
    <mergeCell ref="A89:J89"/>
    <mergeCell ref="A83:J83"/>
    <mergeCell ref="A84:J84"/>
    <mergeCell ref="A86:J86"/>
    <mergeCell ref="A80:J80"/>
    <mergeCell ref="A81:J81"/>
    <mergeCell ref="A87:J87"/>
    <mergeCell ref="A88:J88"/>
    <mergeCell ref="A85:J85"/>
    <mergeCell ref="A76:J76"/>
    <mergeCell ref="A79:J79"/>
    <mergeCell ref="A78:J78"/>
    <mergeCell ref="A77:J77"/>
    <mergeCell ref="A65:J65"/>
    <mergeCell ref="A74:J74"/>
    <mergeCell ref="A62:J62"/>
    <mergeCell ref="A69:J69"/>
    <mergeCell ref="A52:J52"/>
    <mergeCell ref="A53:J53"/>
    <mergeCell ref="A63:J63"/>
    <mergeCell ref="A72:J72"/>
    <mergeCell ref="A73:J73"/>
    <mergeCell ref="A66:J66"/>
    <mergeCell ref="A67:J67"/>
    <mergeCell ref="A68:J68"/>
    <mergeCell ref="A60:J60"/>
    <mergeCell ref="A61:J61"/>
    <mergeCell ref="A64:C64"/>
    <mergeCell ref="A49:J49"/>
    <mergeCell ref="A50:J50"/>
    <mergeCell ref="A59:J59"/>
    <mergeCell ref="D45:J45"/>
    <mergeCell ref="A45:C45"/>
    <mergeCell ref="A48:J48"/>
    <mergeCell ref="A51:J51"/>
    <mergeCell ref="A54:J54"/>
    <mergeCell ref="A55:J55"/>
    <mergeCell ref="A57:J57"/>
    <mergeCell ref="A58:J58"/>
    <mergeCell ref="B12:C12"/>
    <mergeCell ref="D40:G40"/>
    <mergeCell ref="H40:J40"/>
    <mergeCell ref="D41:G41"/>
    <mergeCell ref="H41:J41"/>
    <mergeCell ref="A16:J16"/>
    <mergeCell ref="D37:G37"/>
    <mergeCell ref="H37:J37"/>
    <mergeCell ref="D38:G38"/>
    <mergeCell ref="H38:J38"/>
    <mergeCell ref="D39:G39"/>
    <mergeCell ref="H39:J39"/>
  </mergeCells>
  <phoneticPr fontId="14" type="noConversion"/>
  <conditionalFormatting sqref="A90:J90">
    <cfRule type="containsText" dxfId="149" priority="1" operator="containsText" text="AUTORIZADO">
      <formula>NOT(ISERROR(SEARCH("AUTORIZADO",A90)))</formula>
    </cfRule>
    <cfRule type="containsText" dxfId="148" priority="2" operator="containsText" text="PENDIENTE">
      <formula>NOT(ISERROR(SEARCH("PENDIENTE",A90)))</formula>
    </cfRule>
  </conditionalFormatting>
  <conditionalFormatting sqref="L138">
    <cfRule type="containsText" dxfId="147" priority="4" operator="containsText" text="REVISA TU ESTRATEGIA">
      <formula>NOT(ISERROR(SEARCH("REVISA TU ESTRATEGIA",L138)))</formula>
    </cfRule>
  </conditionalFormatting>
  <pageMargins left="0.25" right="0.25" top="0.75" bottom="0.75" header="0.3" footer="0.3"/>
  <pageSetup scale="30"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DDC5BA3-7EFA-9341-AD11-7C4F04347320}">
          <x14:formula1>
            <xm:f>Fletes!$A$46:$A$56</xm:f>
          </x14:formula1>
          <xm:sqref>D64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BB614"/>
  <sheetViews>
    <sheetView showGridLines="0" topLeftCell="D1" zoomScale="58" zoomScaleNormal="75" workbookViewId="0">
      <selection activeCell="AA10" sqref="AA10"/>
    </sheetView>
  </sheetViews>
  <sheetFormatPr defaultColWidth="10.85546875" defaultRowHeight="15"/>
  <cols>
    <col min="1" max="1" width="18" customWidth="1"/>
    <col min="2" max="2" width="6.140625" hidden="1" customWidth="1"/>
    <col min="3" max="3" width="24.7109375" customWidth="1"/>
    <col min="4" max="4" width="34" style="1066" customWidth="1"/>
    <col min="5" max="5" width="21.140625" style="1063" customWidth="1"/>
    <col min="6" max="6" width="34" style="1066" customWidth="1"/>
    <col min="7" max="7" width="32.7109375" style="1066" hidden="1" customWidth="1"/>
    <col min="8" max="8" width="15.42578125" style="1066" bestFit="1" customWidth="1"/>
    <col min="9" max="9" width="29.28515625" style="1064" hidden="1" customWidth="1"/>
    <col min="10" max="10" width="24" style="1063" customWidth="1"/>
    <col min="11" max="15" width="24" style="1063" hidden="1" customWidth="1"/>
    <col min="16" max="16" width="24" style="1063" customWidth="1"/>
    <col min="17" max="17" width="24" style="1063" hidden="1" customWidth="1"/>
    <col min="18" max="18" width="24" style="1114" hidden="1" customWidth="1"/>
    <col min="19" max="19" width="21.140625" style="1063" customWidth="1"/>
    <col min="20" max="24" width="21.140625" style="1063" hidden="1" customWidth="1"/>
    <col min="25" max="26" width="26.85546875" style="1063" hidden="1" customWidth="1"/>
    <col min="27" max="27" width="33.42578125" style="1063" customWidth="1"/>
    <col min="28" max="29" width="23.85546875" style="1049" customWidth="1"/>
    <col min="30" max="30" width="21.140625" style="1049" customWidth="1"/>
    <col min="31" max="31" width="21.140625" style="1063" hidden="1" customWidth="1"/>
    <col min="32" max="32" width="19.140625" style="1064" customWidth="1"/>
    <col min="33" max="36" width="25.28515625" style="1064" customWidth="1"/>
    <col min="37" max="39" width="27.7109375" style="1063" hidden="1" customWidth="1"/>
    <col min="40" max="40" width="15.42578125" style="1063" customWidth="1"/>
    <col min="41" max="41" width="17.28515625" hidden="1" customWidth="1"/>
    <col min="42" max="42" width="23" hidden="1" customWidth="1"/>
    <col min="43" max="43" width="12.140625" hidden="1" customWidth="1"/>
    <col min="44" max="44" width="15.140625" hidden="1" customWidth="1"/>
    <col min="45" max="45" width="10.85546875" hidden="1" customWidth="1"/>
    <col min="46" max="46" width="12.140625" hidden="1" customWidth="1"/>
    <col min="47" max="48" width="10.85546875" hidden="1" customWidth="1"/>
    <col min="49" max="50" width="19.42578125" customWidth="1"/>
    <col min="51" max="51" width="20.85546875" customWidth="1"/>
    <col min="52" max="53" width="19.42578125" customWidth="1"/>
  </cols>
  <sheetData>
    <row r="1" spans="1:54" ht="15.95" thickBot="1">
      <c r="D1" s="1"/>
      <c r="F1" s="1"/>
      <c r="G1" s="1"/>
      <c r="H1" s="1"/>
      <c r="R1" s="1063"/>
      <c r="AB1" s="1063"/>
      <c r="AC1" s="1063"/>
      <c r="AD1" s="1063"/>
    </row>
    <row r="2" spans="1:54" ht="72" customHeight="1" thickBot="1">
      <c r="D2" s="1065"/>
      <c r="F2" s="1065"/>
      <c r="G2" s="1065"/>
      <c r="J2" s="1369" t="s">
        <v>62</v>
      </c>
      <c r="K2" s="1370"/>
      <c r="L2" s="1370"/>
      <c r="M2" s="1370"/>
      <c r="N2" s="1370"/>
      <c r="O2" s="1370"/>
      <c r="P2" s="1370"/>
      <c r="Q2" s="1371"/>
      <c r="R2" s="1063"/>
      <c r="S2" s="1140"/>
      <c r="AB2" s="1063"/>
      <c r="AC2" s="1063"/>
      <c r="AD2" s="1063"/>
    </row>
    <row r="3" spans="1:54" ht="35.1" customHeight="1" thickBot="1">
      <c r="A3" s="1388" t="s">
        <v>63</v>
      </c>
      <c r="B3" s="1388"/>
      <c r="C3" s="1388"/>
      <c r="D3" s="1388"/>
      <c r="E3" s="1389"/>
      <c r="F3" s="1067"/>
      <c r="H3" s="1064"/>
      <c r="I3" s="1068"/>
      <c r="J3" s="1066"/>
      <c r="K3" s="1066"/>
      <c r="L3" s="1066"/>
      <c r="M3" s="1066"/>
      <c r="N3" s="1066"/>
      <c r="O3" s="1066"/>
      <c r="P3" s="1068"/>
      <c r="Q3" s="1068"/>
      <c r="R3" s="1068"/>
      <c r="S3" s="1069"/>
      <c r="T3" s="1069"/>
      <c r="U3" s="1069"/>
      <c r="V3" s="1069"/>
      <c r="W3" s="1069"/>
      <c r="X3" s="1069"/>
      <c r="Y3" s="1070"/>
      <c r="Z3" s="1070"/>
      <c r="AA3" s="1070"/>
      <c r="AB3" s="1069"/>
      <c r="AC3" s="1069"/>
      <c r="AD3" s="1069"/>
      <c r="AE3" s="1372" t="s">
        <v>64</v>
      </c>
      <c r="AJ3" s="1063"/>
      <c r="AN3" s="1385" t="s">
        <v>65</v>
      </c>
    </row>
    <row r="4" spans="1:54" ht="20.100000000000001" customHeight="1" thickBot="1">
      <c r="A4" s="1393" t="s">
        <v>66</v>
      </c>
      <c r="B4" s="1393"/>
      <c r="C4" s="1393"/>
      <c r="D4" s="1394"/>
      <c r="E4" s="1071">
        <f>AB574</f>
        <v>0</v>
      </c>
      <c r="F4" s="1072"/>
      <c r="H4" s="1064"/>
      <c r="I4" s="1068"/>
      <c r="J4" s="1132" t="s">
        <v>67</v>
      </c>
      <c r="K4" s="1161"/>
      <c r="L4" s="1161"/>
      <c r="M4" s="1161"/>
      <c r="N4" s="1161"/>
      <c r="O4" s="1161"/>
      <c r="P4" s="1048" t="b">
        <v>1</v>
      </c>
      <c r="Q4" s="1068"/>
      <c r="R4" s="1068"/>
      <c r="S4" s="1069"/>
      <c r="T4" s="1069"/>
      <c r="U4" s="1069"/>
      <c r="V4" s="1069"/>
      <c r="W4" s="1069"/>
      <c r="X4" s="1069"/>
      <c r="Y4" s="1049"/>
      <c r="Z4" s="1049"/>
      <c r="AA4" s="1049"/>
      <c r="AB4" s="1070"/>
      <c r="AC4" s="1069"/>
      <c r="AD4" s="1069"/>
      <c r="AE4" s="1372"/>
      <c r="AJ4" s="1063"/>
      <c r="AN4" s="1385"/>
    </row>
    <row r="5" spans="1:54" ht="24" customHeight="1">
      <c r="A5" s="1376" t="s">
        <v>68</v>
      </c>
      <c r="B5" s="1376"/>
      <c r="C5" s="1376"/>
      <c r="D5" s="1377"/>
      <c r="E5" s="1166">
        <f>$AD$14</f>
        <v>0</v>
      </c>
      <c r="F5" s="1072"/>
      <c r="H5" s="1064"/>
      <c r="I5" s="1066"/>
      <c r="P5" s="1073"/>
      <c r="Q5" s="1074"/>
      <c r="R5" s="1068"/>
      <c r="S5" s="1069"/>
      <c r="T5" s="1069"/>
      <c r="U5" s="1069"/>
      <c r="V5" s="1069"/>
      <c r="W5" s="1069"/>
      <c r="X5" s="1069"/>
      <c r="Y5" s="1049"/>
      <c r="Z5" s="1049"/>
      <c r="AA5" s="1049"/>
      <c r="AB5" s="1070"/>
      <c r="AC5" s="1392" t="s">
        <v>69</v>
      </c>
      <c r="AD5" s="1063"/>
      <c r="AE5" s="1372"/>
      <c r="AJ5" s="1063"/>
      <c r="AN5"/>
    </row>
    <row r="6" spans="1:54" ht="26.1" customHeight="1">
      <c r="A6" s="1376" t="s">
        <v>70</v>
      </c>
      <c r="B6" s="1376"/>
      <c r="C6" s="1376"/>
      <c r="D6" s="1377"/>
      <c r="E6" s="1291" cm="1">
        <f t="array" ref="E6">IFERROR(SUMPRODUCT(($F$15:$F$572&lt;&gt;"")*(ISNUMBER($AB$15:$AB$572)), $AB$15:$AB$572, $AC$15:$AC$572) / SUMPRODUCT(($F$15:$F$572&lt;&gt;"")*(ISNUMBER($AB$15:$AB$572)), $AB$15:$AB$572), 0)</f>
        <v>0</v>
      </c>
      <c r="F6" s="1075"/>
      <c r="H6" s="1064"/>
      <c r="I6" s="1074"/>
      <c r="J6" s="1292" t="e" vm="1">
        <v>#VALUE!</v>
      </c>
      <c r="K6" s="1292"/>
      <c r="L6" s="1292"/>
      <c r="M6" s="1292"/>
      <c r="N6" s="1292"/>
      <c r="O6" s="1292"/>
      <c r="P6" s="1293" cm="1">
        <f t="array" aca="1" ref="P6" ca="1">IF(P4=TRUE,_FV(J6,"Price"),0)</f>
        <v>16.989599999999999</v>
      </c>
      <c r="Q6" s="1074"/>
      <c r="R6" s="1068"/>
      <c r="S6" s="1069"/>
      <c r="T6" s="1069"/>
      <c r="U6" s="1069"/>
      <c r="V6" s="1069"/>
      <c r="W6" s="1069"/>
      <c r="X6" s="1069"/>
      <c r="Y6" s="1049"/>
      <c r="Z6" s="1049"/>
      <c r="AA6" s="1049"/>
      <c r="AB6" s="1069"/>
      <c r="AC6" s="1392"/>
      <c r="AD6" s="1063"/>
      <c r="AE6" s="1064"/>
      <c r="AJ6" s="1063"/>
      <c r="AK6"/>
      <c r="AL6"/>
      <c r="AM6"/>
      <c r="AN6"/>
    </row>
    <row r="7" spans="1:54" ht="21" customHeight="1">
      <c r="A7" s="1376" t="s">
        <v>71</v>
      </c>
      <c r="B7" s="1376"/>
      <c r="C7" s="1376"/>
      <c r="D7" s="1377"/>
      <c r="E7" s="1177">
        <f>AG574</f>
        <v>0</v>
      </c>
      <c r="F7" s="1070"/>
      <c r="G7" s="1170"/>
      <c r="H7" s="1064"/>
      <c r="I7" s="1074"/>
      <c r="J7" s="1074"/>
      <c r="K7" s="1074"/>
      <c r="L7" s="1074"/>
      <c r="M7" s="1074"/>
      <c r="N7" s="1074"/>
      <c r="O7" s="1074"/>
      <c r="P7" s="1073"/>
      <c r="Q7" s="1074"/>
      <c r="R7" s="1076"/>
      <c r="S7" s="1069"/>
      <c r="T7" s="1069"/>
      <c r="U7" s="1069"/>
      <c r="V7" s="1069"/>
      <c r="W7" s="1070"/>
      <c r="X7" s="1069"/>
      <c r="Y7" s="1049"/>
      <c r="Z7" s="1049"/>
      <c r="AA7" s="1049"/>
      <c r="AB7" s="1069"/>
      <c r="AC7" s="1392"/>
      <c r="AD7" s="1063"/>
      <c r="AE7" s="1064"/>
      <c r="AJ7" s="1063"/>
      <c r="AK7"/>
      <c r="AL7"/>
      <c r="AM7"/>
      <c r="AN7"/>
    </row>
    <row r="8" spans="1:54" ht="26.1" customHeight="1">
      <c r="A8" s="1378" t="s">
        <v>72</v>
      </c>
      <c r="B8" s="1379"/>
      <c r="C8" s="1379"/>
      <c r="D8" s="1380"/>
      <c r="E8" s="1175">
        <f>AK574</f>
        <v>0</v>
      </c>
      <c r="F8" s="1072"/>
      <c r="H8" s="1064"/>
      <c r="I8" s="1074"/>
      <c r="J8" s="1138" t="s">
        <v>73</v>
      </c>
      <c r="K8" s="1138"/>
      <c r="L8" s="1138"/>
      <c r="M8" s="1138"/>
      <c r="N8" s="1138"/>
      <c r="O8" s="1138"/>
      <c r="P8" s="1139" t="str">
        <f>Cotizacion!$D$64</f>
        <v>CDMX</v>
      </c>
      <c r="Q8" s="1074"/>
      <c r="R8" s="1077"/>
      <c r="S8" s="1156"/>
      <c r="T8" s="1069"/>
      <c r="U8" s="1069"/>
      <c r="V8" s="1069"/>
      <c r="W8" s="1069"/>
      <c r="X8" s="1069"/>
      <c r="Y8" s="1049"/>
      <c r="Z8" s="1049"/>
      <c r="AA8" s="1049"/>
      <c r="AB8" s="1069"/>
      <c r="AC8" s="1392"/>
      <c r="AD8" s="1063"/>
      <c r="AE8" s="1064"/>
      <c r="AH8" s="1158" t="s">
        <v>74</v>
      </c>
      <c r="AI8" s="1279">
        <v>0.05</v>
      </c>
      <c r="AJ8" s="1063"/>
      <c r="AK8"/>
      <c r="AL8"/>
      <c r="AM8"/>
      <c r="AN8"/>
      <c r="AO8" s="744"/>
    </row>
    <row r="9" spans="1:54" ht="26.1" customHeight="1">
      <c r="A9" s="1378" t="s">
        <v>75</v>
      </c>
      <c r="B9" s="1379"/>
      <c r="C9" s="1379"/>
      <c r="D9" s="1380"/>
      <c r="E9" s="1175" cm="1">
        <f t="array" ref="E9">ROUND(IFERROR(1-SUMPRODUCT(($A$14:$A$571=TRUE)*($H$14:$H$571)*($AI$14:$AI$571))/SUMPRODUCT(($A$14:$A$571=TRUE)*($H$14:$H$571)*($Z$14:$Z$571)),0),2)</f>
        <v>0</v>
      </c>
      <c r="F9" s="1072"/>
      <c r="H9" s="1064"/>
      <c r="I9" s="1074"/>
      <c r="K9" s="1138"/>
      <c r="L9" s="1138"/>
      <c r="M9" s="1138"/>
      <c r="N9" s="1138"/>
      <c r="O9" s="1138"/>
      <c r="P9" s="1138"/>
      <c r="Q9" s="1074"/>
      <c r="R9" s="1077"/>
      <c r="S9" s="1156"/>
      <c r="T9" s="1069"/>
      <c r="U9" s="1069"/>
      <c r="V9" s="1069"/>
      <c r="W9" s="1069"/>
      <c r="X9" s="1069"/>
      <c r="Y9" s="1049"/>
      <c r="Z9" s="1049"/>
      <c r="AA9" s="1049"/>
      <c r="AC9" s="1069"/>
      <c r="AD9" s="1063"/>
      <c r="AE9" s="1064"/>
      <c r="AI9"/>
      <c r="AJ9" s="1063"/>
      <c r="AK9"/>
      <c r="AL9"/>
      <c r="AM9"/>
      <c r="AN9"/>
      <c r="AO9" s="744"/>
    </row>
    <row r="10" spans="1:54" ht="27.95" customHeight="1">
      <c r="D10" s="1069"/>
      <c r="E10" s="1069"/>
      <c r="F10" s="1069"/>
      <c r="G10" s="1069"/>
      <c r="J10" s="1138" t="s">
        <v>76</v>
      </c>
      <c r="K10" s="1074"/>
      <c r="L10" s="1074"/>
      <c r="M10" s="1074"/>
      <c r="N10" s="1074"/>
      <c r="O10" s="1074"/>
      <c r="P10" s="1139"/>
      <c r="Q10" s="1073"/>
      <c r="R10" s="1070"/>
      <c r="S10" s="1156"/>
      <c r="T10" s="1069"/>
      <c r="U10" s="1069"/>
      <c r="V10" s="1069"/>
      <c r="W10" s="1069"/>
      <c r="X10" s="1069"/>
      <c r="Y10" s="1069"/>
      <c r="Z10" s="1069"/>
      <c r="AA10" s="1069"/>
      <c r="AC10" s="1069"/>
      <c r="AD10" s="1069"/>
      <c r="AN10"/>
      <c r="AP10" s="744"/>
      <c r="AW10" s="1043"/>
      <c r="AX10" s="1043"/>
      <c r="AY10" s="1043"/>
      <c r="AZ10" s="1044"/>
      <c r="BA10" s="1078"/>
      <c r="BB10" s="1078"/>
    </row>
    <row r="11" spans="1:54" ht="15.95">
      <c r="A11" s="1079" t="s">
        <v>77</v>
      </c>
      <c r="E11" s="1069"/>
      <c r="F11" s="1079"/>
      <c r="G11" s="1079"/>
      <c r="H11" s="1079"/>
      <c r="I11" s="1074"/>
      <c r="J11" s="1069"/>
      <c r="K11" s="1069"/>
      <c r="L11" s="1069"/>
      <c r="M11" s="1069" t="s">
        <v>78</v>
      </c>
      <c r="N11" s="1069"/>
      <c r="O11" s="1069"/>
      <c r="P11" s="1069"/>
      <c r="Q11" s="1069"/>
      <c r="R11" s="1069"/>
      <c r="S11" s="1069"/>
      <c r="T11" s="1069"/>
      <c r="U11" s="1069"/>
      <c r="V11" s="1069"/>
      <c r="W11" s="1069"/>
      <c r="X11" s="1069"/>
      <c r="Y11" s="1069"/>
      <c r="Z11" s="1069"/>
      <c r="AA11" s="1069"/>
      <c r="AC11" s="1069"/>
      <c r="AD11" s="1069"/>
      <c r="AN11"/>
      <c r="AP11" s="744"/>
      <c r="AW11" s="1043"/>
      <c r="AX11" s="1043"/>
      <c r="AY11" s="1043"/>
      <c r="AZ11" s="1044"/>
      <c r="BA11" s="1078"/>
      <c r="BB11" s="1078"/>
    </row>
    <row r="12" spans="1:54" ht="21" customHeight="1" thickBot="1">
      <c r="A12" s="1381" t="s">
        <v>79</v>
      </c>
      <c r="B12" s="1381" t="s">
        <v>80</v>
      </c>
      <c r="C12" s="1381" t="s">
        <v>81</v>
      </c>
      <c r="D12" s="1381" t="s">
        <v>82</v>
      </c>
      <c r="E12" s="1390" t="s">
        <v>83</v>
      </c>
      <c r="F12" s="1381" t="s">
        <v>84</v>
      </c>
      <c r="G12" s="1381" t="s">
        <v>85</v>
      </c>
      <c r="H12" s="1383" t="s">
        <v>86</v>
      </c>
      <c r="I12" s="1386" t="s">
        <v>87</v>
      </c>
      <c r="J12" s="1387"/>
      <c r="K12" s="1387"/>
      <c r="L12" s="1387"/>
      <c r="M12" s="1387"/>
      <c r="N12" s="1387"/>
      <c r="O12" s="1387"/>
      <c r="P12" s="1387"/>
      <c r="Q12" s="1387"/>
      <c r="R12" s="1387"/>
      <c r="S12" s="1387"/>
      <c r="T12" s="1387"/>
      <c r="U12" s="1387"/>
      <c r="V12" s="1387"/>
      <c r="W12" s="1387"/>
      <c r="X12" s="1387"/>
      <c r="Y12" s="1395" t="s">
        <v>88</v>
      </c>
      <c r="Z12" s="1395"/>
      <c r="AA12" s="1395"/>
      <c r="AB12" s="1395"/>
      <c r="AC12" s="1395"/>
      <c r="AD12" s="1395"/>
      <c r="AE12" s="1395"/>
      <c r="AF12" s="1395"/>
      <c r="AG12" s="1395"/>
      <c r="AH12" s="1395"/>
      <c r="AI12" s="1395"/>
      <c r="AJ12" s="1395"/>
      <c r="AK12" s="1080"/>
      <c r="AL12" s="1285"/>
      <c r="AM12" s="1285"/>
      <c r="AN12"/>
      <c r="AP12" s="1050"/>
      <c r="AW12" s="1043"/>
      <c r="AX12" s="1043"/>
      <c r="AY12" s="1043"/>
      <c r="AZ12" s="1061" t="b">
        <f>IF(F16="Requiez",Z16&lt;=$AS$578,IF(F16="Labenze",Z16&lt;=$AS$579,IF(F16="Infinity",Z16&lt;=$AR$580,IF(F16="Offiho",Z16&lt;=$AR$581,IF(F16="MetalWork",Z16&lt;=$AR$582,IF(F16="Jome",Z16&lt;=$AR$583,IF(F16="Sunon Inc",Z16&lt;=$AR$584,IF(F16="Vandesk",Z16&lt;=$AR$585,IF(F16="Conceptos",Z16&lt;=$AR$586,IF(F16="Tarkett",Z16&lt;=$AR$587,IF(F16="Tarkett Stock",Z16&lt;=$AR$588,IF(F16="Tarkett Europa",Z16&lt;=$AR$589,IF(F16="Tarkett - Santeco /Nva.Ave",Z16&lt;=$AR$590,IF(F16="Lumbro",Z16&lt;=$AR$591,IF(F16="Cristales",Z16&lt;=$AR$592,IF(F16="Sunon Mty",Z16&lt;=$AR$593,IF(F16="Leds",Z16&lt;=$AR$594,IF(F16="Herrajes",Z16&lt;=$AR$595,IF(F16="Acabados",Z16&lt;=$AR$596,IF(F16="Andreu World",Z16&lt;=$AR$597,IF(F16="Lauco",Z16&lt;=$AR$598,IF(F16="Mamparas",Z16&lt;=$AR$599))))))))))))))))))))))</f>
        <v>0</v>
      </c>
      <c r="BA12" s="1078"/>
      <c r="BB12" s="1078"/>
    </row>
    <row r="13" spans="1:54" ht="66">
      <c r="A13" s="1382"/>
      <c r="B13" s="1382"/>
      <c r="C13" s="1382"/>
      <c r="D13" s="1382"/>
      <c r="E13" s="1391"/>
      <c r="F13" s="1382"/>
      <c r="G13" s="1382"/>
      <c r="H13" s="1384"/>
      <c r="I13" s="1082" t="s">
        <v>89</v>
      </c>
      <c r="J13" s="1082" t="s">
        <v>90</v>
      </c>
      <c r="K13" s="1082" t="s">
        <v>91</v>
      </c>
      <c r="L13" s="1082" t="s">
        <v>92</v>
      </c>
      <c r="M13" s="1082" t="s">
        <v>93</v>
      </c>
      <c r="N13" s="1082" t="s">
        <v>94</v>
      </c>
      <c r="O13" s="1082" t="s">
        <v>95</v>
      </c>
      <c r="P13" s="1083" t="s">
        <v>96</v>
      </c>
      <c r="Q13" s="1082" t="s">
        <v>97</v>
      </c>
      <c r="R13" s="1082" t="s">
        <v>98</v>
      </c>
      <c r="S13" s="1081" t="s">
        <v>99</v>
      </c>
      <c r="T13" s="1081" t="s">
        <v>100</v>
      </c>
      <c r="U13" s="1081" t="s">
        <v>101</v>
      </c>
      <c r="V13" s="1081" t="s">
        <v>102</v>
      </c>
      <c r="W13" s="1081" t="s">
        <v>103</v>
      </c>
      <c r="X13" s="1081" t="s">
        <v>104</v>
      </c>
      <c r="Y13" s="1084" t="s">
        <v>105</v>
      </c>
      <c r="Z13" s="1084" t="s">
        <v>106</v>
      </c>
      <c r="AA13" s="1084" t="s">
        <v>106</v>
      </c>
      <c r="AB13" s="1084" t="s">
        <v>107</v>
      </c>
      <c r="AC13" s="1081" t="s">
        <v>108</v>
      </c>
      <c r="AD13" s="1081" t="s">
        <v>109</v>
      </c>
      <c r="AE13" s="1081" t="s">
        <v>110</v>
      </c>
      <c r="AF13" s="1085" t="s">
        <v>111</v>
      </c>
      <c r="AG13" s="1085" t="s">
        <v>112</v>
      </c>
      <c r="AH13" s="1086" t="s">
        <v>113</v>
      </c>
      <c r="AI13" s="1086" t="s">
        <v>114</v>
      </c>
      <c r="AJ13" s="1086" t="s">
        <v>115</v>
      </c>
      <c r="AK13" s="1081" t="s">
        <v>116</v>
      </c>
      <c r="AL13" s="1286"/>
      <c r="AM13" s="1286"/>
      <c r="AN13"/>
      <c r="AO13" s="1051"/>
      <c r="AP13" s="1050"/>
      <c r="AQ13" s="1052"/>
      <c r="AW13" s="1155"/>
      <c r="AX13" s="1414" t="s">
        <v>117</v>
      </c>
      <c r="AY13" s="1415"/>
      <c r="AZ13" s="1416"/>
      <c r="BA13" s="1411" t="s">
        <v>118</v>
      </c>
      <c r="BB13" s="1078"/>
    </row>
    <row r="14" spans="1:54" ht="26.1" customHeight="1" thickBot="1">
      <c r="A14" s="1032" t="b">
        <v>1</v>
      </c>
      <c r="B14" s="1087"/>
      <c r="C14" s="1135" t="s">
        <v>119</v>
      </c>
      <c r="D14" s="1396" t="s">
        <v>120</v>
      </c>
      <c r="E14" s="1397"/>
      <c r="F14" s="1397"/>
      <c r="G14" s="1397"/>
      <c r="H14" s="1397"/>
      <c r="I14" s="1397"/>
      <c r="J14" s="1398"/>
      <c r="K14" s="1160"/>
      <c r="L14" s="1160"/>
      <c r="M14" s="1160"/>
      <c r="N14" s="1160"/>
      <c r="O14" s="1160"/>
      <c r="P14" s="1088"/>
      <c r="Q14" s="1088"/>
      <c r="R14" s="1088"/>
      <c r="S14" s="1087"/>
      <c r="T14" s="1087"/>
      <c r="U14" s="1087"/>
      <c r="V14" s="1087"/>
      <c r="W14" s="1087"/>
      <c r="X14" s="1087"/>
      <c r="Y14" s="1087"/>
      <c r="Z14" s="1087"/>
      <c r="AA14" s="1087"/>
      <c r="AB14" s="1087"/>
      <c r="AC14" s="1087"/>
      <c r="AD14" s="1265">
        <v>0</v>
      </c>
      <c r="AE14" s="1087"/>
      <c r="AF14" s="1087"/>
      <c r="AG14" s="1087"/>
      <c r="AH14" s="1087"/>
      <c r="AI14" s="1087"/>
      <c r="AJ14" s="1087"/>
      <c r="AK14" s="1089"/>
      <c r="AL14" s="1287"/>
      <c r="AM14" s="1287"/>
      <c r="AN14"/>
      <c r="AO14" s="1050"/>
      <c r="AR14" s="1050"/>
      <c r="AW14" s="1155"/>
      <c r="AX14" s="1417"/>
      <c r="AY14" s="1418"/>
      <c r="AZ14" s="1419"/>
      <c r="BA14" s="1412"/>
      <c r="BB14" s="1078"/>
    </row>
    <row r="15" spans="1:54" ht="17.100000000000001" thickBot="1">
      <c r="A15" s="1090" t="b">
        <f t="shared" ref="A15:A47" si="0">$A$14</f>
        <v>1</v>
      </c>
      <c r="B15" s="1091" t="b">
        <f>A15</f>
        <v>1</v>
      </c>
      <c r="C15" s="1092" t="str">
        <f>C14</f>
        <v>Dólares</v>
      </c>
      <c r="D15" s="11"/>
      <c r="E15" s="743"/>
      <c r="F15" s="17"/>
      <c r="G15" s="17" t="str">
        <f>IFERROR(VLOOKUP(F15,Tabla_Proveedores_1,2,0)," ")</f>
        <v xml:space="preserve"> </v>
      </c>
      <c r="H15" s="12">
        <v>0</v>
      </c>
      <c r="I15" s="16" t="str">
        <f>IFERROR(VLOOKUP(G15,Proveedores!B:C,2,0)," ")</f>
        <v xml:space="preserve"> </v>
      </c>
      <c r="J15" s="745">
        <v>0</v>
      </c>
      <c r="K15" s="745" t="str">
        <f t="shared" ref="K15:K47" si="1">IFERROR(VLOOKUP(TRIM(F15), ProveedoreS_TC, 5, FALSE), "Not Found")</f>
        <v>Not Found</v>
      </c>
      <c r="L15" s="16">
        <f>IF(K15="Importado",Fletes!$B$66,0%)</f>
        <v>0</v>
      </c>
      <c r="M15" s="745">
        <f>IF(K15="Importado",J15*(1+L15),J15*(1+L15))</f>
        <v>0</v>
      </c>
      <c r="N15" s="16">
        <f>IF(K15&lt;&gt;"Importado",0%,IF(Fletes!$B$67&lt;10,15%,IF(Fletes!$B$67&lt;20,10%,5%)))</f>
        <v>0</v>
      </c>
      <c r="O15" s="745" t="str">
        <f>IFERROR(IF(OR(F15="Offiho",F15="Lauco Sofas",F15="Requiez",F15="Labenze",F15="Sunon Mty",F15="Sonara"),(M15*(1-_xlfn.XLOOKUP(F15,Proveedores!A:A,Proveedores!I:I)))*(1+N15),((M15*(1-_xlfn.XLOOKUP(F15,Proveedores!A:A,Proveedores!I:I)))*(1+N15))+U15),"")</f>
        <v/>
      </c>
      <c r="P15" s="1031"/>
      <c r="Q15" s="1133">
        <f>IF(K15&lt;&gt;"Importado",0,IF(P15&gt;0,P15*H15,IFERROR(_xlfn.XLOOKUP(F15,Proveedores!A:A,Proveedores!F:F,0)*H15,0)))</f>
        <v>0</v>
      </c>
      <c r="R15" s="1134" t="e">
        <f>O15*H15</f>
        <v>#VALUE!</v>
      </c>
      <c r="S15" s="743"/>
      <c r="T15" s="1034" t="e">
        <f t="shared" ref="T15:T47" si="2">IF(H15&gt;15,0,VLOOKUP(E15,Tabla_Instalacion,2,FALSE))</f>
        <v>#N/A</v>
      </c>
      <c r="U15" s="1034" t="e">
        <f>X15/V15</f>
        <v>#N/A</v>
      </c>
      <c r="V15" s="1165" t="e">
        <f t="shared" ref="V15:V47" si="3">VLOOKUP(E15,Tabla_Factor,2,FALSE)</f>
        <v>#N/A</v>
      </c>
      <c r="W15" s="1034" t="e">
        <f>T15*V15</f>
        <v>#N/A</v>
      </c>
      <c r="X15" s="1034" t="b">
        <f>IF(S15="Occidente",W15,IF(S15="Norte",W15*1.5,IF(S15="Centro",W15*1.2,IF(S15="Sur",W15*1.7))))</f>
        <v>0</v>
      </c>
      <c r="Y15" s="1034">
        <f>ROUNDUP(IF(OR(F15="Offiho",F15="Lauco Sofas",F15="Requiez",F15="Labenze",F15="Sunon Mty",F15="Sonara",F15="Santeco"),J15,IF(K15="Nacional",O15/(1-30%),IF(K15="Importado",O15/(1-40%),IF(OR(F15="Lumbro",F15="Idelika"),O15/(1-20%))))),0)</f>
        <v>0</v>
      </c>
      <c r="Z15" s="1034">
        <f>ROUNDUP(IF(OR(F15="Offiho",F15="Lauco Sofas",F15="Requiez",F15="Labenze",F15="Sunon Mty",F15="Sonara",F15="Sonara"),Y15,IF($P$10="MIXTO",IF(K15="Nacional",Y15/(1-50%),Y15/(1-50%)),IF($P$10="IMPORTADO",Y15/(1-50%),IF($P$10="NACIONAL",Y15/(1-20%),Y15/(1-20%))))),0)</f>
        <v>0</v>
      </c>
      <c r="AA15" s="1034">
        <f t="shared" ref="AA15:AA47" si="4">IF(Z15&gt;=Y15,_xlfn.MINIFS($Z$15:$Z$572,$D$15:$D$572,D15),"NO SE ESTA RESPETANDO EL MARGEN")</f>
        <v>0</v>
      </c>
      <c r="AB15" s="1034">
        <f t="shared" ref="AB15:AB47" si="5">IFERROR(AA15*H15,0)</f>
        <v>0</v>
      </c>
      <c r="AC15" s="1033">
        <f>IF($P$10="IMPORTADO",50%,IF($P$10="NACIONAL",20%,IF($P$10="MIXTO",50%,0%)))</f>
        <v>0</v>
      </c>
      <c r="AD15" s="1266">
        <f>MIN($E$5,AL15)</f>
        <v>0</v>
      </c>
      <c r="AE15" s="1093">
        <f>IFERROR(AA15*AD15,0)</f>
        <v>0</v>
      </c>
      <c r="AF15" s="1093">
        <f>IF($E$5&gt;$E$6,"ERROR",AA15-AE15)</f>
        <v>0</v>
      </c>
      <c r="AG15" s="1093">
        <f t="shared" ref="AG15:AG47" si="6">AF15*H15</f>
        <v>0</v>
      </c>
      <c r="AH15" s="1033" t="e">
        <f t="shared" ref="AH15:AH47" si="7">IF(A16=TRUE,MAX(0,1-(AI15/Z15)),"NA")</f>
        <v>#DIV/0!</v>
      </c>
      <c r="AI15" s="1091">
        <f t="shared" ref="AI15:AI47" si="8">IF(A14=FALSE,"NO APLICA",AF15*(1+$AI$8))</f>
        <v>0</v>
      </c>
      <c r="AJ15" s="1094">
        <f t="shared" ref="AJ15:AJ47" si="9">AI15*H15</f>
        <v>0</v>
      </c>
      <c r="AK15" s="1053" t="str">
        <f>IFERROR(IF(OR(F15="Offiho",F15="Vandesk",F15="Requiez",F15="Labenze",F15="Idelika",F15="Sunon Mty"),(AG15-(J15*(1-I15)*H15))/AG15,(AG15-R15)/AG15),"")</f>
        <v/>
      </c>
      <c r="AL15" s="1053">
        <f>_xlfn.XLOOKUP(F15,Proveedores!A:A,Proveedores!H:H)</f>
        <v>0</v>
      </c>
      <c r="AM15" s="1290">
        <f>_xlfn.XLOOKUP(F15,Proveedores!A:A,Proveedores!G:G)</f>
        <v>0</v>
      </c>
      <c r="AN15" s="1095" t="str">
        <f>IF(AK15&lt;AM15,"ERROR","OK")</f>
        <v>OK</v>
      </c>
      <c r="AP15" s="1050"/>
      <c r="AX15" s="1402" t="s">
        <v>121</v>
      </c>
      <c r="AY15" s="1403"/>
      <c r="AZ15" s="1404"/>
      <c r="BA15" s="1412"/>
    </row>
    <row r="16" spans="1:54" ht="15.95">
      <c r="A16" s="1090" t="b">
        <f t="shared" si="0"/>
        <v>1</v>
      </c>
      <c r="B16" s="1091" t="b">
        <f t="shared" ref="B16:B47" si="10">A16</f>
        <v>1</v>
      </c>
      <c r="C16" s="1092" t="str">
        <f t="shared" ref="C16:C47" si="11">$C$14</f>
        <v>Dólares</v>
      </c>
      <c r="D16" s="11"/>
      <c r="E16" s="743"/>
      <c r="F16" s="17"/>
      <c r="G16" s="17" t="str">
        <f t="shared" ref="G16:G47" si="12">IFERROR(VLOOKUP(F16,Tabla_Proveedores_1,2,0)," ")</f>
        <v xml:space="preserve"> </v>
      </c>
      <c r="H16" s="12">
        <v>0</v>
      </c>
      <c r="I16" s="16" t="str">
        <f>IFERROR(VLOOKUP(G16,Proveedores!B:C,2,0)," ")</f>
        <v xml:space="preserve"> </v>
      </c>
      <c r="J16" s="745">
        <v>0</v>
      </c>
      <c r="K16" s="745" t="str">
        <f t="shared" si="1"/>
        <v>Not Found</v>
      </c>
      <c r="L16" s="16">
        <f>IF(K16="Importado",Fletes!$B$66,0%)</f>
        <v>0</v>
      </c>
      <c r="M16" s="745">
        <f t="shared" ref="M16:M47" si="13">IF(K16="Importado",J16*(1+L16),J16*(1+L16))</f>
        <v>0</v>
      </c>
      <c r="N16" s="16">
        <f>IF(K16&lt;&gt;"Importado",0%,IF(Fletes!$B$67&lt;10,15%,IF(Fletes!$B$67&lt;20,10%,5%)))</f>
        <v>0</v>
      </c>
      <c r="O16" s="745" t="str">
        <f>IFERROR(IF(OR(F16="Offiho",F16="Lauco Sofas",F16="Requiez",F16="Labenze",F16="Sunon Mty",F16="Sonara"),(M16*(1-_xlfn.XLOOKUP(F16,Proveedores!A:A,Proveedores!I:I)))*(1+N16),((M16*(1-_xlfn.XLOOKUP(F16,Proveedores!A:A,Proveedores!I:I)))*(1+N16))+U16),"")</f>
        <v/>
      </c>
      <c r="P16" s="1031"/>
      <c r="Q16" s="1133">
        <f>IF(K16&lt;&gt;"Importado",0,IF(P16&gt;0,P16*H16,IFERROR(_xlfn.XLOOKUP(F16,Proveedores!A:A,Proveedores!F:F,0)*H16,0)))</f>
        <v>0</v>
      </c>
      <c r="R16" s="1134" t="e">
        <f>O16*H16</f>
        <v>#VALUE!</v>
      </c>
      <c r="S16" s="743"/>
      <c r="T16" s="1034" t="e">
        <f t="shared" si="2"/>
        <v>#N/A</v>
      </c>
      <c r="U16" s="1034" t="e">
        <f t="shared" ref="U16:U47" si="14">X16/V16</f>
        <v>#N/A</v>
      </c>
      <c r="V16" s="1165" t="e">
        <f t="shared" si="3"/>
        <v>#N/A</v>
      </c>
      <c r="W16" s="1034" t="e">
        <f t="shared" ref="W16:W47" si="15">T16*V16</f>
        <v>#N/A</v>
      </c>
      <c r="X16" s="1034" t="b">
        <f t="shared" ref="X16:X47" si="16">IF(S16="Occidente",W16,IF(S16="Norte",W16*1.5,IF(S16="Centro",W16*1.2,IF(S16="Sur",W16*1.7))))</f>
        <v>0</v>
      </c>
      <c r="Y16" s="1034">
        <f t="shared" ref="Y16:Y47" si="17">ROUNDUP(IF(OR(F16="Offiho",F16="Lauco Sofas",F16="Requiez",F16="Labenze",F16="Sunon Mty",F16="Sonara",F16="Santeco"),J16,IF(K16="Nacional",O16/(1-30%),IF(K16="Importado",O16/(1-40%),IF(OR(F16="Lumbro",F16="Idelika"),O16/(1-20%))))),0)</f>
        <v>0</v>
      </c>
      <c r="Z16" s="1034">
        <f t="shared" ref="Z16:Z47" si="18">ROUNDUP(IF(OR(F16="Offiho",F16="Lauco Sofas",F16="Requiez",F16="Labenze",F16="Sunon Mty",F16="Sonara",F16="Sonara"),Y16,IF($P$10="MIXTO",IF(K16="Nacional",Y16/(1-50%),Y16/(1-50%)),IF($P$10="IMPORTADO",Y16/(1-50%),IF($P$10="NACIONAL",Y16/(1-20%),Y16/(1-20%))))),0)</f>
        <v>0</v>
      </c>
      <c r="AA16" s="1034">
        <f t="shared" si="4"/>
        <v>0</v>
      </c>
      <c r="AB16" s="1034">
        <f t="shared" si="5"/>
        <v>0</v>
      </c>
      <c r="AC16" s="1033">
        <f t="shared" ref="AC16:AC47" si="19">IF($P$10="IMPORTADO",50%,IF($P$10="NACIONAL",20%,IF($P$10="MIXTO",50%,0%)))</f>
        <v>0</v>
      </c>
      <c r="AD16" s="1266">
        <f t="shared" ref="AD16:AD47" si="20">MIN($E$5,AL16)</f>
        <v>0</v>
      </c>
      <c r="AE16" s="1093">
        <f t="shared" ref="AE16:AE47" si="21">IFERROR(AA16*AD16,0)</f>
        <v>0</v>
      </c>
      <c r="AF16" s="1093">
        <f t="shared" ref="AF16:AF47" si="22">IF($E$5&gt;$E$6,"ERROR",AA16-AE16)</f>
        <v>0</v>
      </c>
      <c r="AG16" s="1093">
        <f t="shared" si="6"/>
        <v>0</v>
      </c>
      <c r="AH16" s="1033" t="e">
        <f t="shared" si="7"/>
        <v>#DIV/0!</v>
      </c>
      <c r="AI16" s="1091">
        <f t="shared" si="8"/>
        <v>0</v>
      </c>
      <c r="AJ16" s="1094">
        <f t="shared" si="9"/>
        <v>0</v>
      </c>
      <c r="AK16" s="1053" t="str">
        <f t="shared" ref="AK16:AK47" si="23">IFERROR(IF(OR(F16="Offiho",F16="Vandesk",F16="Requiez",F16="Labenze",F16="Idelika",F16="Sunon Mty"),(AG16-(J16*(1-I16)*H16))/AG16,(AG16-R16)/AG16),"")</f>
        <v/>
      </c>
      <c r="AL16" s="1053">
        <f>_xlfn.XLOOKUP(F16,Proveedores!A:A,Proveedores!H:H)</f>
        <v>0</v>
      </c>
      <c r="AM16" s="1290">
        <f>_xlfn.XLOOKUP(F16,Proveedores!A:A,Proveedores!G:G)</f>
        <v>0</v>
      </c>
      <c r="AN16" s="1095" t="str">
        <f t="shared" ref="AN16:AN47" si="24">IF(AK16&lt;AM16,"ERROR","OK")</f>
        <v>OK</v>
      </c>
      <c r="AX16" s="1153" t="s">
        <v>122</v>
      </c>
      <c r="AY16" s="1405">
        <f>AG574</f>
        <v>0</v>
      </c>
      <c r="AZ16" s="1406"/>
      <c r="BA16" s="1412"/>
    </row>
    <row r="17" spans="1:53" ht="15.95">
      <c r="A17" s="1090" t="b">
        <f t="shared" si="0"/>
        <v>1</v>
      </c>
      <c r="B17" s="1091" t="b">
        <f t="shared" si="10"/>
        <v>1</v>
      </c>
      <c r="C17" s="1092" t="str">
        <f t="shared" si="11"/>
        <v>Dólares</v>
      </c>
      <c r="D17" s="11"/>
      <c r="E17" s="743"/>
      <c r="F17" s="17"/>
      <c r="G17" s="17" t="str">
        <f t="shared" si="12"/>
        <v xml:space="preserve"> </v>
      </c>
      <c r="H17" s="12">
        <v>0</v>
      </c>
      <c r="I17" s="16" t="str">
        <f>IFERROR(VLOOKUP(G17,Proveedores!B:C,2,0)," ")</f>
        <v xml:space="preserve"> </v>
      </c>
      <c r="J17" s="745">
        <v>0</v>
      </c>
      <c r="K17" s="745" t="str">
        <f t="shared" si="1"/>
        <v>Not Found</v>
      </c>
      <c r="L17" s="16">
        <f>IF(K17="Importado",Fletes!$B$66,0%)</f>
        <v>0</v>
      </c>
      <c r="M17" s="745">
        <f t="shared" si="13"/>
        <v>0</v>
      </c>
      <c r="N17" s="16">
        <f>IF(K17&lt;&gt;"Importado",0%,IF(Fletes!$B$67&lt;10,15%,IF(Fletes!$B$67&lt;20,10%,5%)))</f>
        <v>0</v>
      </c>
      <c r="O17" s="745" t="str">
        <f>IFERROR(IF(OR(F17="Offiho",F17="Lauco Sofas",F17="Requiez",F17="Labenze",F17="Sunon Mty",F17="Sonara"),(M17*(1-_xlfn.XLOOKUP(F17,Proveedores!A:A,Proveedores!I:I)))*(1+N17),((M17*(1-_xlfn.XLOOKUP(F17,Proveedores!A:A,Proveedores!I:I)))*(1+N17))+U17),"")</f>
        <v/>
      </c>
      <c r="P17" s="1031"/>
      <c r="Q17" s="1133">
        <f>IF(K17&lt;&gt;"Importado",0,IF(P17&gt;0,P17*H17,IFERROR(_xlfn.XLOOKUP(F17,Proveedores!A:A,Proveedores!F:F,0)*H17,0)))</f>
        <v>0</v>
      </c>
      <c r="R17" s="1134" t="e">
        <f t="shared" ref="R17:R47" si="25">O17*H17</f>
        <v>#VALUE!</v>
      </c>
      <c r="S17" s="743"/>
      <c r="T17" s="1034" t="e">
        <f t="shared" si="2"/>
        <v>#N/A</v>
      </c>
      <c r="U17" s="1034" t="e">
        <f t="shared" si="14"/>
        <v>#N/A</v>
      </c>
      <c r="V17" s="1165" t="e">
        <f t="shared" si="3"/>
        <v>#N/A</v>
      </c>
      <c r="W17" s="1034" t="e">
        <f t="shared" si="15"/>
        <v>#N/A</v>
      </c>
      <c r="X17" s="1034" t="b">
        <f t="shared" si="16"/>
        <v>0</v>
      </c>
      <c r="Y17" s="1034">
        <f t="shared" si="17"/>
        <v>0</v>
      </c>
      <c r="Z17" s="1034">
        <f t="shared" si="18"/>
        <v>0</v>
      </c>
      <c r="AA17" s="1034">
        <f t="shared" si="4"/>
        <v>0</v>
      </c>
      <c r="AB17" s="1034">
        <f t="shared" si="5"/>
        <v>0</v>
      </c>
      <c r="AC17" s="1033">
        <f t="shared" si="19"/>
        <v>0</v>
      </c>
      <c r="AD17" s="1266">
        <f t="shared" si="20"/>
        <v>0</v>
      </c>
      <c r="AE17" s="1093">
        <f t="shared" si="21"/>
        <v>0</v>
      </c>
      <c r="AF17" s="1093">
        <f t="shared" si="22"/>
        <v>0</v>
      </c>
      <c r="AG17" s="1093">
        <f t="shared" si="6"/>
        <v>0</v>
      </c>
      <c r="AH17" s="1033" t="e">
        <f t="shared" si="7"/>
        <v>#DIV/0!</v>
      </c>
      <c r="AI17" s="1091">
        <f t="shared" si="8"/>
        <v>0</v>
      </c>
      <c r="AJ17" s="1094">
        <f t="shared" si="9"/>
        <v>0</v>
      </c>
      <c r="AK17" s="1053" t="str">
        <f t="shared" si="23"/>
        <v/>
      </c>
      <c r="AL17" s="1053">
        <f>_xlfn.XLOOKUP(F17,Proveedores!A:A,Proveedores!H:H)</f>
        <v>0</v>
      </c>
      <c r="AM17" s="1290">
        <f>_xlfn.XLOOKUP(F17,Proveedores!A:A,Proveedores!G:G)</f>
        <v>0</v>
      </c>
      <c r="AN17" s="1095" t="str">
        <f t="shared" si="24"/>
        <v>OK</v>
      </c>
      <c r="AX17" s="1151" t="s">
        <v>123</v>
      </c>
      <c r="AY17" s="1407">
        <f>AJ574</f>
        <v>0</v>
      </c>
      <c r="AZ17" s="1408"/>
      <c r="BA17" s="1412"/>
    </row>
    <row r="18" spans="1:53" ht="15.95">
      <c r="A18" s="1090" t="b">
        <f t="shared" si="0"/>
        <v>1</v>
      </c>
      <c r="B18" s="1091" t="b">
        <f t="shared" si="10"/>
        <v>1</v>
      </c>
      <c r="C18" s="1092" t="str">
        <f t="shared" si="11"/>
        <v>Dólares</v>
      </c>
      <c r="D18" s="11"/>
      <c r="E18" s="743"/>
      <c r="F18" s="17"/>
      <c r="G18" s="17" t="str">
        <f t="shared" si="12"/>
        <v xml:space="preserve"> </v>
      </c>
      <c r="H18" s="12">
        <v>0</v>
      </c>
      <c r="I18" s="16" t="str">
        <f>IFERROR(VLOOKUP(G18,Proveedores!B:C,2,0)," ")</f>
        <v xml:space="preserve"> </v>
      </c>
      <c r="J18" s="745">
        <v>0</v>
      </c>
      <c r="K18" s="745" t="str">
        <f t="shared" si="1"/>
        <v>Not Found</v>
      </c>
      <c r="L18" s="16">
        <f>IF(K18="Importado",Fletes!$B$66,0%)</f>
        <v>0</v>
      </c>
      <c r="M18" s="745">
        <f t="shared" si="13"/>
        <v>0</v>
      </c>
      <c r="N18" s="16">
        <f>IF(K18&lt;&gt;"Importado",0%,IF(Fletes!$B$67&lt;10,15%,IF(Fletes!$B$67&lt;20,10%,5%)))</f>
        <v>0</v>
      </c>
      <c r="O18" s="745" t="str">
        <f>IFERROR(IF(OR(F18="Offiho",F18="Lauco Sofas",F18="Requiez",F18="Labenze",F18="Sunon Mty",F18="Sonara"),(M18*(1-_xlfn.XLOOKUP(F18,Proveedores!A:A,Proveedores!I:I)))*(1+N18),((M18*(1-_xlfn.XLOOKUP(F18,Proveedores!A:A,Proveedores!I:I)))*(1+N18))+U18),"")</f>
        <v/>
      </c>
      <c r="P18" s="1031"/>
      <c r="Q18" s="1133">
        <f>IF(K18&lt;&gt;"Importado",0,IF(P18&gt;0,P18*H18,IFERROR(_xlfn.XLOOKUP(F18,Proveedores!A:A,Proveedores!F:F,0)*H18,0)))</f>
        <v>0</v>
      </c>
      <c r="R18" s="1134" t="e">
        <f t="shared" si="25"/>
        <v>#VALUE!</v>
      </c>
      <c r="S18" s="743"/>
      <c r="T18" s="1034" t="e">
        <f t="shared" si="2"/>
        <v>#N/A</v>
      </c>
      <c r="U18" s="1034" t="e">
        <f t="shared" si="14"/>
        <v>#N/A</v>
      </c>
      <c r="V18" s="1165" t="e">
        <f t="shared" si="3"/>
        <v>#N/A</v>
      </c>
      <c r="W18" s="1034" t="e">
        <f t="shared" si="15"/>
        <v>#N/A</v>
      </c>
      <c r="X18" s="1034" t="b">
        <f t="shared" si="16"/>
        <v>0</v>
      </c>
      <c r="Y18" s="1034">
        <f t="shared" si="17"/>
        <v>0</v>
      </c>
      <c r="Z18" s="1034">
        <f t="shared" si="18"/>
        <v>0</v>
      </c>
      <c r="AA18" s="1034">
        <f t="shared" si="4"/>
        <v>0</v>
      </c>
      <c r="AB18" s="1034">
        <f t="shared" si="5"/>
        <v>0</v>
      </c>
      <c r="AC18" s="1033">
        <f t="shared" si="19"/>
        <v>0</v>
      </c>
      <c r="AD18" s="1266">
        <f t="shared" si="20"/>
        <v>0</v>
      </c>
      <c r="AE18" s="1093">
        <f t="shared" si="21"/>
        <v>0</v>
      </c>
      <c r="AF18" s="1093">
        <f t="shared" si="22"/>
        <v>0</v>
      </c>
      <c r="AG18" s="1093">
        <f t="shared" si="6"/>
        <v>0</v>
      </c>
      <c r="AH18" s="1033" t="e">
        <f t="shared" si="7"/>
        <v>#DIV/0!</v>
      </c>
      <c r="AI18" s="1091">
        <f t="shared" si="8"/>
        <v>0</v>
      </c>
      <c r="AJ18" s="1094">
        <f t="shared" si="9"/>
        <v>0</v>
      </c>
      <c r="AK18" s="1053" t="str">
        <f t="shared" si="23"/>
        <v/>
      </c>
      <c r="AL18" s="1053">
        <f>_xlfn.XLOOKUP(F18,Proveedores!A:A,Proveedores!H:H)</f>
        <v>0</v>
      </c>
      <c r="AM18" s="1290">
        <f>_xlfn.XLOOKUP(F18,Proveedores!A:A,Proveedores!G:G)</f>
        <v>0</v>
      </c>
      <c r="AN18" s="1095" t="str">
        <f t="shared" si="24"/>
        <v>OK</v>
      </c>
      <c r="AR18" s="744">
        <v>0.05</v>
      </c>
      <c r="AX18" s="1151" t="s">
        <v>124</v>
      </c>
      <c r="AY18" s="1409">
        <f>AY17-AY16</f>
        <v>0</v>
      </c>
      <c r="AZ18" s="1410"/>
      <c r="BA18" s="1412"/>
    </row>
    <row r="19" spans="1:53" ht="17.100000000000001" thickBot="1">
      <c r="A19" s="1090" t="b">
        <f t="shared" si="0"/>
        <v>1</v>
      </c>
      <c r="B19" s="1091" t="b">
        <f t="shared" si="10"/>
        <v>1</v>
      </c>
      <c r="C19" s="1092" t="str">
        <f t="shared" si="11"/>
        <v>Dólares</v>
      </c>
      <c r="D19" s="11"/>
      <c r="E19" s="743"/>
      <c r="F19" s="17"/>
      <c r="G19" s="17" t="str">
        <f t="shared" si="12"/>
        <v xml:space="preserve"> </v>
      </c>
      <c r="H19" s="12">
        <v>0</v>
      </c>
      <c r="I19" s="16" t="str">
        <f>IFERROR(VLOOKUP(G19,Proveedores!B:C,2,0)," ")</f>
        <v xml:space="preserve"> </v>
      </c>
      <c r="J19" s="745">
        <v>0</v>
      </c>
      <c r="K19" s="745" t="str">
        <f t="shared" si="1"/>
        <v>Not Found</v>
      </c>
      <c r="L19" s="16">
        <f>IF(K19="Importado",Fletes!$B$66,0%)</f>
        <v>0</v>
      </c>
      <c r="M19" s="745">
        <f t="shared" si="13"/>
        <v>0</v>
      </c>
      <c r="N19" s="16">
        <f>IF(K19&lt;&gt;"Importado",0%,IF(Fletes!$B$67&lt;10,15%,IF(Fletes!$B$67&lt;20,10%,5%)))</f>
        <v>0</v>
      </c>
      <c r="O19" s="745" t="str">
        <f>IFERROR(IF(OR(F19="Offiho",F19="Lauco Sofas",F19="Requiez",F19="Labenze",F19="Sunon Mty",F19="Sonara"),(M19*(1-_xlfn.XLOOKUP(F19,Proveedores!A:A,Proveedores!I:I)))*(1+N19),((M19*(1-_xlfn.XLOOKUP(F19,Proveedores!A:A,Proveedores!I:I)))*(1+N19))+U19),"")</f>
        <v/>
      </c>
      <c r="P19" s="1031"/>
      <c r="Q19" s="1133">
        <f>IF(K19&lt;&gt;"Importado",0,IF(P19&gt;0,P19*H19,IFERROR(_xlfn.XLOOKUP(F19,Proveedores!A:A,Proveedores!F:F,0)*H19,0)))</f>
        <v>0</v>
      </c>
      <c r="R19" s="1134" t="e">
        <f t="shared" si="25"/>
        <v>#VALUE!</v>
      </c>
      <c r="S19" s="743"/>
      <c r="T19" s="1034" t="e">
        <f t="shared" si="2"/>
        <v>#N/A</v>
      </c>
      <c r="U19" s="1034" t="e">
        <f t="shared" si="14"/>
        <v>#N/A</v>
      </c>
      <c r="V19" s="1165" t="e">
        <f t="shared" si="3"/>
        <v>#N/A</v>
      </c>
      <c r="W19" s="1034" t="e">
        <f t="shared" si="15"/>
        <v>#N/A</v>
      </c>
      <c r="X19" s="1034" t="b">
        <f t="shared" si="16"/>
        <v>0</v>
      </c>
      <c r="Y19" s="1034">
        <f t="shared" si="17"/>
        <v>0</v>
      </c>
      <c r="Z19" s="1034">
        <f t="shared" si="18"/>
        <v>0</v>
      </c>
      <c r="AA19" s="1034">
        <f t="shared" si="4"/>
        <v>0</v>
      </c>
      <c r="AB19" s="1034">
        <f t="shared" si="5"/>
        <v>0</v>
      </c>
      <c r="AC19" s="1033">
        <f t="shared" si="19"/>
        <v>0</v>
      </c>
      <c r="AD19" s="1266">
        <f t="shared" si="20"/>
        <v>0</v>
      </c>
      <c r="AE19" s="1093">
        <f t="shared" si="21"/>
        <v>0</v>
      </c>
      <c r="AF19" s="1093">
        <f t="shared" si="22"/>
        <v>0</v>
      </c>
      <c r="AG19" s="1093">
        <f t="shared" si="6"/>
        <v>0</v>
      </c>
      <c r="AH19" s="1033" t="e">
        <f t="shared" si="7"/>
        <v>#DIV/0!</v>
      </c>
      <c r="AI19" s="1091">
        <f t="shared" si="8"/>
        <v>0</v>
      </c>
      <c r="AJ19" s="1094">
        <f t="shared" si="9"/>
        <v>0</v>
      </c>
      <c r="AK19" s="1053" t="str">
        <f t="shared" si="23"/>
        <v/>
      </c>
      <c r="AL19" s="1053">
        <f>_xlfn.XLOOKUP(F19,Proveedores!A:A,Proveedores!H:H)</f>
        <v>0</v>
      </c>
      <c r="AM19" s="1290">
        <f>_xlfn.XLOOKUP(F19,Proveedores!A:A,Proveedores!G:G)</f>
        <v>0</v>
      </c>
      <c r="AN19" s="1095" t="str">
        <f t="shared" si="24"/>
        <v>OK</v>
      </c>
      <c r="AR19" s="744">
        <v>0.1</v>
      </c>
      <c r="AX19" s="1152" t="s">
        <v>125</v>
      </c>
      <c r="AY19" s="1420" t="e">
        <f>(AY17/AY16)-1</f>
        <v>#DIV/0!</v>
      </c>
      <c r="AZ19" s="1421"/>
      <c r="BA19" s="1412"/>
    </row>
    <row r="20" spans="1:53" ht="17.100000000000001" thickBot="1">
      <c r="A20" s="1090" t="b">
        <f t="shared" si="0"/>
        <v>1</v>
      </c>
      <c r="B20" s="1091" t="b">
        <f t="shared" si="10"/>
        <v>1</v>
      </c>
      <c r="C20" s="1092" t="str">
        <f t="shared" si="11"/>
        <v>Dólares</v>
      </c>
      <c r="D20" s="11"/>
      <c r="E20" s="743"/>
      <c r="F20" s="17"/>
      <c r="G20" s="17" t="str">
        <f t="shared" si="12"/>
        <v xml:space="preserve"> </v>
      </c>
      <c r="H20" s="12">
        <v>0</v>
      </c>
      <c r="I20" s="16" t="str">
        <f>IFERROR(VLOOKUP(G20,Proveedores!B:C,2,0)," ")</f>
        <v xml:space="preserve"> </v>
      </c>
      <c r="J20" s="745">
        <v>0</v>
      </c>
      <c r="K20" s="745" t="str">
        <f t="shared" si="1"/>
        <v>Not Found</v>
      </c>
      <c r="L20" s="16">
        <f>IF(K20="Importado",Fletes!$B$66,0%)</f>
        <v>0</v>
      </c>
      <c r="M20" s="745">
        <f t="shared" si="13"/>
        <v>0</v>
      </c>
      <c r="N20" s="16">
        <f>IF(K20&lt;&gt;"Importado",0%,IF(Fletes!$B$67&lt;10,15%,IF(Fletes!$B$67&lt;20,10%,5%)))</f>
        <v>0</v>
      </c>
      <c r="O20" s="745" t="str">
        <f>IFERROR(IF(OR(F20="Offiho",F20="Lauco Sofas",F20="Requiez",F20="Labenze",F20="Sunon Mty",F20="Sonara"),(M20*(1-_xlfn.XLOOKUP(F20,Proveedores!A:A,Proveedores!I:I)))*(1+N20),((M20*(1-_xlfn.XLOOKUP(F20,Proveedores!A:A,Proveedores!I:I)))*(1+N20))+U20),"")</f>
        <v/>
      </c>
      <c r="P20" s="1031"/>
      <c r="Q20" s="1133">
        <f>IF(K20&lt;&gt;"Importado",0,IF(P20&gt;0,P20*H20,IFERROR(_xlfn.XLOOKUP(F20,Proveedores!A:A,Proveedores!F:F,0)*H20,0)))</f>
        <v>0</v>
      </c>
      <c r="R20" s="1134" t="e">
        <f t="shared" si="25"/>
        <v>#VALUE!</v>
      </c>
      <c r="S20" s="743"/>
      <c r="T20" s="1034" t="e">
        <f t="shared" si="2"/>
        <v>#N/A</v>
      </c>
      <c r="U20" s="1034" t="e">
        <f t="shared" si="14"/>
        <v>#N/A</v>
      </c>
      <c r="V20" s="1165" t="e">
        <f t="shared" si="3"/>
        <v>#N/A</v>
      </c>
      <c r="W20" s="1034" t="e">
        <f t="shared" si="15"/>
        <v>#N/A</v>
      </c>
      <c r="X20" s="1034" t="b">
        <f t="shared" si="16"/>
        <v>0</v>
      </c>
      <c r="Y20" s="1034">
        <f t="shared" si="17"/>
        <v>0</v>
      </c>
      <c r="Z20" s="1034">
        <f t="shared" si="18"/>
        <v>0</v>
      </c>
      <c r="AA20" s="1034">
        <f t="shared" si="4"/>
        <v>0</v>
      </c>
      <c r="AB20" s="1034">
        <f t="shared" si="5"/>
        <v>0</v>
      </c>
      <c r="AC20" s="1033">
        <f t="shared" si="19"/>
        <v>0</v>
      </c>
      <c r="AD20" s="1266">
        <f t="shared" si="20"/>
        <v>0</v>
      </c>
      <c r="AE20" s="1093">
        <f t="shared" si="21"/>
        <v>0</v>
      </c>
      <c r="AF20" s="1093">
        <f t="shared" si="22"/>
        <v>0</v>
      </c>
      <c r="AG20" s="1093">
        <f t="shared" si="6"/>
        <v>0</v>
      </c>
      <c r="AH20" s="1033" t="e">
        <f t="shared" si="7"/>
        <v>#DIV/0!</v>
      </c>
      <c r="AI20" s="1091">
        <f t="shared" si="8"/>
        <v>0</v>
      </c>
      <c r="AJ20" s="1094">
        <f t="shared" si="9"/>
        <v>0</v>
      </c>
      <c r="AK20" s="1053" t="str">
        <f t="shared" si="23"/>
        <v/>
      </c>
      <c r="AL20" s="1053">
        <f>_xlfn.XLOOKUP(F20,Proveedores!A:A,Proveedores!H:H)</f>
        <v>0</v>
      </c>
      <c r="AM20" s="1290">
        <f>_xlfn.XLOOKUP(F20,Proveedores!A:A,Proveedores!G:G)</f>
        <v>0</v>
      </c>
      <c r="AN20" s="1095" t="str">
        <f t="shared" si="24"/>
        <v>OK</v>
      </c>
      <c r="AR20" s="744">
        <v>0.15</v>
      </c>
      <c r="AX20" s="1154"/>
      <c r="AY20" s="1154"/>
      <c r="AZ20" s="1154"/>
      <c r="BA20" s="1413"/>
    </row>
    <row r="21" spans="1:53" ht="15.95">
      <c r="A21" s="1090" t="b">
        <f t="shared" si="0"/>
        <v>1</v>
      </c>
      <c r="B21" s="1091" t="b">
        <f t="shared" si="10"/>
        <v>1</v>
      </c>
      <c r="C21" s="1092" t="str">
        <f t="shared" si="11"/>
        <v>Dólares</v>
      </c>
      <c r="D21" s="11"/>
      <c r="E21" s="743"/>
      <c r="F21" s="17"/>
      <c r="G21" s="17" t="str">
        <f t="shared" si="12"/>
        <v xml:space="preserve"> </v>
      </c>
      <c r="H21" s="12">
        <v>0</v>
      </c>
      <c r="I21" s="16" t="str">
        <f>IFERROR(VLOOKUP(G21,Proveedores!B:C,2,0)," ")</f>
        <v xml:space="preserve"> </v>
      </c>
      <c r="J21" s="745">
        <v>0</v>
      </c>
      <c r="K21" s="745" t="str">
        <f t="shared" si="1"/>
        <v>Not Found</v>
      </c>
      <c r="L21" s="16">
        <f>IF(K21="Importado",Fletes!$B$66,0%)</f>
        <v>0</v>
      </c>
      <c r="M21" s="745">
        <f t="shared" si="13"/>
        <v>0</v>
      </c>
      <c r="N21" s="16">
        <f>IF(K21&lt;&gt;"Importado",0%,IF(Fletes!$B$67&lt;10,15%,IF(Fletes!$B$67&lt;20,10%,5%)))</f>
        <v>0</v>
      </c>
      <c r="O21" s="745" t="str">
        <f>IFERROR(IF(OR(F21="Offiho",F21="Lauco Sofas",F21="Requiez",F21="Labenze",F21="Sunon Mty",F21="Sonara"),(M21*(1-_xlfn.XLOOKUP(F21,Proveedores!A:A,Proveedores!I:I)))*(1+N21),((M21*(1-_xlfn.XLOOKUP(F21,Proveedores!A:A,Proveedores!I:I)))*(1+N21))+U21),"")</f>
        <v/>
      </c>
      <c r="P21" s="1031"/>
      <c r="Q21" s="1133">
        <f>IF(K21&lt;&gt;"Importado",0,IF(P21&gt;0,P21*H21,IFERROR(_xlfn.XLOOKUP(F21,Proveedores!A:A,Proveedores!F:F,0)*H21,0)))</f>
        <v>0</v>
      </c>
      <c r="R21" s="1134" t="e">
        <f t="shared" si="25"/>
        <v>#VALUE!</v>
      </c>
      <c r="S21" s="743"/>
      <c r="T21" s="1034" t="e">
        <f t="shared" si="2"/>
        <v>#N/A</v>
      </c>
      <c r="U21" s="1034" t="e">
        <f t="shared" si="14"/>
        <v>#N/A</v>
      </c>
      <c r="V21" s="1165" t="e">
        <f t="shared" si="3"/>
        <v>#N/A</v>
      </c>
      <c r="W21" s="1034" t="e">
        <f t="shared" si="15"/>
        <v>#N/A</v>
      </c>
      <c r="X21" s="1034" t="b">
        <f t="shared" si="16"/>
        <v>0</v>
      </c>
      <c r="Y21" s="1034">
        <f t="shared" si="17"/>
        <v>0</v>
      </c>
      <c r="Z21" s="1034">
        <f t="shared" si="18"/>
        <v>0</v>
      </c>
      <c r="AA21" s="1034">
        <f t="shared" si="4"/>
        <v>0</v>
      </c>
      <c r="AB21" s="1034">
        <f t="shared" si="5"/>
        <v>0</v>
      </c>
      <c r="AC21" s="1033">
        <f t="shared" si="19"/>
        <v>0</v>
      </c>
      <c r="AD21" s="1266">
        <f t="shared" si="20"/>
        <v>0</v>
      </c>
      <c r="AE21" s="1093">
        <f t="shared" si="21"/>
        <v>0</v>
      </c>
      <c r="AF21" s="1093">
        <f t="shared" si="22"/>
        <v>0</v>
      </c>
      <c r="AG21" s="1093">
        <f t="shared" si="6"/>
        <v>0</v>
      </c>
      <c r="AH21" s="1033" t="e">
        <f t="shared" si="7"/>
        <v>#DIV/0!</v>
      </c>
      <c r="AI21" s="1091">
        <f t="shared" si="8"/>
        <v>0</v>
      </c>
      <c r="AJ21" s="1094">
        <f t="shared" si="9"/>
        <v>0</v>
      </c>
      <c r="AK21" s="1053" t="str">
        <f t="shared" si="23"/>
        <v/>
      </c>
      <c r="AL21" s="1053">
        <f>_xlfn.XLOOKUP(F21,Proveedores!A:A,Proveedores!H:H)</f>
        <v>0</v>
      </c>
      <c r="AM21" s="1290">
        <f>_xlfn.XLOOKUP(F21,Proveedores!A:A,Proveedores!G:G)</f>
        <v>0</v>
      </c>
      <c r="AN21" s="1095" t="str">
        <f t="shared" si="24"/>
        <v>OK</v>
      </c>
      <c r="AR21" s="744">
        <v>0.2</v>
      </c>
    </row>
    <row r="22" spans="1:53" ht="15.95">
      <c r="A22" s="1090" t="b">
        <f t="shared" si="0"/>
        <v>1</v>
      </c>
      <c r="B22" s="1091" t="b">
        <f t="shared" ref="B22" si="26">A22</f>
        <v>1</v>
      </c>
      <c r="C22" s="1092" t="str">
        <f t="shared" si="11"/>
        <v>Dólares</v>
      </c>
      <c r="D22" s="11"/>
      <c r="E22" s="743"/>
      <c r="F22" s="17"/>
      <c r="G22" s="17" t="str">
        <f t="shared" si="12"/>
        <v xml:space="preserve"> </v>
      </c>
      <c r="H22" s="12">
        <v>0</v>
      </c>
      <c r="I22" s="16" t="str">
        <f>IFERROR(VLOOKUP(G22,Proveedores!B:C,2,0)," ")</f>
        <v xml:space="preserve"> </v>
      </c>
      <c r="J22" s="745">
        <v>0</v>
      </c>
      <c r="K22" s="745" t="str">
        <f t="shared" si="1"/>
        <v>Not Found</v>
      </c>
      <c r="L22" s="16">
        <f>IF(K22="Importado",Fletes!$B$66,0%)</f>
        <v>0</v>
      </c>
      <c r="M22" s="745">
        <f t="shared" si="13"/>
        <v>0</v>
      </c>
      <c r="N22" s="16">
        <f>IF(K22&lt;&gt;"Importado",0%,IF(Fletes!$B$67&lt;10,15%,IF(Fletes!$B$67&lt;20,10%,5%)))</f>
        <v>0</v>
      </c>
      <c r="O22" s="745" t="str">
        <f>IFERROR(IF(OR(F22="Offiho",F22="Lauco Sofas",F22="Requiez",F22="Labenze",F22="Sunon Mty",F22="Sonara"),(M22*(1-_xlfn.XLOOKUP(F22,Proveedores!A:A,Proveedores!I:I)))*(1+N22),((M22*(1-_xlfn.XLOOKUP(F22,Proveedores!A:A,Proveedores!I:I)))*(1+N22))+U22),"")</f>
        <v/>
      </c>
      <c r="P22" s="1031"/>
      <c r="Q22" s="1133">
        <f>IF(K22&lt;&gt;"Importado",0,IF(P22&gt;0,P22*H22,IFERROR(_xlfn.XLOOKUP(F22,Proveedores!A:A,Proveedores!F:F,0)*H22,0)))</f>
        <v>0</v>
      </c>
      <c r="R22" s="1134" t="e">
        <f t="shared" si="25"/>
        <v>#VALUE!</v>
      </c>
      <c r="S22" s="743"/>
      <c r="T22" s="1034" t="e">
        <f t="shared" si="2"/>
        <v>#N/A</v>
      </c>
      <c r="U22" s="1034" t="e">
        <f t="shared" si="14"/>
        <v>#N/A</v>
      </c>
      <c r="V22" s="1165" t="e">
        <f t="shared" si="3"/>
        <v>#N/A</v>
      </c>
      <c r="W22" s="1034" t="e">
        <f t="shared" si="15"/>
        <v>#N/A</v>
      </c>
      <c r="X22" s="1034" t="b">
        <f t="shared" si="16"/>
        <v>0</v>
      </c>
      <c r="Y22" s="1034">
        <f t="shared" si="17"/>
        <v>0</v>
      </c>
      <c r="Z22" s="1034">
        <f t="shared" si="18"/>
        <v>0</v>
      </c>
      <c r="AA22" s="1034">
        <f t="shared" si="4"/>
        <v>0</v>
      </c>
      <c r="AB22" s="1034">
        <f t="shared" si="5"/>
        <v>0</v>
      </c>
      <c r="AC22" s="1033">
        <f t="shared" si="19"/>
        <v>0</v>
      </c>
      <c r="AD22" s="1266">
        <f t="shared" si="20"/>
        <v>0</v>
      </c>
      <c r="AE22" s="1093">
        <f t="shared" si="21"/>
        <v>0</v>
      </c>
      <c r="AF22" s="1093">
        <f t="shared" si="22"/>
        <v>0</v>
      </c>
      <c r="AG22" s="1093">
        <f t="shared" si="6"/>
        <v>0</v>
      </c>
      <c r="AH22" s="1033" t="e">
        <f t="shared" si="7"/>
        <v>#DIV/0!</v>
      </c>
      <c r="AI22" s="1091">
        <f t="shared" si="8"/>
        <v>0</v>
      </c>
      <c r="AJ22" s="1094">
        <f t="shared" si="9"/>
        <v>0</v>
      </c>
      <c r="AK22" s="1053" t="str">
        <f t="shared" si="23"/>
        <v/>
      </c>
      <c r="AL22" s="1053">
        <f>_xlfn.XLOOKUP(F22,Proveedores!A:A,Proveedores!H:H)</f>
        <v>0</v>
      </c>
      <c r="AM22" s="1290">
        <f>_xlfn.XLOOKUP(F22,Proveedores!A:A,Proveedores!G:G)</f>
        <v>0</v>
      </c>
      <c r="AN22" s="1095" t="str">
        <f t="shared" si="24"/>
        <v>OK</v>
      </c>
    </row>
    <row r="23" spans="1:53" ht="15.95">
      <c r="A23" s="1090" t="b">
        <f t="shared" si="0"/>
        <v>1</v>
      </c>
      <c r="B23" s="1091" t="b">
        <f t="shared" ref="B23" si="27">A23</f>
        <v>1</v>
      </c>
      <c r="C23" s="1092" t="str">
        <f t="shared" si="11"/>
        <v>Dólares</v>
      </c>
      <c r="D23" s="11"/>
      <c r="E23" s="743"/>
      <c r="F23" s="17"/>
      <c r="G23" s="17" t="str">
        <f t="shared" si="12"/>
        <v xml:space="preserve"> </v>
      </c>
      <c r="H23" s="12">
        <v>0</v>
      </c>
      <c r="I23" s="16" t="str">
        <f>IFERROR(VLOOKUP(G23,Proveedores!B:C,2,0)," ")</f>
        <v xml:space="preserve"> </v>
      </c>
      <c r="J23" s="745">
        <v>0</v>
      </c>
      <c r="K23" s="745" t="str">
        <f t="shared" si="1"/>
        <v>Not Found</v>
      </c>
      <c r="L23" s="16">
        <f>IF(K23="Importado",Fletes!$B$66,0%)</f>
        <v>0</v>
      </c>
      <c r="M23" s="745">
        <f t="shared" si="13"/>
        <v>0</v>
      </c>
      <c r="N23" s="16">
        <f>IF(K23&lt;&gt;"Importado",0%,IF(Fletes!$B$67&lt;10,15%,IF(Fletes!$B$67&lt;20,10%,5%)))</f>
        <v>0</v>
      </c>
      <c r="O23" s="745" t="str">
        <f>IFERROR(IF(OR(F23="Offiho",F23="Lauco Sofas",F23="Requiez",F23="Labenze",F23="Sunon Mty",F23="Sonara"),(M23*(1-_xlfn.XLOOKUP(F23,Proveedores!A:A,Proveedores!I:I)))*(1+N23),((M23*(1-_xlfn.XLOOKUP(F23,Proveedores!A:A,Proveedores!I:I)))*(1+N23))+U23),"")</f>
        <v/>
      </c>
      <c r="P23" s="1031"/>
      <c r="Q23" s="1133">
        <f>IF(K23&lt;&gt;"Importado",0,IF(P23&gt;0,P23*H23,IFERROR(_xlfn.XLOOKUP(F23,Proveedores!A:A,Proveedores!F:F,0)*H23,0)))</f>
        <v>0</v>
      </c>
      <c r="R23" s="1134" t="e">
        <f t="shared" si="25"/>
        <v>#VALUE!</v>
      </c>
      <c r="S23" s="743"/>
      <c r="T23" s="1034" t="e">
        <f t="shared" si="2"/>
        <v>#N/A</v>
      </c>
      <c r="U23" s="1034" t="e">
        <f t="shared" si="14"/>
        <v>#N/A</v>
      </c>
      <c r="V23" s="1165" t="e">
        <f t="shared" si="3"/>
        <v>#N/A</v>
      </c>
      <c r="W23" s="1034" t="e">
        <f t="shared" si="15"/>
        <v>#N/A</v>
      </c>
      <c r="X23" s="1034" t="b">
        <f t="shared" si="16"/>
        <v>0</v>
      </c>
      <c r="Y23" s="1034">
        <f t="shared" si="17"/>
        <v>0</v>
      </c>
      <c r="Z23" s="1034">
        <f t="shared" si="18"/>
        <v>0</v>
      </c>
      <c r="AA23" s="1034">
        <f t="shared" si="4"/>
        <v>0</v>
      </c>
      <c r="AB23" s="1034">
        <f t="shared" si="5"/>
        <v>0</v>
      </c>
      <c r="AC23" s="1033">
        <f t="shared" si="19"/>
        <v>0</v>
      </c>
      <c r="AD23" s="1266">
        <f t="shared" si="20"/>
        <v>0</v>
      </c>
      <c r="AE23" s="1093">
        <f t="shared" si="21"/>
        <v>0</v>
      </c>
      <c r="AF23" s="1093">
        <f t="shared" si="22"/>
        <v>0</v>
      </c>
      <c r="AG23" s="1093">
        <f t="shared" si="6"/>
        <v>0</v>
      </c>
      <c r="AH23" s="1033" t="e">
        <f t="shared" si="7"/>
        <v>#DIV/0!</v>
      </c>
      <c r="AI23" s="1091">
        <f t="shared" si="8"/>
        <v>0</v>
      </c>
      <c r="AJ23" s="1094">
        <f t="shared" si="9"/>
        <v>0</v>
      </c>
      <c r="AK23" s="1053" t="str">
        <f t="shared" si="23"/>
        <v/>
      </c>
      <c r="AL23" s="1053">
        <f>_xlfn.XLOOKUP(F23,Proveedores!A:A,Proveedores!H:H)</f>
        <v>0</v>
      </c>
      <c r="AM23" s="1290">
        <f>_xlfn.XLOOKUP(F23,Proveedores!A:A,Proveedores!G:G)</f>
        <v>0</v>
      </c>
      <c r="AN23" s="1095" t="str">
        <f t="shared" si="24"/>
        <v>OK</v>
      </c>
    </row>
    <row r="24" spans="1:53" ht="15.95">
      <c r="A24" s="1090" t="b">
        <f t="shared" si="0"/>
        <v>1</v>
      </c>
      <c r="B24" s="1091" t="b">
        <f t="shared" si="10"/>
        <v>1</v>
      </c>
      <c r="C24" s="1092" t="str">
        <f t="shared" si="11"/>
        <v>Dólares</v>
      </c>
      <c r="D24" s="11"/>
      <c r="E24" s="743"/>
      <c r="F24" s="17"/>
      <c r="G24" s="17" t="str">
        <f t="shared" si="12"/>
        <v xml:space="preserve"> </v>
      </c>
      <c r="H24" s="12">
        <v>0</v>
      </c>
      <c r="I24" s="16" t="str">
        <f>IFERROR(VLOOKUP(G24,Proveedores!B:C,2,0)," ")</f>
        <v xml:space="preserve"> </v>
      </c>
      <c r="J24" s="745">
        <v>0</v>
      </c>
      <c r="K24" s="745" t="str">
        <f t="shared" si="1"/>
        <v>Not Found</v>
      </c>
      <c r="L24" s="16">
        <f>IF(K24="Importado",Fletes!$B$66,0%)</f>
        <v>0</v>
      </c>
      <c r="M24" s="745">
        <f t="shared" si="13"/>
        <v>0</v>
      </c>
      <c r="N24" s="16">
        <f>IF(K24&lt;&gt;"Importado",0%,IF(Fletes!$B$67&lt;10,15%,IF(Fletes!$B$67&lt;20,10%,5%)))</f>
        <v>0</v>
      </c>
      <c r="O24" s="745" t="str">
        <f>IFERROR(IF(OR(F24="Offiho",F24="Lauco Sofas",F24="Requiez",F24="Labenze",F24="Sunon Mty",F24="Sonara"),(M24*(1-_xlfn.XLOOKUP(F24,Proveedores!A:A,Proveedores!I:I)))*(1+N24),((M24*(1-_xlfn.XLOOKUP(F24,Proveedores!A:A,Proveedores!I:I)))*(1+N24))+U24),"")</f>
        <v/>
      </c>
      <c r="P24" s="1031"/>
      <c r="Q24" s="1133">
        <f>IF(K24&lt;&gt;"Importado",0,IF(P24&gt;0,P24*H24,IFERROR(_xlfn.XLOOKUP(F24,Proveedores!A:A,Proveedores!F:F,0)*H24,0)))</f>
        <v>0</v>
      </c>
      <c r="R24" s="1134" t="e">
        <f t="shared" si="25"/>
        <v>#VALUE!</v>
      </c>
      <c r="S24" s="743"/>
      <c r="T24" s="1034" t="e">
        <f t="shared" si="2"/>
        <v>#N/A</v>
      </c>
      <c r="U24" s="1034" t="e">
        <f t="shared" si="14"/>
        <v>#N/A</v>
      </c>
      <c r="V24" s="1165" t="e">
        <f t="shared" si="3"/>
        <v>#N/A</v>
      </c>
      <c r="W24" s="1034" t="e">
        <f t="shared" si="15"/>
        <v>#N/A</v>
      </c>
      <c r="X24" s="1034" t="b">
        <f t="shared" si="16"/>
        <v>0</v>
      </c>
      <c r="Y24" s="1034">
        <f t="shared" si="17"/>
        <v>0</v>
      </c>
      <c r="Z24" s="1034">
        <f t="shared" si="18"/>
        <v>0</v>
      </c>
      <c r="AA24" s="1034">
        <f t="shared" si="4"/>
        <v>0</v>
      </c>
      <c r="AB24" s="1034">
        <f t="shared" si="5"/>
        <v>0</v>
      </c>
      <c r="AC24" s="1033">
        <f t="shared" si="19"/>
        <v>0</v>
      </c>
      <c r="AD24" s="1266">
        <f t="shared" si="20"/>
        <v>0</v>
      </c>
      <c r="AE24" s="1093">
        <f t="shared" si="21"/>
        <v>0</v>
      </c>
      <c r="AF24" s="1093">
        <f t="shared" si="22"/>
        <v>0</v>
      </c>
      <c r="AG24" s="1093">
        <f t="shared" si="6"/>
        <v>0</v>
      </c>
      <c r="AH24" s="1033" t="e">
        <f t="shared" si="7"/>
        <v>#DIV/0!</v>
      </c>
      <c r="AI24" s="1091">
        <f t="shared" si="8"/>
        <v>0</v>
      </c>
      <c r="AJ24" s="1094">
        <f t="shared" si="9"/>
        <v>0</v>
      </c>
      <c r="AK24" s="1053" t="str">
        <f t="shared" si="23"/>
        <v/>
      </c>
      <c r="AL24" s="1053">
        <f>_xlfn.XLOOKUP(F24,Proveedores!A:A,Proveedores!H:H)</f>
        <v>0</v>
      </c>
      <c r="AM24" s="1290">
        <f>_xlfn.XLOOKUP(F24,Proveedores!A:A,Proveedores!G:G)</f>
        <v>0</v>
      </c>
      <c r="AN24" s="1095" t="str">
        <f t="shared" si="24"/>
        <v>OK</v>
      </c>
    </row>
    <row r="25" spans="1:53" ht="15.95">
      <c r="A25" s="1090" t="b">
        <f t="shared" si="0"/>
        <v>1</v>
      </c>
      <c r="B25" s="1091" t="b">
        <f t="shared" si="10"/>
        <v>1</v>
      </c>
      <c r="C25" s="1092" t="str">
        <f t="shared" si="11"/>
        <v>Dólares</v>
      </c>
      <c r="D25" s="11"/>
      <c r="E25" s="743"/>
      <c r="F25" s="17"/>
      <c r="G25" s="17" t="str">
        <f t="shared" si="12"/>
        <v xml:space="preserve"> </v>
      </c>
      <c r="H25" s="12">
        <v>0</v>
      </c>
      <c r="I25" s="16" t="str">
        <f>IFERROR(VLOOKUP(G25,Proveedores!B:C,2,0)," ")</f>
        <v xml:space="preserve"> </v>
      </c>
      <c r="J25" s="745">
        <v>0</v>
      </c>
      <c r="K25" s="745" t="str">
        <f t="shared" si="1"/>
        <v>Not Found</v>
      </c>
      <c r="L25" s="16">
        <f>IF(K25="Importado",Fletes!$B$66,0%)</f>
        <v>0</v>
      </c>
      <c r="M25" s="745">
        <f t="shared" si="13"/>
        <v>0</v>
      </c>
      <c r="N25" s="16">
        <f>IF(K25&lt;&gt;"Importado",0%,IF(Fletes!$B$67&lt;10,15%,IF(Fletes!$B$67&lt;20,10%,5%)))</f>
        <v>0</v>
      </c>
      <c r="O25" s="745" t="str">
        <f>IFERROR(IF(OR(F25="Offiho",F25="Lauco Sofas",F25="Requiez",F25="Labenze",F25="Sunon Mty",F25="Sonara"),(M25*(1-_xlfn.XLOOKUP(F25,Proveedores!A:A,Proveedores!I:I)))*(1+N25),((M25*(1-_xlfn.XLOOKUP(F25,Proveedores!A:A,Proveedores!I:I)))*(1+N25))+U25),"")</f>
        <v/>
      </c>
      <c r="P25" s="1031"/>
      <c r="Q25" s="1133">
        <f>IF(K25&lt;&gt;"Importado",0,IF(P25&gt;0,P25*H25,IFERROR(_xlfn.XLOOKUP(F25,Proveedores!A:A,Proveedores!F:F,0)*H25,0)))</f>
        <v>0</v>
      </c>
      <c r="R25" s="1134" t="e">
        <f t="shared" si="25"/>
        <v>#VALUE!</v>
      </c>
      <c r="S25" s="743"/>
      <c r="T25" s="1034" t="e">
        <f t="shared" si="2"/>
        <v>#N/A</v>
      </c>
      <c r="U25" s="1034" t="e">
        <f t="shared" si="14"/>
        <v>#N/A</v>
      </c>
      <c r="V25" s="1165" t="e">
        <f t="shared" si="3"/>
        <v>#N/A</v>
      </c>
      <c r="W25" s="1034" t="e">
        <f t="shared" si="15"/>
        <v>#N/A</v>
      </c>
      <c r="X25" s="1034" t="b">
        <f t="shared" si="16"/>
        <v>0</v>
      </c>
      <c r="Y25" s="1034">
        <f t="shared" si="17"/>
        <v>0</v>
      </c>
      <c r="Z25" s="1034">
        <f t="shared" si="18"/>
        <v>0</v>
      </c>
      <c r="AA25" s="1034">
        <f t="shared" si="4"/>
        <v>0</v>
      </c>
      <c r="AB25" s="1034">
        <f t="shared" si="5"/>
        <v>0</v>
      </c>
      <c r="AC25" s="1033">
        <f t="shared" si="19"/>
        <v>0</v>
      </c>
      <c r="AD25" s="1266">
        <f t="shared" si="20"/>
        <v>0</v>
      </c>
      <c r="AE25" s="1093">
        <f t="shared" si="21"/>
        <v>0</v>
      </c>
      <c r="AF25" s="1093">
        <f t="shared" si="22"/>
        <v>0</v>
      </c>
      <c r="AG25" s="1093">
        <f t="shared" si="6"/>
        <v>0</v>
      </c>
      <c r="AH25" s="1033" t="e">
        <f t="shared" si="7"/>
        <v>#DIV/0!</v>
      </c>
      <c r="AI25" s="1091">
        <f t="shared" si="8"/>
        <v>0</v>
      </c>
      <c r="AJ25" s="1094">
        <f t="shared" si="9"/>
        <v>0</v>
      </c>
      <c r="AK25" s="1053" t="str">
        <f t="shared" si="23"/>
        <v/>
      </c>
      <c r="AL25" s="1053">
        <f>_xlfn.XLOOKUP(F25,Proveedores!A:A,Proveedores!H:H)</f>
        <v>0</v>
      </c>
      <c r="AM25" s="1290">
        <f>_xlfn.XLOOKUP(F25,Proveedores!A:A,Proveedores!G:G)</f>
        <v>0</v>
      </c>
      <c r="AN25" s="1095" t="str">
        <f t="shared" si="24"/>
        <v>OK</v>
      </c>
    </row>
    <row r="26" spans="1:53" ht="15.95">
      <c r="A26" s="1090" t="b">
        <f t="shared" si="0"/>
        <v>1</v>
      </c>
      <c r="B26" s="1091" t="b">
        <f t="shared" si="10"/>
        <v>1</v>
      </c>
      <c r="C26" s="1092" t="str">
        <f t="shared" si="11"/>
        <v>Dólares</v>
      </c>
      <c r="D26" s="11"/>
      <c r="E26" s="743"/>
      <c r="F26" s="17"/>
      <c r="G26" s="17" t="str">
        <f t="shared" si="12"/>
        <v xml:space="preserve"> </v>
      </c>
      <c r="H26" s="12">
        <v>0</v>
      </c>
      <c r="I26" s="16" t="str">
        <f>IFERROR(VLOOKUP(G26,Proveedores!B:C,2,0)," ")</f>
        <v xml:space="preserve"> </v>
      </c>
      <c r="J26" s="745">
        <v>0</v>
      </c>
      <c r="K26" s="745" t="str">
        <f t="shared" si="1"/>
        <v>Not Found</v>
      </c>
      <c r="L26" s="16">
        <f>IF(K26="Importado",Fletes!$B$66,0%)</f>
        <v>0</v>
      </c>
      <c r="M26" s="745">
        <f t="shared" si="13"/>
        <v>0</v>
      </c>
      <c r="N26" s="16">
        <f>IF(K26&lt;&gt;"Importado",0%,IF(Fletes!$B$67&lt;10,15%,IF(Fletes!$B$67&lt;20,10%,5%)))</f>
        <v>0</v>
      </c>
      <c r="O26" s="745" t="str">
        <f>IFERROR(IF(OR(F26="Offiho",F26="Lauco Sofas",F26="Requiez",F26="Labenze",F26="Sunon Mty",F26="Sonara"),(M26*(1-_xlfn.XLOOKUP(F26,Proveedores!A:A,Proveedores!I:I)))*(1+N26),((M26*(1-_xlfn.XLOOKUP(F26,Proveedores!A:A,Proveedores!I:I)))*(1+N26))+U26),"")</f>
        <v/>
      </c>
      <c r="P26" s="1031"/>
      <c r="Q26" s="1133">
        <f>IF(K26&lt;&gt;"Importado",0,IF(P26&gt;0,P26*H26,IFERROR(_xlfn.XLOOKUP(F26,Proveedores!A:A,Proveedores!F:F,0)*H26,0)))</f>
        <v>0</v>
      </c>
      <c r="R26" s="1134" t="e">
        <f t="shared" si="25"/>
        <v>#VALUE!</v>
      </c>
      <c r="S26" s="743"/>
      <c r="T26" s="1034" t="e">
        <f t="shared" si="2"/>
        <v>#N/A</v>
      </c>
      <c r="U26" s="1034" t="e">
        <f t="shared" si="14"/>
        <v>#N/A</v>
      </c>
      <c r="V26" s="1165" t="e">
        <f t="shared" si="3"/>
        <v>#N/A</v>
      </c>
      <c r="W26" s="1034" t="e">
        <f t="shared" si="15"/>
        <v>#N/A</v>
      </c>
      <c r="X26" s="1034" t="b">
        <f t="shared" si="16"/>
        <v>0</v>
      </c>
      <c r="Y26" s="1034">
        <f t="shared" si="17"/>
        <v>0</v>
      </c>
      <c r="Z26" s="1034">
        <f t="shared" si="18"/>
        <v>0</v>
      </c>
      <c r="AA26" s="1034">
        <f t="shared" si="4"/>
        <v>0</v>
      </c>
      <c r="AB26" s="1034">
        <f t="shared" si="5"/>
        <v>0</v>
      </c>
      <c r="AC26" s="1033">
        <f t="shared" si="19"/>
        <v>0</v>
      </c>
      <c r="AD26" s="1266">
        <f t="shared" si="20"/>
        <v>0</v>
      </c>
      <c r="AE26" s="1093">
        <f t="shared" si="21"/>
        <v>0</v>
      </c>
      <c r="AF26" s="1093">
        <f t="shared" si="22"/>
        <v>0</v>
      </c>
      <c r="AG26" s="1093">
        <f t="shared" si="6"/>
        <v>0</v>
      </c>
      <c r="AH26" s="1033" t="e">
        <f t="shared" si="7"/>
        <v>#DIV/0!</v>
      </c>
      <c r="AI26" s="1091">
        <f t="shared" si="8"/>
        <v>0</v>
      </c>
      <c r="AJ26" s="1094">
        <f t="shared" si="9"/>
        <v>0</v>
      </c>
      <c r="AK26" s="1053" t="str">
        <f t="shared" si="23"/>
        <v/>
      </c>
      <c r="AL26" s="1053">
        <f>_xlfn.XLOOKUP(F26,Proveedores!A:A,Proveedores!H:H)</f>
        <v>0</v>
      </c>
      <c r="AM26" s="1290">
        <f>_xlfn.XLOOKUP(F26,Proveedores!A:A,Proveedores!G:G)</f>
        <v>0</v>
      </c>
      <c r="AN26" s="1095" t="str">
        <f t="shared" si="24"/>
        <v>OK</v>
      </c>
    </row>
    <row r="27" spans="1:53" ht="15.95">
      <c r="A27" s="1090" t="b">
        <f t="shared" si="0"/>
        <v>1</v>
      </c>
      <c r="B27" s="1091" t="b">
        <f t="shared" si="10"/>
        <v>1</v>
      </c>
      <c r="C27" s="1092" t="str">
        <f t="shared" si="11"/>
        <v>Dólares</v>
      </c>
      <c r="D27" s="11"/>
      <c r="E27" s="743"/>
      <c r="F27" s="17"/>
      <c r="G27" s="17" t="str">
        <f t="shared" si="12"/>
        <v xml:space="preserve"> </v>
      </c>
      <c r="H27" s="12">
        <v>0</v>
      </c>
      <c r="I27" s="16" t="str">
        <f>IFERROR(VLOOKUP(G27,Proveedores!B:C,2,0)," ")</f>
        <v xml:space="preserve"> </v>
      </c>
      <c r="J27" s="745">
        <v>0</v>
      </c>
      <c r="K27" s="745" t="str">
        <f t="shared" si="1"/>
        <v>Not Found</v>
      </c>
      <c r="L27" s="16">
        <f>IF(K27="Importado",Fletes!$B$66,0%)</f>
        <v>0</v>
      </c>
      <c r="M27" s="745">
        <f t="shared" si="13"/>
        <v>0</v>
      </c>
      <c r="N27" s="16">
        <f>IF(K27&lt;&gt;"Importado",0%,IF(Fletes!$B$67&lt;10,15%,IF(Fletes!$B$67&lt;20,10%,5%)))</f>
        <v>0</v>
      </c>
      <c r="O27" s="745" t="str">
        <f>IFERROR(IF(OR(F27="Offiho",F27="Lauco Sofas",F27="Requiez",F27="Labenze",F27="Sunon Mty",F27="Sonara"),(M27*(1-_xlfn.XLOOKUP(F27,Proveedores!A:A,Proveedores!I:I)))*(1+N27),((M27*(1-_xlfn.XLOOKUP(F27,Proveedores!A:A,Proveedores!I:I)))*(1+N27))+U27),"")</f>
        <v/>
      </c>
      <c r="P27" s="1031"/>
      <c r="Q27" s="1133">
        <f>IF(K27&lt;&gt;"Importado",0,IF(P27&gt;0,P27*H27,IFERROR(_xlfn.XLOOKUP(F27,Proveedores!A:A,Proveedores!F:F,0)*H27,0)))</f>
        <v>0</v>
      </c>
      <c r="R27" s="1134" t="e">
        <f t="shared" si="25"/>
        <v>#VALUE!</v>
      </c>
      <c r="S27" s="743"/>
      <c r="T27" s="1034" t="e">
        <f t="shared" si="2"/>
        <v>#N/A</v>
      </c>
      <c r="U27" s="1034" t="e">
        <f t="shared" si="14"/>
        <v>#N/A</v>
      </c>
      <c r="V27" s="1165" t="e">
        <f t="shared" si="3"/>
        <v>#N/A</v>
      </c>
      <c r="W27" s="1034" t="e">
        <f t="shared" si="15"/>
        <v>#N/A</v>
      </c>
      <c r="X27" s="1034" t="b">
        <f t="shared" si="16"/>
        <v>0</v>
      </c>
      <c r="Y27" s="1034">
        <f t="shared" si="17"/>
        <v>0</v>
      </c>
      <c r="Z27" s="1034">
        <f t="shared" si="18"/>
        <v>0</v>
      </c>
      <c r="AA27" s="1034">
        <f t="shared" si="4"/>
        <v>0</v>
      </c>
      <c r="AB27" s="1034">
        <f t="shared" si="5"/>
        <v>0</v>
      </c>
      <c r="AC27" s="1033">
        <f t="shared" si="19"/>
        <v>0</v>
      </c>
      <c r="AD27" s="1266">
        <f t="shared" si="20"/>
        <v>0</v>
      </c>
      <c r="AE27" s="1093">
        <f t="shared" si="21"/>
        <v>0</v>
      </c>
      <c r="AF27" s="1093">
        <f t="shared" si="22"/>
        <v>0</v>
      </c>
      <c r="AG27" s="1093">
        <f t="shared" si="6"/>
        <v>0</v>
      </c>
      <c r="AH27" s="1033" t="e">
        <f t="shared" si="7"/>
        <v>#DIV/0!</v>
      </c>
      <c r="AI27" s="1091">
        <f t="shared" si="8"/>
        <v>0</v>
      </c>
      <c r="AJ27" s="1094">
        <f t="shared" si="9"/>
        <v>0</v>
      </c>
      <c r="AK27" s="1053" t="str">
        <f t="shared" si="23"/>
        <v/>
      </c>
      <c r="AL27" s="1053">
        <f>_xlfn.XLOOKUP(F27,Proveedores!A:A,Proveedores!H:H)</f>
        <v>0</v>
      </c>
      <c r="AM27" s="1290">
        <f>_xlfn.XLOOKUP(F27,Proveedores!A:A,Proveedores!G:G)</f>
        <v>0</v>
      </c>
      <c r="AN27" s="1095" t="str">
        <f t="shared" si="24"/>
        <v>OK</v>
      </c>
    </row>
    <row r="28" spans="1:53" ht="15.95">
      <c r="A28" s="1090" t="b">
        <f t="shared" si="0"/>
        <v>1</v>
      </c>
      <c r="B28" s="1091" t="b">
        <f t="shared" si="10"/>
        <v>1</v>
      </c>
      <c r="C28" s="1092" t="str">
        <f t="shared" si="11"/>
        <v>Dólares</v>
      </c>
      <c r="D28" s="11"/>
      <c r="E28" s="743"/>
      <c r="F28" s="17"/>
      <c r="G28" s="17" t="str">
        <f t="shared" si="12"/>
        <v xml:space="preserve"> </v>
      </c>
      <c r="H28" s="12">
        <v>0</v>
      </c>
      <c r="I28" s="16" t="str">
        <f>IFERROR(VLOOKUP(G28,Proveedores!B:C,2,0)," ")</f>
        <v xml:space="preserve"> </v>
      </c>
      <c r="J28" s="745">
        <v>0</v>
      </c>
      <c r="K28" s="745" t="str">
        <f t="shared" si="1"/>
        <v>Not Found</v>
      </c>
      <c r="L28" s="16">
        <f>IF(K28="Importado",Fletes!$B$66,0%)</f>
        <v>0</v>
      </c>
      <c r="M28" s="745">
        <f t="shared" si="13"/>
        <v>0</v>
      </c>
      <c r="N28" s="16">
        <f>IF(K28&lt;&gt;"Importado",0%,IF(Fletes!$B$67&lt;10,15%,IF(Fletes!$B$67&lt;20,10%,5%)))</f>
        <v>0</v>
      </c>
      <c r="O28" s="745" t="str">
        <f>IFERROR(IF(OR(F28="Offiho",F28="Lauco Sofas",F28="Requiez",F28="Labenze",F28="Sunon Mty",F28="Sonara"),(M28*(1-_xlfn.XLOOKUP(F28,Proveedores!A:A,Proveedores!I:I)))*(1+N28),((M28*(1-_xlfn.XLOOKUP(F28,Proveedores!A:A,Proveedores!I:I)))*(1+N28))+U28),"")</f>
        <v/>
      </c>
      <c r="P28" s="1031"/>
      <c r="Q28" s="1133">
        <f>IF(K28&lt;&gt;"Importado",0,IF(P28&gt;0,P28*H28,IFERROR(_xlfn.XLOOKUP(F28,Proveedores!A:A,Proveedores!F:F,0)*H28,0)))</f>
        <v>0</v>
      </c>
      <c r="R28" s="1134" t="e">
        <f t="shared" si="25"/>
        <v>#VALUE!</v>
      </c>
      <c r="S28" s="743"/>
      <c r="T28" s="1034" t="e">
        <f t="shared" si="2"/>
        <v>#N/A</v>
      </c>
      <c r="U28" s="1034" t="e">
        <f t="shared" si="14"/>
        <v>#N/A</v>
      </c>
      <c r="V28" s="1165" t="e">
        <f t="shared" si="3"/>
        <v>#N/A</v>
      </c>
      <c r="W28" s="1034" t="e">
        <f t="shared" si="15"/>
        <v>#N/A</v>
      </c>
      <c r="X28" s="1034" t="b">
        <f t="shared" si="16"/>
        <v>0</v>
      </c>
      <c r="Y28" s="1034">
        <f t="shared" si="17"/>
        <v>0</v>
      </c>
      <c r="Z28" s="1034">
        <f t="shared" si="18"/>
        <v>0</v>
      </c>
      <c r="AA28" s="1034">
        <f t="shared" si="4"/>
        <v>0</v>
      </c>
      <c r="AB28" s="1034">
        <f t="shared" si="5"/>
        <v>0</v>
      </c>
      <c r="AC28" s="1033">
        <f t="shared" si="19"/>
        <v>0</v>
      </c>
      <c r="AD28" s="1266">
        <f t="shared" si="20"/>
        <v>0</v>
      </c>
      <c r="AE28" s="1093">
        <f t="shared" si="21"/>
        <v>0</v>
      </c>
      <c r="AF28" s="1093">
        <f t="shared" si="22"/>
        <v>0</v>
      </c>
      <c r="AG28" s="1093">
        <f t="shared" si="6"/>
        <v>0</v>
      </c>
      <c r="AH28" s="1033" t="e">
        <f t="shared" si="7"/>
        <v>#DIV/0!</v>
      </c>
      <c r="AI28" s="1091">
        <f t="shared" si="8"/>
        <v>0</v>
      </c>
      <c r="AJ28" s="1094">
        <f t="shared" si="9"/>
        <v>0</v>
      </c>
      <c r="AK28" s="1053" t="str">
        <f t="shared" si="23"/>
        <v/>
      </c>
      <c r="AL28" s="1053">
        <f>_xlfn.XLOOKUP(F28,Proveedores!A:A,Proveedores!H:H)</f>
        <v>0</v>
      </c>
      <c r="AM28" s="1290">
        <f>_xlfn.XLOOKUP(F28,Proveedores!A:A,Proveedores!G:G)</f>
        <v>0</v>
      </c>
      <c r="AN28" s="1095" t="str">
        <f t="shared" si="24"/>
        <v>OK</v>
      </c>
    </row>
    <row r="29" spans="1:53" ht="15.95">
      <c r="A29" s="1090" t="b">
        <f t="shared" si="0"/>
        <v>1</v>
      </c>
      <c r="B29" s="1091" t="b">
        <f t="shared" si="10"/>
        <v>1</v>
      </c>
      <c r="C29" s="1092" t="str">
        <f t="shared" si="11"/>
        <v>Dólares</v>
      </c>
      <c r="D29" s="11"/>
      <c r="E29" s="743"/>
      <c r="F29" s="17"/>
      <c r="G29" s="17" t="str">
        <f t="shared" si="12"/>
        <v xml:space="preserve"> </v>
      </c>
      <c r="H29" s="12">
        <v>0</v>
      </c>
      <c r="I29" s="16" t="str">
        <f>IFERROR(VLOOKUP(G29,Proveedores!B:C,2,0)," ")</f>
        <v xml:space="preserve"> </v>
      </c>
      <c r="J29" s="745">
        <v>0</v>
      </c>
      <c r="K29" s="745" t="str">
        <f t="shared" si="1"/>
        <v>Not Found</v>
      </c>
      <c r="L29" s="16">
        <f>IF(K29="Importado",Fletes!$B$66,0%)</f>
        <v>0</v>
      </c>
      <c r="M29" s="745">
        <f t="shared" si="13"/>
        <v>0</v>
      </c>
      <c r="N29" s="16">
        <f>IF(K29&lt;&gt;"Importado",0%,IF(Fletes!$B$67&lt;10,15%,IF(Fletes!$B$67&lt;20,10%,5%)))</f>
        <v>0</v>
      </c>
      <c r="O29" s="745" t="str">
        <f>IFERROR(IF(OR(F29="Offiho",F29="Lauco Sofas",F29="Requiez",F29="Labenze",F29="Sunon Mty",F29="Sonara"),(M29*(1-_xlfn.XLOOKUP(F29,Proveedores!A:A,Proveedores!I:I)))*(1+N29),((M29*(1-_xlfn.XLOOKUP(F29,Proveedores!A:A,Proveedores!I:I)))*(1+N29))+U29),"")</f>
        <v/>
      </c>
      <c r="P29" s="1031"/>
      <c r="Q29" s="1133">
        <f>IF(K29&lt;&gt;"Importado",0,IF(P29&gt;0,P29*H29,IFERROR(_xlfn.XLOOKUP(F29,Proveedores!A:A,Proveedores!F:F,0)*H29,0)))</f>
        <v>0</v>
      </c>
      <c r="R29" s="1134" t="e">
        <f t="shared" si="25"/>
        <v>#VALUE!</v>
      </c>
      <c r="S29" s="743"/>
      <c r="T29" s="1034" t="e">
        <f t="shared" si="2"/>
        <v>#N/A</v>
      </c>
      <c r="U29" s="1034" t="e">
        <f t="shared" si="14"/>
        <v>#N/A</v>
      </c>
      <c r="V29" s="1165" t="e">
        <f t="shared" si="3"/>
        <v>#N/A</v>
      </c>
      <c r="W29" s="1034" t="e">
        <f t="shared" si="15"/>
        <v>#N/A</v>
      </c>
      <c r="X29" s="1034" t="b">
        <f t="shared" si="16"/>
        <v>0</v>
      </c>
      <c r="Y29" s="1034">
        <f t="shared" si="17"/>
        <v>0</v>
      </c>
      <c r="Z29" s="1034">
        <f t="shared" si="18"/>
        <v>0</v>
      </c>
      <c r="AA29" s="1034">
        <f t="shared" si="4"/>
        <v>0</v>
      </c>
      <c r="AB29" s="1034">
        <f t="shared" si="5"/>
        <v>0</v>
      </c>
      <c r="AC29" s="1033">
        <f t="shared" si="19"/>
        <v>0</v>
      </c>
      <c r="AD29" s="1266">
        <f t="shared" si="20"/>
        <v>0</v>
      </c>
      <c r="AE29" s="1093">
        <f t="shared" si="21"/>
        <v>0</v>
      </c>
      <c r="AF29" s="1093">
        <f t="shared" si="22"/>
        <v>0</v>
      </c>
      <c r="AG29" s="1093">
        <f t="shared" si="6"/>
        <v>0</v>
      </c>
      <c r="AH29" s="1033" t="e">
        <f t="shared" si="7"/>
        <v>#DIV/0!</v>
      </c>
      <c r="AI29" s="1091">
        <f t="shared" si="8"/>
        <v>0</v>
      </c>
      <c r="AJ29" s="1094">
        <f t="shared" si="9"/>
        <v>0</v>
      </c>
      <c r="AK29" s="1053" t="str">
        <f t="shared" si="23"/>
        <v/>
      </c>
      <c r="AL29" s="1053">
        <f>_xlfn.XLOOKUP(F29,Proveedores!A:A,Proveedores!H:H)</f>
        <v>0</v>
      </c>
      <c r="AM29" s="1290">
        <f>_xlfn.XLOOKUP(F29,Proveedores!A:A,Proveedores!G:G)</f>
        <v>0</v>
      </c>
      <c r="AN29" s="1095" t="str">
        <f t="shared" si="24"/>
        <v>OK</v>
      </c>
      <c r="AP29" s="1050"/>
    </row>
    <row r="30" spans="1:53" ht="15.95">
      <c r="A30" s="1090" t="b">
        <f t="shared" si="0"/>
        <v>1</v>
      </c>
      <c r="B30" s="1091" t="b">
        <f t="shared" si="10"/>
        <v>1</v>
      </c>
      <c r="C30" s="1092" t="str">
        <f t="shared" si="11"/>
        <v>Dólares</v>
      </c>
      <c r="D30" s="11"/>
      <c r="E30" s="743"/>
      <c r="F30" s="17"/>
      <c r="G30" s="17" t="str">
        <f t="shared" si="12"/>
        <v xml:space="preserve"> </v>
      </c>
      <c r="H30" s="12">
        <v>0</v>
      </c>
      <c r="I30" s="16" t="str">
        <f>IFERROR(VLOOKUP(G30,Proveedores!B:C,2,0)," ")</f>
        <v xml:space="preserve"> </v>
      </c>
      <c r="J30" s="745">
        <v>0</v>
      </c>
      <c r="K30" s="745" t="str">
        <f t="shared" si="1"/>
        <v>Not Found</v>
      </c>
      <c r="L30" s="16">
        <f>IF(K30="Importado",Fletes!$B$66,0%)</f>
        <v>0</v>
      </c>
      <c r="M30" s="745">
        <f t="shared" si="13"/>
        <v>0</v>
      </c>
      <c r="N30" s="16">
        <f>IF(K30&lt;&gt;"Importado",0%,IF(Fletes!$B$67&lt;10,15%,IF(Fletes!$B$67&lt;20,10%,5%)))</f>
        <v>0</v>
      </c>
      <c r="O30" s="745" t="str">
        <f>IFERROR(IF(OR(F30="Offiho",F30="Lauco Sofas",F30="Requiez",F30="Labenze",F30="Sunon Mty",F30="Sonara"),(M30*(1-_xlfn.XLOOKUP(F30,Proveedores!A:A,Proveedores!I:I)))*(1+N30),((M30*(1-_xlfn.XLOOKUP(F30,Proveedores!A:A,Proveedores!I:I)))*(1+N30))+U30),"")</f>
        <v/>
      </c>
      <c r="P30" s="1031"/>
      <c r="Q30" s="1133">
        <f>IF(K30&lt;&gt;"Importado",0,IF(P30&gt;0,P30*H30,IFERROR(_xlfn.XLOOKUP(F30,Proveedores!A:A,Proveedores!F:F,0)*H30,0)))</f>
        <v>0</v>
      </c>
      <c r="R30" s="1134" t="e">
        <f t="shared" si="25"/>
        <v>#VALUE!</v>
      </c>
      <c r="S30" s="743"/>
      <c r="T30" s="1034" t="e">
        <f t="shared" si="2"/>
        <v>#N/A</v>
      </c>
      <c r="U30" s="1034" t="e">
        <f t="shared" si="14"/>
        <v>#N/A</v>
      </c>
      <c r="V30" s="1165" t="e">
        <f t="shared" si="3"/>
        <v>#N/A</v>
      </c>
      <c r="W30" s="1034" t="e">
        <f t="shared" si="15"/>
        <v>#N/A</v>
      </c>
      <c r="X30" s="1034" t="b">
        <f t="shared" si="16"/>
        <v>0</v>
      </c>
      <c r="Y30" s="1034">
        <f t="shared" si="17"/>
        <v>0</v>
      </c>
      <c r="Z30" s="1034">
        <f t="shared" si="18"/>
        <v>0</v>
      </c>
      <c r="AA30" s="1034">
        <f t="shared" si="4"/>
        <v>0</v>
      </c>
      <c r="AB30" s="1034">
        <f t="shared" si="5"/>
        <v>0</v>
      </c>
      <c r="AC30" s="1033">
        <f t="shared" si="19"/>
        <v>0</v>
      </c>
      <c r="AD30" s="1266">
        <f t="shared" si="20"/>
        <v>0</v>
      </c>
      <c r="AE30" s="1093">
        <f t="shared" si="21"/>
        <v>0</v>
      </c>
      <c r="AF30" s="1093">
        <f t="shared" si="22"/>
        <v>0</v>
      </c>
      <c r="AG30" s="1093">
        <f t="shared" si="6"/>
        <v>0</v>
      </c>
      <c r="AH30" s="1033" t="e">
        <f t="shared" si="7"/>
        <v>#DIV/0!</v>
      </c>
      <c r="AI30" s="1091">
        <f t="shared" si="8"/>
        <v>0</v>
      </c>
      <c r="AJ30" s="1094">
        <f t="shared" si="9"/>
        <v>0</v>
      </c>
      <c r="AK30" s="1053" t="str">
        <f t="shared" si="23"/>
        <v/>
      </c>
      <c r="AL30" s="1053">
        <f>_xlfn.XLOOKUP(F30,Proveedores!A:A,Proveedores!H:H)</f>
        <v>0</v>
      </c>
      <c r="AM30" s="1290">
        <f>_xlfn.XLOOKUP(F30,Proveedores!A:A,Proveedores!G:G)</f>
        <v>0</v>
      </c>
      <c r="AN30" s="1095" t="str">
        <f t="shared" si="24"/>
        <v>OK</v>
      </c>
    </row>
    <row r="31" spans="1:53" ht="15.95">
      <c r="A31" s="1090" t="b">
        <f t="shared" si="0"/>
        <v>1</v>
      </c>
      <c r="B31" s="1091" t="b">
        <f t="shared" si="10"/>
        <v>1</v>
      </c>
      <c r="C31" s="1092" t="str">
        <f t="shared" si="11"/>
        <v>Dólares</v>
      </c>
      <c r="D31" s="11"/>
      <c r="E31" s="743"/>
      <c r="F31" s="17"/>
      <c r="G31" s="17" t="str">
        <f t="shared" si="12"/>
        <v xml:space="preserve"> </v>
      </c>
      <c r="H31" s="12">
        <v>0</v>
      </c>
      <c r="I31" s="16" t="str">
        <f>IFERROR(VLOOKUP(G31,Proveedores!B:C,2,0)," ")</f>
        <v xml:space="preserve"> </v>
      </c>
      <c r="J31" s="745">
        <v>0</v>
      </c>
      <c r="K31" s="745" t="str">
        <f t="shared" si="1"/>
        <v>Not Found</v>
      </c>
      <c r="L31" s="16">
        <f>IF(K31="Importado",Fletes!$B$66,0%)</f>
        <v>0</v>
      </c>
      <c r="M31" s="745">
        <f t="shared" si="13"/>
        <v>0</v>
      </c>
      <c r="N31" s="16">
        <f>IF(K31&lt;&gt;"Importado",0%,IF(Fletes!$B$67&lt;10,15%,IF(Fletes!$B$67&lt;20,10%,5%)))</f>
        <v>0</v>
      </c>
      <c r="O31" s="745" t="str">
        <f>IFERROR(IF(OR(F31="Offiho",F31="Lauco Sofas",F31="Requiez",F31="Labenze",F31="Sunon Mty",F31="Sonara"),(M31*(1-_xlfn.XLOOKUP(F31,Proveedores!A:A,Proveedores!I:I)))*(1+N31),((M31*(1-_xlfn.XLOOKUP(F31,Proveedores!A:A,Proveedores!I:I)))*(1+N31))+U31),"")</f>
        <v/>
      </c>
      <c r="P31" s="1031"/>
      <c r="Q31" s="1133">
        <f>IF(K31&lt;&gt;"Importado",0,IF(P31&gt;0,P31*H31,IFERROR(_xlfn.XLOOKUP(F31,Proveedores!A:A,Proveedores!F:F,0)*H31,0)))</f>
        <v>0</v>
      </c>
      <c r="R31" s="1134" t="e">
        <f t="shared" si="25"/>
        <v>#VALUE!</v>
      </c>
      <c r="S31" s="743"/>
      <c r="T31" s="1034" t="e">
        <f t="shared" si="2"/>
        <v>#N/A</v>
      </c>
      <c r="U31" s="1034" t="e">
        <f t="shared" si="14"/>
        <v>#N/A</v>
      </c>
      <c r="V31" s="1165" t="e">
        <f t="shared" si="3"/>
        <v>#N/A</v>
      </c>
      <c r="W31" s="1034" t="e">
        <f t="shared" si="15"/>
        <v>#N/A</v>
      </c>
      <c r="X31" s="1034" t="b">
        <f t="shared" si="16"/>
        <v>0</v>
      </c>
      <c r="Y31" s="1034">
        <f t="shared" si="17"/>
        <v>0</v>
      </c>
      <c r="Z31" s="1034">
        <f t="shared" si="18"/>
        <v>0</v>
      </c>
      <c r="AA31" s="1034">
        <f t="shared" si="4"/>
        <v>0</v>
      </c>
      <c r="AB31" s="1034">
        <f t="shared" si="5"/>
        <v>0</v>
      </c>
      <c r="AC31" s="1033">
        <f t="shared" si="19"/>
        <v>0</v>
      </c>
      <c r="AD31" s="1266">
        <f t="shared" si="20"/>
        <v>0</v>
      </c>
      <c r="AE31" s="1093">
        <f t="shared" si="21"/>
        <v>0</v>
      </c>
      <c r="AF31" s="1093">
        <f t="shared" si="22"/>
        <v>0</v>
      </c>
      <c r="AG31" s="1093">
        <f t="shared" si="6"/>
        <v>0</v>
      </c>
      <c r="AH31" s="1033" t="e">
        <f t="shared" si="7"/>
        <v>#DIV/0!</v>
      </c>
      <c r="AI31" s="1091">
        <f t="shared" si="8"/>
        <v>0</v>
      </c>
      <c r="AJ31" s="1094">
        <f t="shared" si="9"/>
        <v>0</v>
      </c>
      <c r="AK31" s="1053" t="str">
        <f t="shared" si="23"/>
        <v/>
      </c>
      <c r="AL31" s="1053">
        <f>_xlfn.XLOOKUP(F31,Proveedores!A:A,Proveedores!H:H)</f>
        <v>0</v>
      </c>
      <c r="AM31" s="1290">
        <f>_xlfn.XLOOKUP(F31,Proveedores!A:A,Proveedores!G:G)</f>
        <v>0</v>
      </c>
      <c r="AN31" s="1095" t="str">
        <f t="shared" si="24"/>
        <v>OK</v>
      </c>
    </row>
    <row r="32" spans="1:53" ht="15.95">
      <c r="A32" s="1090" t="b">
        <f t="shared" si="0"/>
        <v>1</v>
      </c>
      <c r="B32" s="1091" t="b">
        <f t="shared" si="10"/>
        <v>1</v>
      </c>
      <c r="C32" s="1092" t="str">
        <f t="shared" si="11"/>
        <v>Dólares</v>
      </c>
      <c r="D32" s="11"/>
      <c r="E32" s="743"/>
      <c r="F32" s="17"/>
      <c r="G32" s="17" t="str">
        <f t="shared" si="12"/>
        <v xml:space="preserve"> </v>
      </c>
      <c r="H32" s="12">
        <v>0</v>
      </c>
      <c r="I32" s="16" t="str">
        <f>IFERROR(VLOOKUP(G32,Proveedores!B:C,2,0)," ")</f>
        <v xml:space="preserve"> </v>
      </c>
      <c r="J32" s="745">
        <v>0</v>
      </c>
      <c r="K32" s="745" t="str">
        <f t="shared" si="1"/>
        <v>Not Found</v>
      </c>
      <c r="L32" s="16">
        <f>IF(K32="Importado",Fletes!$B$66,0%)</f>
        <v>0</v>
      </c>
      <c r="M32" s="745">
        <f t="shared" si="13"/>
        <v>0</v>
      </c>
      <c r="N32" s="16">
        <f>IF(K32&lt;&gt;"Importado",0%,IF(Fletes!$B$67&lt;10,15%,IF(Fletes!$B$67&lt;20,10%,5%)))</f>
        <v>0</v>
      </c>
      <c r="O32" s="745" t="str">
        <f>IFERROR(IF(OR(F32="Offiho",F32="Lauco Sofas",F32="Requiez",F32="Labenze",F32="Sunon Mty",F32="Sonara"),(M32*(1-_xlfn.XLOOKUP(F32,Proveedores!A:A,Proveedores!I:I)))*(1+N32),((M32*(1-_xlfn.XLOOKUP(F32,Proveedores!A:A,Proveedores!I:I)))*(1+N32))+U32),"")</f>
        <v/>
      </c>
      <c r="P32" s="1031"/>
      <c r="Q32" s="1133">
        <f>IF(K32&lt;&gt;"Importado",0,IF(P32&gt;0,P32*H32,IFERROR(_xlfn.XLOOKUP(F32,Proveedores!A:A,Proveedores!F:F,0)*H32,0)))</f>
        <v>0</v>
      </c>
      <c r="R32" s="1134" t="e">
        <f t="shared" si="25"/>
        <v>#VALUE!</v>
      </c>
      <c r="S32" s="743"/>
      <c r="T32" s="1034" t="e">
        <f t="shared" si="2"/>
        <v>#N/A</v>
      </c>
      <c r="U32" s="1034" t="e">
        <f t="shared" si="14"/>
        <v>#N/A</v>
      </c>
      <c r="V32" s="1165" t="e">
        <f t="shared" si="3"/>
        <v>#N/A</v>
      </c>
      <c r="W32" s="1034" t="e">
        <f t="shared" si="15"/>
        <v>#N/A</v>
      </c>
      <c r="X32" s="1034" t="b">
        <f t="shared" si="16"/>
        <v>0</v>
      </c>
      <c r="Y32" s="1034">
        <f t="shared" si="17"/>
        <v>0</v>
      </c>
      <c r="Z32" s="1034">
        <f t="shared" si="18"/>
        <v>0</v>
      </c>
      <c r="AA32" s="1034">
        <f t="shared" si="4"/>
        <v>0</v>
      </c>
      <c r="AB32" s="1034">
        <f t="shared" si="5"/>
        <v>0</v>
      </c>
      <c r="AC32" s="1033">
        <f t="shared" si="19"/>
        <v>0</v>
      </c>
      <c r="AD32" s="1266">
        <f t="shared" si="20"/>
        <v>0</v>
      </c>
      <c r="AE32" s="1093">
        <f t="shared" si="21"/>
        <v>0</v>
      </c>
      <c r="AF32" s="1093">
        <f t="shared" si="22"/>
        <v>0</v>
      </c>
      <c r="AG32" s="1093">
        <f t="shared" si="6"/>
        <v>0</v>
      </c>
      <c r="AH32" s="1033" t="e">
        <f t="shared" si="7"/>
        <v>#DIV/0!</v>
      </c>
      <c r="AI32" s="1091">
        <f t="shared" si="8"/>
        <v>0</v>
      </c>
      <c r="AJ32" s="1094">
        <f t="shared" si="9"/>
        <v>0</v>
      </c>
      <c r="AK32" s="1053" t="str">
        <f t="shared" si="23"/>
        <v/>
      </c>
      <c r="AL32" s="1053">
        <f>_xlfn.XLOOKUP(F32,Proveedores!A:A,Proveedores!H:H)</f>
        <v>0</v>
      </c>
      <c r="AM32" s="1290">
        <f>_xlfn.XLOOKUP(F32,Proveedores!A:A,Proveedores!G:G)</f>
        <v>0</v>
      </c>
      <c r="AN32" s="1095" t="str">
        <f t="shared" si="24"/>
        <v>OK</v>
      </c>
    </row>
    <row r="33" spans="1:40" ht="15.95">
      <c r="A33" s="1090" t="b">
        <f t="shared" si="0"/>
        <v>1</v>
      </c>
      <c r="B33" s="1091" t="b">
        <f t="shared" si="10"/>
        <v>1</v>
      </c>
      <c r="C33" s="1092" t="str">
        <f t="shared" si="11"/>
        <v>Dólares</v>
      </c>
      <c r="D33" s="11"/>
      <c r="E33" s="743"/>
      <c r="F33" s="17"/>
      <c r="G33" s="17" t="str">
        <f t="shared" si="12"/>
        <v xml:space="preserve"> </v>
      </c>
      <c r="H33" s="12">
        <v>0</v>
      </c>
      <c r="I33" s="16" t="str">
        <f>IFERROR(VLOOKUP(G33,Proveedores!B:C,2,0)," ")</f>
        <v xml:space="preserve"> </v>
      </c>
      <c r="J33" s="745">
        <v>0</v>
      </c>
      <c r="K33" s="745" t="str">
        <f t="shared" si="1"/>
        <v>Not Found</v>
      </c>
      <c r="L33" s="16">
        <f>IF(K33="Importado",Fletes!$B$66,0%)</f>
        <v>0</v>
      </c>
      <c r="M33" s="745">
        <f t="shared" si="13"/>
        <v>0</v>
      </c>
      <c r="N33" s="16">
        <f>IF(K33&lt;&gt;"Importado",0%,IF(Fletes!$B$67&lt;10,15%,IF(Fletes!$B$67&lt;20,10%,5%)))</f>
        <v>0</v>
      </c>
      <c r="O33" s="745" t="str">
        <f>IFERROR(IF(OR(F33="Offiho",F33="Lauco Sofas",F33="Requiez",F33="Labenze",F33="Sunon Mty",F33="Sonara"),(M33*(1-_xlfn.XLOOKUP(F33,Proveedores!A:A,Proveedores!I:I)))*(1+N33),((M33*(1-_xlfn.XLOOKUP(F33,Proveedores!A:A,Proveedores!I:I)))*(1+N33))+U33),"")</f>
        <v/>
      </c>
      <c r="P33" s="1031"/>
      <c r="Q33" s="1133">
        <f>IF(K33&lt;&gt;"Importado",0,IF(P33&gt;0,P33*H33,IFERROR(_xlfn.XLOOKUP(F33,Proveedores!A:A,Proveedores!F:F,0)*H33,0)))</f>
        <v>0</v>
      </c>
      <c r="R33" s="1134" t="e">
        <f t="shared" si="25"/>
        <v>#VALUE!</v>
      </c>
      <c r="S33" s="743"/>
      <c r="T33" s="1034" t="e">
        <f t="shared" si="2"/>
        <v>#N/A</v>
      </c>
      <c r="U33" s="1034" t="e">
        <f t="shared" si="14"/>
        <v>#N/A</v>
      </c>
      <c r="V33" s="1165" t="e">
        <f t="shared" si="3"/>
        <v>#N/A</v>
      </c>
      <c r="W33" s="1034" t="e">
        <f t="shared" si="15"/>
        <v>#N/A</v>
      </c>
      <c r="X33" s="1034" t="b">
        <f t="shared" si="16"/>
        <v>0</v>
      </c>
      <c r="Y33" s="1034">
        <f t="shared" si="17"/>
        <v>0</v>
      </c>
      <c r="Z33" s="1034">
        <f t="shared" si="18"/>
        <v>0</v>
      </c>
      <c r="AA33" s="1034">
        <f t="shared" si="4"/>
        <v>0</v>
      </c>
      <c r="AB33" s="1034">
        <f t="shared" si="5"/>
        <v>0</v>
      </c>
      <c r="AC33" s="1033">
        <f t="shared" si="19"/>
        <v>0</v>
      </c>
      <c r="AD33" s="1266">
        <f t="shared" si="20"/>
        <v>0</v>
      </c>
      <c r="AE33" s="1093">
        <f t="shared" si="21"/>
        <v>0</v>
      </c>
      <c r="AF33" s="1093">
        <f t="shared" si="22"/>
        <v>0</v>
      </c>
      <c r="AG33" s="1093">
        <f t="shared" si="6"/>
        <v>0</v>
      </c>
      <c r="AH33" s="1033" t="e">
        <f t="shared" si="7"/>
        <v>#DIV/0!</v>
      </c>
      <c r="AI33" s="1091">
        <f t="shared" si="8"/>
        <v>0</v>
      </c>
      <c r="AJ33" s="1094">
        <f t="shared" si="9"/>
        <v>0</v>
      </c>
      <c r="AK33" s="1053" t="str">
        <f t="shared" si="23"/>
        <v/>
      </c>
      <c r="AL33" s="1053">
        <f>_xlfn.XLOOKUP(F33,Proveedores!A:A,Proveedores!H:H)</f>
        <v>0</v>
      </c>
      <c r="AM33" s="1290">
        <f>_xlfn.XLOOKUP(F33,Proveedores!A:A,Proveedores!G:G)</f>
        <v>0</v>
      </c>
      <c r="AN33" s="1095" t="str">
        <f t="shared" si="24"/>
        <v>OK</v>
      </c>
    </row>
    <row r="34" spans="1:40" ht="15.95">
      <c r="A34" s="1090" t="b">
        <f t="shared" si="0"/>
        <v>1</v>
      </c>
      <c r="B34" s="1091" t="b">
        <f t="shared" si="10"/>
        <v>1</v>
      </c>
      <c r="C34" s="1092" t="str">
        <f t="shared" si="11"/>
        <v>Dólares</v>
      </c>
      <c r="D34" s="11"/>
      <c r="E34" s="743"/>
      <c r="F34" s="17"/>
      <c r="G34" s="17" t="str">
        <f t="shared" si="12"/>
        <v xml:space="preserve"> </v>
      </c>
      <c r="H34" s="12">
        <v>0</v>
      </c>
      <c r="I34" s="16" t="str">
        <f>IFERROR(VLOOKUP(G34,Proveedores!B:C,2,0)," ")</f>
        <v xml:space="preserve"> </v>
      </c>
      <c r="J34" s="745">
        <v>0</v>
      </c>
      <c r="K34" s="745" t="str">
        <f t="shared" si="1"/>
        <v>Not Found</v>
      </c>
      <c r="L34" s="16">
        <f>IF(K34="Importado",Fletes!$B$66,0%)</f>
        <v>0</v>
      </c>
      <c r="M34" s="745">
        <f t="shared" si="13"/>
        <v>0</v>
      </c>
      <c r="N34" s="16">
        <f>IF(K34&lt;&gt;"Importado",0%,IF(Fletes!$B$67&lt;10,15%,IF(Fletes!$B$67&lt;20,10%,5%)))</f>
        <v>0</v>
      </c>
      <c r="O34" s="745" t="str">
        <f>IFERROR(IF(OR(F34="Offiho",F34="Lauco Sofas",F34="Requiez",F34="Labenze",F34="Sunon Mty",F34="Sonara"),(M34*(1-_xlfn.XLOOKUP(F34,Proveedores!A:A,Proveedores!I:I)))*(1+N34),((M34*(1-_xlfn.XLOOKUP(F34,Proveedores!A:A,Proveedores!I:I)))*(1+N34))+U34),"")</f>
        <v/>
      </c>
      <c r="P34" s="1031"/>
      <c r="Q34" s="1133">
        <f>IF(K34&lt;&gt;"Importado",0,IF(P34&gt;0,P34*H34,IFERROR(_xlfn.XLOOKUP(F34,Proveedores!A:A,Proveedores!F:F,0)*H34,0)))</f>
        <v>0</v>
      </c>
      <c r="R34" s="1134" t="e">
        <f t="shared" si="25"/>
        <v>#VALUE!</v>
      </c>
      <c r="S34" s="743"/>
      <c r="T34" s="1034" t="e">
        <f t="shared" si="2"/>
        <v>#N/A</v>
      </c>
      <c r="U34" s="1034" t="e">
        <f t="shared" si="14"/>
        <v>#N/A</v>
      </c>
      <c r="V34" s="1165" t="e">
        <f t="shared" si="3"/>
        <v>#N/A</v>
      </c>
      <c r="W34" s="1034" t="e">
        <f t="shared" si="15"/>
        <v>#N/A</v>
      </c>
      <c r="X34" s="1034" t="b">
        <f t="shared" si="16"/>
        <v>0</v>
      </c>
      <c r="Y34" s="1034">
        <f t="shared" si="17"/>
        <v>0</v>
      </c>
      <c r="Z34" s="1034">
        <f t="shared" si="18"/>
        <v>0</v>
      </c>
      <c r="AA34" s="1034">
        <f t="shared" si="4"/>
        <v>0</v>
      </c>
      <c r="AB34" s="1034">
        <f t="shared" si="5"/>
        <v>0</v>
      </c>
      <c r="AC34" s="1033">
        <f t="shared" si="19"/>
        <v>0</v>
      </c>
      <c r="AD34" s="1266">
        <f t="shared" si="20"/>
        <v>0</v>
      </c>
      <c r="AE34" s="1093">
        <f t="shared" si="21"/>
        <v>0</v>
      </c>
      <c r="AF34" s="1093">
        <f t="shared" si="22"/>
        <v>0</v>
      </c>
      <c r="AG34" s="1093">
        <f t="shared" si="6"/>
        <v>0</v>
      </c>
      <c r="AH34" s="1033" t="e">
        <f t="shared" si="7"/>
        <v>#DIV/0!</v>
      </c>
      <c r="AI34" s="1091">
        <f t="shared" si="8"/>
        <v>0</v>
      </c>
      <c r="AJ34" s="1094">
        <f t="shared" si="9"/>
        <v>0</v>
      </c>
      <c r="AK34" s="1053" t="str">
        <f t="shared" si="23"/>
        <v/>
      </c>
      <c r="AL34" s="1053">
        <f>_xlfn.XLOOKUP(F34,Proveedores!A:A,Proveedores!H:H)</f>
        <v>0</v>
      </c>
      <c r="AM34" s="1290">
        <f>_xlfn.XLOOKUP(F34,Proveedores!A:A,Proveedores!G:G)</f>
        <v>0</v>
      </c>
      <c r="AN34" s="1095" t="str">
        <f t="shared" si="24"/>
        <v>OK</v>
      </c>
    </row>
    <row r="35" spans="1:40" ht="15.95">
      <c r="A35" s="1090" t="b">
        <f t="shared" si="0"/>
        <v>1</v>
      </c>
      <c r="B35" s="1091" t="b">
        <f t="shared" si="10"/>
        <v>1</v>
      </c>
      <c r="C35" s="1092" t="str">
        <f t="shared" si="11"/>
        <v>Dólares</v>
      </c>
      <c r="D35" s="11"/>
      <c r="E35" s="743"/>
      <c r="F35" s="17"/>
      <c r="G35" s="17" t="str">
        <f t="shared" si="12"/>
        <v xml:space="preserve"> </v>
      </c>
      <c r="H35" s="12">
        <v>0</v>
      </c>
      <c r="I35" s="16" t="str">
        <f>IFERROR(VLOOKUP(G35,Proveedores!B:C,2,0)," ")</f>
        <v xml:space="preserve"> </v>
      </c>
      <c r="J35" s="745">
        <v>0</v>
      </c>
      <c r="K35" s="745" t="str">
        <f t="shared" si="1"/>
        <v>Not Found</v>
      </c>
      <c r="L35" s="16">
        <f>IF(K35="Importado",Fletes!$B$66,0%)</f>
        <v>0</v>
      </c>
      <c r="M35" s="745">
        <f t="shared" si="13"/>
        <v>0</v>
      </c>
      <c r="N35" s="16">
        <f>IF(K35&lt;&gt;"Importado",0%,IF(Fletes!$B$67&lt;10,15%,IF(Fletes!$B$67&lt;20,10%,5%)))</f>
        <v>0</v>
      </c>
      <c r="O35" s="745" t="str">
        <f>IFERROR(IF(OR(F35="Offiho",F35="Lauco Sofas",F35="Requiez",F35="Labenze",F35="Sunon Mty",F35="Sonara"),(M35*(1-_xlfn.XLOOKUP(F35,Proveedores!A:A,Proveedores!I:I)))*(1+N35),((M35*(1-_xlfn.XLOOKUP(F35,Proveedores!A:A,Proveedores!I:I)))*(1+N35))+U35),"")</f>
        <v/>
      </c>
      <c r="P35" s="1031"/>
      <c r="Q35" s="1133">
        <f>IF(K35&lt;&gt;"Importado",0,IF(P35&gt;0,P35*H35,IFERROR(_xlfn.XLOOKUP(F35,Proveedores!A:A,Proveedores!F:F,0)*H35,0)))</f>
        <v>0</v>
      </c>
      <c r="R35" s="1134" t="e">
        <f t="shared" si="25"/>
        <v>#VALUE!</v>
      </c>
      <c r="S35" s="743"/>
      <c r="T35" s="1034" t="e">
        <f t="shared" si="2"/>
        <v>#N/A</v>
      </c>
      <c r="U35" s="1034" t="e">
        <f t="shared" si="14"/>
        <v>#N/A</v>
      </c>
      <c r="V35" s="1165" t="e">
        <f t="shared" si="3"/>
        <v>#N/A</v>
      </c>
      <c r="W35" s="1034" t="e">
        <f t="shared" si="15"/>
        <v>#N/A</v>
      </c>
      <c r="X35" s="1034" t="b">
        <f t="shared" si="16"/>
        <v>0</v>
      </c>
      <c r="Y35" s="1034">
        <f t="shared" si="17"/>
        <v>0</v>
      </c>
      <c r="Z35" s="1034">
        <f t="shared" si="18"/>
        <v>0</v>
      </c>
      <c r="AA35" s="1034">
        <f t="shared" si="4"/>
        <v>0</v>
      </c>
      <c r="AB35" s="1034">
        <f t="shared" si="5"/>
        <v>0</v>
      </c>
      <c r="AC35" s="1033">
        <f t="shared" si="19"/>
        <v>0</v>
      </c>
      <c r="AD35" s="1266">
        <f t="shared" si="20"/>
        <v>0</v>
      </c>
      <c r="AE35" s="1093">
        <f t="shared" si="21"/>
        <v>0</v>
      </c>
      <c r="AF35" s="1093">
        <f t="shared" si="22"/>
        <v>0</v>
      </c>
      <c r="AG35" s="1093">
        <f t="shared" si="6"/>
        <v>0</v>
      </c>
      <c r="AH35" s="1033" t="e">
        <f t="shared" si="7"/>
        <v>#DIV/0!</v>
      </c>
      <c r="AI35" s="1091">
        <f t="shared" si="8"/>
        <v>0</v>
      </c>
      <c r="AJ35" s="1094">
        <f t="shared" si="9"/>
        <v>0</v>
      </c>
      <c r="AK35" s="1053" t="str">
        <f t="shared" si="23"/>
        <v/>
      </c>
      <c r="AL35" s="1053">
        <f>_xlfn.XLOOKUP(F35,Proveedores!A:A,Proveedores!H:H)</f>
        <v>0</v>
      </c>
      <c r="AM35" s="1290">
        <f>_xlfn.XLOOKUP(F35,Proveedores!A:A,Proveedores!G:G)</f>
        <v>0</v>
      </c>
      <c r="AN35" s="1095" t="str">
        <f t="shared" si="24"/>
        <v>OK</v>
      </c>
    </row>
    <row r="36" spans="1:40" ht="15.95">
      <c r="A36" s="1090" t="b">
        <f t="shared" si="0"/>
        <v>1</v>
      </c>
      <c r="B36" s="1091" t="b">
        <f t="shared" si="10"/>
        <v>1</v>
      </c>
      <c r="C36" s="1092" t="str">
        <f t="shared" si="11"/>
        <v>Dólares</v>
      </c>
      <c r="D36" s="11"/>
      <c r="E36" s="743"/>
      <c r="F36" s="17"/>
      <c r="G36" s="17" t="str">
        <f t="shared" si="12"/>
        <v xml:space="preserve"> </v>
      </c>
      <c r="H36" s="12">
        <v>0</v>
      </c>
      <c r="I36" s="16" t="str">
        <f>IFERROR(VLOOKUP(G36,Proveedores!B:C,2,0)," ")</f>
        <v xml:space="preserve"> </v>
      </c>
      <c r="J36" s="745">
        <v>0</v>
      </c>
      <c r="K36" s="745" t="str">
        <f t="shared" si="1"/>
        <v>Not Found</v>
      </c>
      <c r="L36" s="16">
        <f>IF(K36="Importado",Fletes!$B$66,0%)</f>
        <v>0</v>
      </c>
      <c r="M36" s="745">
        <f t="shared" si="13"/>
        <v>0</v>
      </c>
      <c r="N36" s="16">
        <f>IF(K36&lt;&gt;"Importado",0%,IF(Fletes!$B$67&lt;10,15%,IF(Fletes!$B$67&lt;20,10%,5%)))</f>
        <v>0</v>
      </c>
      <c r="O36" s="745" t="str">
        <f>IFERROR(IF(OR(F36="Offiho",F36="Lauco Sofas",F36="Requiez",F36="Labenze",F36="Sunon Mty",F36="Sonara"),(M36*(1-_xlfn.XLOOKUP(F36,Proveedores!A:A,Proveedores!I:I)))*(1+N36),((M36*(1-_xlfn.XLOOKUP(F36,Proveedores!A:A,Proveedores!I:I)))*(1+N36))+U36),"")</f>
        <v/>
      </c>
      <c r="P36" s="1031"/>
      <c r="Q36" s="1133">
        <f>IF(K36&lt;&gt;"Importado",0,IF(P36&gt;0,P36*H36,IFERROR(_xlfn.XLOOKUP(F36,Proveedores!A:A,Proveedores!F:F,0)*H36,0)))</f>
        <v>0</v>
      </c>
      <c r="R36" s="1134" t="e">
        <f t="shared" si="25"/>
        <v>#VALUE!</v>
      </c>
      <c r="S36" s="743"/>
      <c r="T36" s="1034" t="e">
        <f t="shared" si="2"/>
        <v>#N/A</v>
      </c>
      <c r="U36" s="1034" t="e">
        <f t="shared" si="14"/>
        <v>#N/A</v>
      </c>
      <c r="V36" s="1165" t="e">
        <f t="shared" si="3"/>
        <v>#N/A</v>
      </c>
      <c r="W36" s="1034" t="e">
        <f t="shared" si="15"/>
        <v>#N/A</v>
      </c>
      <c r="X36" s="1034" t="b">
        <f t="shared" si="16"/>
        <v>0</v>
      </c>
      <c r="Y36" s="1034">
        <f t="shared" si="17"/>
        <v>0</v>
      </c>
      <c r="Z36" s="1034">
        <f t="shared" si="18"/>
        <v>0</v>
      </c>
      <c r="AA36" s="1034">
        <f t="shared" si="4"/>
        <v>0</v>
      </c>
      <c r="AB36" s="1034">
        <f t="shared" si="5"/>
        <v>0</v>
      </c>
      <c r="AC36" s="1033">
        <f t="shared" si="19"/>
        <v>0</v>
      </c>
      <c r="AD36" s="1266">
        <f t="shared" si="20"/>
        <v>0</v>
      </c>
      <c r="AE36" s="1093">
        <f t="shared" si="21"/>
        <v>0</v>
      </c>
      <c r="AF36" s="1093">
        <f t="shared" si="22"/>
        <v>0</v>
      </c>
      <c r="AG36" s="1093">
        <f t="shared" si="6"/>
        <v>0</v>
      </c>
      <c r="AH36" s="1033" t="e">
        <f t="shared" si="7"/>
        <v>#DIV/0!</v>
      </c>
      <c r="AI36" s="1091">
        <f t="shared" si="8"/>
        <v>0</v>
      </c>
      <c r="AJ36" s="1094">
        <f t="shared" si="9"/>
        <v>0</v>
      </c>
      <c r="AK36" s="1053" t="str">
        <f t="shared" si="23"/>
        <v/>
      </c>
      <c r="AL36" s="1053">
        <f>_xlfn.XLOOKUP(F36,Proveedores!A:A,Proveedores!H:H)</f>
        <v>0</v>
      </c>
      <c r="AM36" s="1290">
        <f>_xlfn.XLOOKUP(F36,Proveedores!A:A,Proveedores!G:G)</f>
        <v>0</v>
      </c>
      <c r="AN36" s="1095" t="str">
        <f t="shared" si="24"/>
        <v>OK</v>
      </c>
    </row>
    <row r="37" spans="1:40" ht="15.95">
      <c r="A37" s="1090" t="b">
        <f t="shared" si="0"/>
        <v>1</v>
      </c>
      <c r="B37" s="1091" t="b">
        <f t="shared" si="10"/>
        <v>1</v>
      </c>
      <c r="C37" s="1092" t="str">
        <f t="shared" si="11"/>
        <v>Dólares</v>
      </c>
      <c r="D37" s="11"/>
      <c r="E37" s="743"/>
      <c r="F37" s="17"/>
      <c r="G37" s="17" t="str">
        <f t="shared" si="12"/>
        <v xml:space="preserve"> </v>
      </c>
      <c r="H37" s="12">
        <v>0</v>
      </c>
      <c r="I37" s="16" t="str">
        <f>IFERROR(VLOOKUP(G37,Proveedores!B:C,2,0)," ")</f>
        <v xml:space="preserve"> </v>
      </c>
      <c r="J37" s="745">
        <v>0</v>
      </c>
      <c r="K37" s="745" t="str">
        <f t="shared" si="1"/>
        <v>Not Found</v>
      </c>
      <c r="L37" s="16">
        <f>IF(K37="Importado",Fletes!$B$66,0%)</f>
        <v>0</v>
      </c>
      <c r="M37" s="745">
        <f t="shared" si="13"/>
        <v>0</v>
      </c>
      <c r="N37" s="16">
        <f>IF(K37&lt;&gt;"Importado",0%,IF(Fletes!$B$67&lt;10,15%,IF(Fletes!$B$67&lt;20,10%,5%)))</f>
        <v>0</v>
      </c>
      <c r="O37" s="745" t="str">
        <f>IFERROR(IF(OR(F37="Offiho",F37="Lauco Sofas",F37="Requiez",F37="Labenze",F37="Sunon Mty",F37="Sonara"),(M37*(1-_xlfn.XLOOKUP(F37,Proveedores!A:A,Proveedores!I:I)))*(1+N37),((M37*(1-_xlfn.XLOOKUP(F37,Proveedores!A:A,Proveedores!I:I)))*(1+N37))+U37),"")</f>
        <v/>
      </c>
      <c r="P37" s="1031"/>
      <c r="Q37" s="1133">
        <f>IF(K37&lt;&gt;"Importado",0,IF(P37&gt;0,P37*H37,IFERROR(_xlfn.XLOOKUP(F37,Proveedores!A:A,Proveedores!F:F,0)*H37,0)))</f>
        <v>0</v>
      </c>
      <c r="R37" s="1134" t="e">
        <f t="shared" si="25"/>
        <v>#VALUE!</v>
      </c>
      <c r="S37" s="743"/>
      <c r="T37" s="1034" t="e">
        <f t="shared" si="2"/>
        <v>#N/A</v>
      </c>
      <c r="U37" s="1034" t="e">
        <f t="shared" si="14"/>
        <v>#N/A</v>
      </c>
      <c r="V37" s="1165" t="e">
        <f t="shared" si="3"/>
        <v>#N/A</v>
      </c>
      <c r="W37" s="1034" t="e">
        <f t="shared" si="15"/>
        <v>#N/A</v>
      </c>
      <c r="X37" s="1034" t="b">
        <f t="shared" si="16"/>
        <v>0</v>
      </c>
      <c r="Y37" s="1034">
        <f t="shared" si="17"/>
        <v>0</v>
      </c>
      <c r="Z37" s="1034">
        <f t="shared" si="18"/>
        <v>0</v>
      </c>
      <c r="AA37" s="1034">
        <f t="shared" si="4"/>
        <v>0</v>
      </c>
      <c r="AB37" s="1034">
        <f t="shared" si="5"/>
        <v>0</v>
      </c>
      <c r="AC37" s="1033">
        <f t="shared" si="19"/>
        <v>0</v>
      </c>
      <c r="AD37" s="1266">
        <f t="shared" si="20"/>
        <v>0</v>
      </c>
      <c r="AE37" s="1093">
        <f t="shared" si="21"/>
        <v>0</v>
      </c>
      <c r="AF37" s="1093">
        <f t="shared" si="22"/>
        <v>0</v>
      </c>
      <c r="AG37" s="1093">
        <f t="shared" si="6"/>
        <v>0</v>
      </c>
      <c r="AH37" s="1033" t="e">
        <f t="shared" si="7"/>
        <v>#DIV/0!</v>
      </c>
      <c r="AI37" s="1091">
        <f t="shared" si="8"/>
        <v>0</v>
      </c>
      <c r="AJ37" s="1094">
        <f t="shared" si="9"/>
        <v>0</v>
      </c>
      <c r="AK37" s="1053" t="str">
        <f t="shared" si="23"/>
        <v/>
      </c>
      <c r="AL37" s="1053">
        <f>_xlfn.XLOOKUP(F37,Proveedores!A:A,Proveedores!H:H)</f>
        <v>0</v>
      </c>
      <c r="AM37" s="1290">
        <f>_xlfn.XLOOKUP(F37,Proveedores!A:A,Proveedores!G:G)</f>
        <v>0</v>
      </c>
      <c r="AN37" s="1095" t="str">
        <f t="shared" si="24"/>
        <v>OK</v>
      </c>
    </row>
    <row r="38" spans="1:40" ht="15.95">
      <c r="A38" s="1090" t="b">
        <f t="shared" si="0"/>
        <v>1</v>
      </c>
      <c r="B38" s="1091" t="b">
        <f t="shared" si="10"/>
        <v>1</v>
      </c>
      <c r="C38" s="1092" t="str">
        <f t="shared" si="11"/>
        <v>Dólares</v>
      </c>
      <c r="D38" s="11"/>
      <c r="E38" s="743"/>
      <c r="F38" s="17"/>
      <c r="G38" s="17" t="str">
        <f t="shared" si="12"/>
        <v xml:space="preserve"> </v>
      </c>
      <c r="H38" s="12">
        <v>0</v>
      </c>
      <c r="I38" s="16" t="str">
        <f>IFERROR(VLOOKUP(G38,Proveedores!B:C,2,0)," ")</f>
        <v xml:space="preserve"> </v>
      </c>
      <c r="J38" s="745">
        <v>0</v>
      </c>
      <c r="K38" s="745" t="str">
        <f t="shared" si="1"/>
        <v>Not Found</v>
      </c>
      <c r="L38" s="16">
        <f>IF(K38="Importado",Fletes!$B$66,0%)</f>
        <v>0</v>
      </c>
      <c r="M38" s="745">
        <f t="shared" si="13"/>
        <v>0</v>
      </c>
      <c r="N38" s="16">
        <f>IF(K38&lt;&gt;"Importado",0%,IF(Fletes!$B$67&lt;10,15%,IF(Fletes!$B$67&lt;20,10%,5%)))</f>
        <v>0</v>
      </c>
      <c r="O38" s="745" t="str">
        <f>IFERROR(IF(OR(F38="Offiho",F38="Lauco Sofas",F38="Requiez",F38="Labenze",F38="Sunon Mty",F38="Sonara"),(M38*(1-_xlfn.XLOOKUP(F38,Proveedores!A:A,Proveedores!I:I)))*(1+N38),((M38*(1-_xlfn.XLOOKUP(F38,Proveedores!A:A,Proveedores!I:I)))*(1+N38))+U38),"")</f>
        <v/>
      </c>
      <c r="P38" s="1031"/>
      <c r="Q38" s="1133">
        <f>IF(K38&lt;&gt;"Importado",0,IF(P38&gt;0,P38*H38,IFERROR(_xlfn.XLOOKUP(F38,Proveedores!A:A,Proveedores!F:F,0)*H38,0)))</f>
        <v>0</v>
      </c>
      <c r="R38" s="1134" t="e">
        <f t="shared" si="25"/>
        <v>#VALUE!</v>
      </c>
      <c r="S38" s="743"/>
      <c r="T38" s="1034" t="e">
        <f t="shared" si="2"/>
        <v>#N/A</v>
      </c>
      <c r="U38" s="1034" t="e">
        <f t="shared" si="14"/>
        <v>#N/A</v>
      </c>
      <c r="V38" s="1165" t="e">
        <f t="shared" si="3"/>
        <v>#N/A</v>
      </c>
      <c r="W38" s="1034" t="e">
        <f t="shared" si="15"/>
        <v>#N/A</v>
      </c>
      <c r="X38" s="1034" t="b">
        <f t="shared" si="16"/>
        <v>0</v>
      </c>
      <c r="Y38" s="1034">
        <f t="shared" si="17"/>
        <v>0</v>
      </c>
      <c r="Z38" s="1034">
        <f t="shared" si="18"/>
        <v>0</v>
      </c>
      <c r="AA38" s="1034">
        <f t="shared" si="4"/>
        <v>0</v>
      </c>
      <c r="AB38" s="1034">
        <f t="shared" si="5"/>
        <v>0</v>
      </c>
      <c r="AC38" s="1033">
        <f t="shared" si="19"/>
        <v>0</v>
      </c>
      <c r="AD38" s="1266">
        <f t="shared" si="20"/>
        <v>0</v>
      </c>
      <c r="AE38" s="1093">
        <f t="shared" si="21"/>
        <v>0</v>
      </c>
      <c r="AF38" s="1093">
        <f t="shared" si="22"/>
        <v>0</v>
      </c>
      <c r="AG38" s="1093">
        <f t="shared" si="6"/>
        <v>0</v>
      </c>
      <c r="AH38" s="1033" t="e">
        <f t="shared" si="7"/>
        <v>#DIV/0!</v>
      </c>
      <c r="AI38" s="1091">
        <f t="shared" si="8"/>
        <v>0</v>
      </c>
      <c r="AJ38" s="1094">
        <f t="shared" si="9"/>
        <v>0</v>
      </c>
      <c r="AK38" s="1053" t="str">
        <f t="shared" si="23"/>
        <v/>
      </c>
      <c r="AL38" s="1053">
        <f>_xlfn.XLOOKUP(F38,Proveedores!A:A,Proveedores!H:H)</f>
        <v>0</v>
      </c>
      <c r="AM38" s="1290">
        <f>_xlfn.XLOOKUP(F38,Proveedores!A:A,Proveedores!G:G)</f>
        <v>0</v>
      </c>
      <c r="AN38" s="1095" t="str">
        <f t="shared" si="24"/>
        <v>OK</v>
      </c>
    </row>
    <row r="39" spans="1:40" ht="15.95">
      <c r="A39" s="1090" t="b">
        <f t="shared" si="0"/>
        <v>1</v>
      </c>
      <c r="B39" s="1091" t="b">
        <f t="shared" si="10"/>
        <v>1</v>
      </c>
      <c r="C39" s="1092" t="str">
        <f t="shared" si="11"/>
        <v>Dólares</v>
      </c>
      <c r="D39" s="11"/>
      <c r="E39" s="743"/>
      <c r="F39" s="17"/>
      <c r="G39" s="17" t="str">
        <f t="shared" si="12"/>
        <v xml:space="preserve"> </v>
      </c>
      <c r="H39" s="12">
        <v>0</v>
      </c>
      <c r="I39" s="16" t="str">
        <f>IFERROR(VLOOKUP(G39,Proveedores!B:C,2,0)," ")</f>
        <v xml:space="preserve"> </v>
      </c>
      <c r="J39" s="745">
        <v>0</v>
      </c>
      <c r="K39" s="745" t="str">
        <f t="shared" si="1"/>
        <v>Not Found</v>
      </c>
      <c r="L39" s="16">
        <f>IF(K39="Importado",Fletes!$B$66,0%)</f>
        <v>0</v>
      </c>
      <c r="M39" s="745">
        <f t="shared" si="13"/>
        <v>0</v>
      </c>
      <c r="N39" s="16">
        <f>IF(K39&lt;&gt;"Importado",0%,IF(Fletes!$B$67&lt;10,15%,IF(Fletes!$B$67&lt;20,10%,5%)))</f>
        <v>0</v>
      </c>
      <c r="O39" s="745" t="str">
        <f>IFERROR(IF(OR(F39="Offiho",F39="Lauco Sofas",F39="Requiez",F39="Labenze",F39="Sunon Mty",F39="Sonara"),(M39*(1-_xlfn.XLOOKUP(F39,Proveedores!A:A,Proveedores!I:I)))*(1+N39),((M39*(1-_xlfn.XLOOKUP(F39,Proveedores!A:A,Proveedores!I:I)))*(1+N39))+U39),"")</f>
        <v/>
      </c>
      <c r="P39" s="1031"/>
      <c r="Q39" s="1133">
        <f>IF(K39&lt;&gt;"Importado",0,IF(P39&gt;0,P39*H39,IFERROR(_xlfn.XLOOKUP(F39,Proveedores!A:A,Proveedores!F:F,0)*H39,0)))</f>
        <v>0</v>
      </c>
      <c r="R39" s="1134" t="e">
        <f t="shared" si="25"/>
        <v>#VALUE!</v>
      </c>
      <c r="S39" s="743"/>
      <c r="T39" s="1034" t="e">
        <f t="shared" si="2"/>
        <v>#N/A</v>
      </c>
      <c r="U39" s="1034" t="e">
        <f t="shared" si="14"/>
        <v>#N/A</v>
      </c>
      <c r="V39" s="1165" t="e">
        <f t="shared" si="3"/>
        <v>#N/A</v>
      </c>
      <c r="W39" s="1034" t="e">
        <f t="shared" si="15"/>
        <v>#N/A</v>
      </c>
      <c r="X39" s="1034" t="b">
        <f t="shared" si="16"/>
        <v>0</v>
      </c>
      <c r="Y39" s="1034">
        <f t="shared" si="17"/>
        <v>0</v>
      </c>
      <c r="Z39" s="1034">
        <f t="shared" si="18"/>
        <v>0</v>
      </c>
      <c r="AA39" s="1034">
        <f t="shared" si="4"/>
        <v>0</v>
      </c>
      <c r="AB39" s="1034">
        <f t="shared" si="5"/>
        <v>0</v>
      </c>
      <c r="AC39" s="1033">
        <f t="shared" si="19"/>
        <v>0</v>
      </c>
      <c r="AD39" s="1266">
        <f t="shared" si="20"/>
        <v>0</v>
      </c>
      <c r="AE39" s="1093">
        <f t="shared" si="21"/>
        <v>0</v>
      </c>
      <c r="AF39" s="1093">
        <f t="shared" si="22"/>
        <v>0</v>
      </c>
      <c r="AG39" s="1093">
        <f t="shared" si="6"/>
        <v>0</v>
      </c>
      <c r="AH39" s="1033" t="e">
        <f t="shared" si="7"/>
        <v>#DIV/0!</v>
      </c>
      <c r="AI39" s="1091">
        <f t="shared" si="8"/>
        <v>0</v>
      </c>
      <c r="AJ39" s="1094">
        <f t="shared" si="9"/>
        <v>0</v>
      </c>
      <c r="AK39" s="1053" t="str">
        <f t="shared" si="23"/>
        <v/>
      </c>
      <c r="AL39" s="1053">
        <f>_xlfn.XLOOKUP(F39,Proveedores!A:A,Proveedores!H:H)</f>
        <v>0</v>
      </c>
      <c r="AM39" s="1290">
        <f>_xlfn.XLOOKUP(F39,Proveedores!A:A,Proveedores!G:G)</f>
        <v>0</v>
      </c>
      <c r="AN39" s="1095" t="str">
        <f t="shared" si="24"/>
        <v>OK</v>
      </c>
    </row>
    <row r="40" spans="1:40" ht="15.95">
      <c r="A40" s="1090" t="b">
        <f t="shared" si="0"/>
        <v>1</v>
      </c>
      <c r="B40" s="1091" t="b">
        <f t="shared" si="10"/>
        <v>1</v>
      </c>
      <c r="C40" s="1092" t="str">
        <f t="shared" si="11"/>
        <v>Dólares</v>
      </c>
      <c r="D40" s="11"/>
      <c r="E40" s="743"/>
      <c r="F40" s="17"/>
      <c r="G40" s="17" t="str">
        <f t="shared" si="12"/>
        <v xml:space="preserve"> </v>
      </c>
      <c r="H40" s="12">
        <v>0</v>
      </c>
      <c r="I40" s="16" t="str">
        <f>IFERROR(VLOOKUP(G40,Proveedores!B:C,2,0)," ")</f>
        <v xml:space="preserve"> </v>
      </c>
      <c r="J40" s="745">
        <v>0</v>
      </c>
      <c r="K40" s="745" t="str">
        <f t="shared" si="1"/>
        <v>Not Found</v>
      </c>
      <c r="L40" s="16">
        <f>IF(K40="Importado",Fletes!$B$66,0%)</f>
        <v>0</v>
      </c>
      <c r="M40" s="745">
        <f t="shared" si="13"/>
        <v>0</v>
      </c>
      <c r="N40" s="16">
        <f>IF(K40&lt;&gt;"Importado",0%,IF(Fletes!$B$67&lt;10,15%,IF(Fletes!$B$67&lt;20,10%,5%)))</f>
        <v>0</v>
      </c>
      <c r="O40" s="745" t="str">
        <f>IFERROR(IF(OR(F40="Offiho",F40="Lauco Sofas",F40="Requiez",F40="Labenze",F40="Sunon Mty",F40="Sonara"),(M40*(1-_xlfn.XLOOKUP(F40,Proveedores!A:A,Proveedores!I:I)))*(1+N40),((M40*(1-_xlfn.XLOOKUP(F40,Proveedores!A:A,Proveedores!I:I)))*(1+N40))+U40),"")</f>
        <v/>
      </c>
      <c r="P40" s="1031"/>
      <c r="Q40" s="1133">
        <f>IF(K40&lt;&gt;"Importado",0,IF(P40&gt;0,P40*H40,IFERROR(_xlfn.XLOOKUP(F40,Proveedores!A:A,Proveedores!F:F,0)*H40,0)))</f>
        <v>0</v>
      </c>
      <c r="R40" s="1134" t="e">
        <f t="shared" si="25"/>
        <v>#VALUE!</v>
      </c>
      <c r="S40" s="743"/>
      <c r="T40" s="1034" t="e">
        <f t="shared" si="2"/>
        <v>#N/A</v>
      </c>
      <c r="U40" s="1034" t="e">
        <f t="shared" si="14"/>
        <v>#N/A</v>
      </c>
      <c r="V40" s="1165" t="e">
        <f t="shared" si="3"/>
        <v>#N/A</v>
      </c>
      <c r="W40" s="1034" t="e">
        <f t="shared" si="15"/>
        <v>#N/A</v>
      </c>
      <c r="X40" s="1034" t="b">
        <f t="shared" si="16"/>
        <v>0</v>
      </c>
      <c r="Y40" s="1034">
        <f t="shared" si="17"/>
        <v>0</v>
      </c>
      <c r="Z40" s="1034">
        <f t="shared" si="18"/>
        <v>0</v>
      </c>
      <c r="AA40" s="1034">
        <f t="shared" si="4"/>
        <v>0</v>
      </c>
      <c r="AB40" s="1034">
        <f t="shared" si="5"/>
        <v>0</v>
      </c>
      <c r="AC40" s="1033">
        <f t="shared" si="19"/>
        <v>0</v>
      </c>
      <c r="AD40" s="1266">
        <f t="shared" si="20"/>
        <v>0</v>
      </c>
      <c r="AE40" s="1093">
        <f t="shared" si="21"/>
        <v>0</v>
      </c>
      <c r="AF40" s="1093">
        <f t="shared" si="22"/>
        <v>0</v>
      </c>
      <c r="AG40" s="1093">
        <f t="shared" si="6"/>
        <v>0</v>
      </c>
      <c r="AH40" s="1033" t="e">
        <f t="shared" si="7"/>
        <v>#DIV/0!</v>
      </c>
      <c r="AI40" s="1091">
        <f t="shared" si="8"/>
        <v>0</v>
      </c>
      <c r="AJ40" s="1094">
        <f t="shared" si="9"/>
        <v>0</v>
      </c>
      <c r="AK40" s="1053" t="str">
        <f t="shared" si="23"/>
        <v/>
      </c>
      <c r="AL40" s="1053">
        <f>_xlfn.XLOOKUP(F40,Proveedores!A:A,Proveedores!H:H)</f>
        <v>0</v>
      </c>
      <c r="AM40" s="1290">
        <f>_xlfn.XLOOKUP(F40,Proveedores!A:A,Proveedores!G:G)</f>
        <v>0</v>
      </c>
      <c r="AN40" s="1095" t="str">
        <f t="shared" si="24"/>
        <v>OK</v>
      </c>
    </row>
    <row r="41" spans="1:40" ht="15.95">
      <c r="A41" s="1090" t="b">
        <f t="shared" si="0"/>
        <v>1</v>
      </c>
      <c r="B41" s="1091" t="b">
        <f t="shared" si="10"/>
        <v>1</v>
      </c>
      <c r="C41" s="1092" t="str">
        <f t="shared" si="11"/>
        <v>Dólares</v>
      </c>
      <c r="D41" s="11"/>
      <c r="E41" s="743"/>
      <c r="F41" s="17"/>
      <c r="G41" s="17" t="str">
        <f t="shared" si="12"/>
        <v xml:space="preserve"> </v>
      </c>
      <c r="H41" s="12">
        <v>0</v>
      </c>
      <c r="I41" s="16" t="str">
        <f>IFERROR(VLOOKUP(G41,Proveedores!B:C,2,0)," ")</f>
        <v xml:space="preserve"> </v>
      </c>
      <c r="J41" s="745">
        <v>0</v>
      </c>
      <c r="K41" s="745" t="str">
        <f t="shared" si="1"/>
        <v>Not Found</v>
      </c>
      <c r="L41" s="16">
        <f>IF(K41="Importado",Fletes!$B$66,0%)</f>
        <v>0</v>
      </c>
      <c r="M41" s="745">
        <f t="shared" si="13"/>
        <v>0</v>
      </c>
      <c r="N41" s="16">
        <f>IF(K41&lt;&gt;"Importado",0%,IF(Fletes!$B$67&lt;10,15%,IF(Fletes!$B$67&lt;20,10%,5%)))</f>
        <v>0</v>
      </c>
      <c r="O41" s="745" t="str">
        <f>IFERROR(IF(OR(F41="Offiho",F41="Lauco Sofas",F41="Requiez",F41="Labenze",F41="Sunon Mty",F41="Sonara"),(M41*(1-_xlfn.XLOOKUP(F41,Proveedores!A:A,Proveedores!I:I)))*(1+N41),((M41*(1-_xlfn.XLOOKUP(F41,Proveedores!A:A,Proveedores!I:I)))*(1+N41))+U41),"")</f>
        <v/>
      </c>
      <c r="P41" s="1031"/>
      <c r="Q41" s="1133">
        <f>IF(K41&lt;&gt;"Importado",0,IF(P41&gt;0,P41*H41,IFERROR(_xlfn.XLOOKUP(F41,Proveedores!A:A,Proveedores!F:F,0)*H41,0)))</f>
        <v>0</v>
      </c>
      <c r="R41" s="1134" t="e">
        <f t="shared" si="25"/>
        <v>#VALUE!</v>
      </c>
      <c r="S41" s="743"/>
      <c r="T41" s="1034" t="e">
        <f t="shared" si="2"/>
        <v>#N/A</v>
      </c>
      <c r="U41" s="1034" t="e">
        <f t="shared" si="14"/>
        <v>#N/A</v>
      </c>
      <c r="V41" s="1165" t="e">
        <f t="shared" si="3"/>
        <v>#N/A</v>
      </c>
      <c r="W41" s="1034" t="e">
        <f t="shared" si="15"/>
        <v>#N/A</v>
      </c>
      <c r="X41" s="1034" t="b">
        <f t="shared" si="16"/>
        <v>0</v>
      </c>
      <c r="Y41" s="1034">
        <f t="shared" si="17"/>
        <v>0</v>
      </c>
      <c r="Z41" s="1034">
        <f t="shared" si="18"/>
        <v>0</v>
      </c>
      <c r="AA41" s="1034">
        <f t="shared" si="4"/>
        <v>0</v>
      </c>
      <c r="AB41" s="1034">
        <f t="shared" si="5"/>
        <v>0</v>
      </c>
      <c r="AC41" s="1033">
        <f t="shared" si="19"/>
        <v>0</v>
      </c>
      <c r="AD41" s="1266">
        <f t="shared" si="20"/>
        <v>0</v>
      </c>
      <c r="AE41" s="1093">
        <f t="shared" si="21"/>
        <v>0</v>
      </c>
      <c r="AF41" s="1093">
        <f t="shared" si="22"/>
        <v>0</v>
      </c>
      <c r="AG41" s="1093">
        <f t="shared" si="6"/>
        <v>0</v>
      </c>
      <c r="AH41" s="1033" t="e">
        <f t="shared" si="7"/>
        <v>#DIV/0!</v>
      </c>
      <c r="AI41" s="1091">
        <f t="shared" si="8"/>
        <v>0</v>
      </c>
      <c r="AJ41" s="1094">
        <f t="shared" si="9"/>
        <v>0</v>
      </c>
      <c r="AK41" s="1053" t="str">
        <f t="shared" si="23"/>
        <v/>
      </c>
      <c r="AL41" s="1053">
        <f>_xlfn.XLOOKUP(F41,Proveedores!A:A,Proveedores!H:H)</f>
        <v>0</v>
      </c>
      <c r="AM41" s="1290">
        <f>_xlfn.XLOOKUP(F41,Proveedores!A:A,Proveedores!G:G)</f>
        <v>0</v>
      </c>
      <c r="AN41" s="1095" t="str">
        <f t="shared" si="24"/>
        <v>OK</v>
      </c>
    </row>
    <row r="42" spans="1:40" ht="15.95">
      <c r="A42" s="1090" t="b">
        <f t="shared" si="0"/>
        <v>1</v>
      </c>
      <c r="B42" s="1091" t="b">
        <f t="shared" si="10"/>
        <v>1</v>
      </c>
      <c r="C42" s="1092" t="str">
        <f t="shared" si="11"/>
        <v>Dólares</v>
      </c>
      <c r="D42" s="11"/>
      <c r="E42" s="743"/>
      <c r="F42" s="17"/>
      <c r="G42" s="17" t="str">
        <f t="shared" si="12"/>
        <v xml:space="preserve"> </v>
      </c>
      <c r="H42" s="12">
        <v>0</v>
      </c>
      <c r="I42" s="16" t="str">
        <f>IFERROR(VLOOKUP(G42,Proveedores!B:C,2,0)," ")</f>
        <v xml:space="preserve"> </v>
      </c>
      <c r="J42" s="745">
        <v>0</v>
      </c>
      <c r="K42" s="745" t="str">
        <f t="shared" si="1"/>
        <v>Not Found</v>
      </c>
      <c r="L42" s="16">
        <f>IF(K42="Importado",Fletes!$B$66,0%)</f>
        <v>0</v>
      </c>
      <c r="M42" s="745">
        <f t="shared" si="13"/>
        <v>0</v>
      </c>
      <c r="N42" s="16">
        <f>IF(K42&lt;&gt;"Importado",0%,IF(Fletes!$B$67&lt;10,15%,IF(Fletes!$B$67&lt;20,10%,5%)))</f>
        <v>0</v>
      </c>
      <c r="O42" s="745" t="str">
        <f>IFERROR(IF(OR(F42="Offiho",F42="Lauco Sofas",F42="Requiez",F42="Labenze",F42="Sunon Mty",F42="Sonara"),(M42*(1-_xlfn.XLOOKUP(F42,Proveedores!A:A,Proveedores!I:I)))*(1+N42),((M42*(1-_xlfn.XLOOKUP(F42,Proveedores!A:A,Proveedores!I:I)))*(1+N42))+U42),"")</f>
        <v/>
      </c>
      <c r="P42" s="1031"/>
      <c r="Q42" s="1133">
        <f>IF(K42&lt;&gt;"Importado",0,IF(P42&gt;0,P42*H42,IFERROR(_xlfn.XLOOKUP(F42,Proveedores!A:A,Proveedores!F:F,0)*H42,0)))</f>
        <v>0</v>
      </c>
      <c r="R42" s="1134" t="e">
        <f t="shared" si="25"/>
        <v>#VALUE!</v>
      </c>
      <c r="S42" s="743"/>
      <c r="T42" s="1034" t="e">
        <f t="shared" si="2"/>
        <v>#N/A</v>
      </c>
      <c r="U42" s="1034" t="e">
        <f t="shared" si="14"/>
        <v>#N/A</v>
      </c>
      <c r="V42" s="1165" t="e">
        <f t="shared" si="3"/>
        <v>#N/A</v>
      </c>
      <c r="W42" s="1034" t="e">
        <f t="shared" si="15"/>
        <v>#N/A</v>
      </c>
      <c r="X42" s="1034" t="b">
        <f t="shared" si="16"/>
        <v>0</v>
      </c>
      <c r="Y42" s="1034">
        <f t="shared" si="17"/>
        <v>0</v>
      </c>
      <c r="Z42" s="1034">
        <f t="shared" si="18"/>
        <v>0</v>
      </c>
      <c r="AA42" s="1034">
        <f t="shared" si="4"/>
        <v>0</v>
      </c>
      <c r="AB42" s="1034">
        <f t="shared" si="5"/>
        <v>0</v>
      </c>
      <c r="AC42" s="1033">
        <f t="shared" si="19"/>
        <v>0</v>
      </c>
      <c r="AD42" s="1266">
        <f t="shared" si="20"/>
        <v>0</v>
      </c>
      <c r="AE42" s="1093">
        <f t="shared" si="21"/>
        <v>0</v>
      </c>
      <c r="AF42" s="1093">
        <f t="shared" si="22"/>
        <v>0</v>
      </c>
      <c r="AG42" s="1093">
        <f t="shared" si="6"/>
        <v>0</v>
      </c>
      <c r="AH42" s="1033" t="e">
        <f t="shared" si="7"/>
        <v>#DIV/0!</v>
      </c>
      <c r="AI42" s="1091">
        <f t="shared" si="8"/>
        <v>0</v>
      </c>
      <c r="AJ42" s="1094">
        <f t="shared" si="9"/>
        <v>0</v>
      </c>
      <c r="AK42" s="1053" t="str">
        <f t="shared" si="23"/>
        <v/>
      </c>
      <c r="AL42" s="1053">
        <f>_xlfn.XLOOKUP(F42,Proveedores!A:A,Proveedores!H:H)</f>
        <v>0</v>
      </c>
      <c r="AM42" s="1290">
        <f>_xlfn.XLOOKUP(F42,Proveedores!A:A,Proveedores!G:G)</f>
        <v>0</v>
      </c>
      <c r="AN42" s="1095" t="str">
        <f t="shared" si="24"/>
        <v>OK</v>
      </c>
    </row>
    <row r="43" spans="1:40" ht="15.95">
      <c r="A43" s="1090" t="b">
        <f t="shared" si="0"/>
        <v>1</v>
      </c>
      <c r="B43" s="1091" t="b">
        <f t="shared" si="10"/>
        <v>1</v>
      </c>
      <c r="C43" s="1092" t="str">
        <f t="shared" si="11"/>
        <v>Dólares</v>
      </c>
      <c r="D43" s="11"/>
      <c r="E43" s="743"/>
      <c r="F43" s="17"/>
      <c r="G43" s="17" t="str">
        <f t="shared" si="12"/>
        <v xml:space="preserve"> </v>
      </c>
      <c r="H43" s="12">
        <v>0</v>
      </c>
      <c r="I43" s="16" t="str">
        <f>IFERROR(VLOOKUP(G43,Proveedores!B:C,2,0)," ")</f>
        <v xml:space="preserve"> </v>
      </c>
      <c r="J43" s="745">
        <v>0</v>
      </c>
      <c r="K43" s="745" t="str">
        <f t="shared" si="1"/>
        <v>Not Found</v>
      </c>
      <c r="L43" s="16">
        <f>IF(K43="Importado",Fletes!$B$66,0%)</f>
        <v>0</v>
      </c>
      <c r="M43" s="745">
        <f t="shared" si="13"/>
        <v>0</v>
      </c>
      <c r="N43" s="16">
        <f>IF(K43&lt;&gt;"Importado",0%,IF(Fletes!$B$67&lt;10,15%,IF(Fletes!$B$67&lt;20,10%,5%)))</f>
        <v>0</v>
      </c>
      <c r="O43" s="745" t="str">
        <f>IFERROR(IF(OR(F43="Offiho",F43="Lauco Sofas",F43="Requiez",F43="Labenze",F43="Sunon Mty",F43="Sonara"),(M43*(1-_xlfn.XLOOKUP(F43,Proveedores!A:A,Proveedores!I:I)))*(1+N43),((M43*(1-_xlfn.XLOOKUP(F43,Proveedores!A:A,Proveedores!I:I)))*(1+N43))+U43),"")</f>
        <v/>
      </c>
      <c r="P43" s="1031"/>
      <c r="Q43" s="1133">
        <f>IF(K43&lt;&gt;"Importado",0,IF(P43&gt;0,P43*H43,IFERROR(_xlfn.XLOOKUP(F43,Proveedores!A:A,Proveedores!F:F,0)*H43,0)))</f>
        <v>0</v>
      </c>
      <c r="R43" s="1134" t="e">
        <f t="shared" si="25"/>
        <v>#VALUE!</v>
      </c>
      <c r="S43" s="743"/>
      <c r="T43" s="1034" t="e">
        <f t="shared" si="2"/>
        <v>#N/A</v>
      </c>
      <c r="U43" s="1034" t="e">
        <f t="shared" si="14"/>
        <v>#N/A</v>
      </c>
      <c r="V43" s="1165" t="e">
        <f t="shared" si="3"/>
        <v>#N/A</v>
      </c>
      <c r="W43" s="1034" t="e">
        <f t="shared" si="15"/>
        <v>#N/A</v>
      </c>
      <c r="X43" s="1034" t="b">
        <f t="shared" si="16"/>
        <v>0</v>
      </c>
      <c r="Y43" s="1034">
        <f t="shared" si="17"/>
        <v>0</v>
      </c>
      <c r="Z43" s="1034">
        <f t="shared" si="18"/>
        <v>0</v>
      </c>
      <c r="AA43" s="1034">
        <f t="shared" si="4"/>
        <v>0</v>
      </c>
      <c r="AB43" s="1034">
        <f t="shared" si="5"/>
        <v>0</v>
      </c>
      <c r="AC43" s="1033">
        <f t="shared" si="19"/>
        <v>0</v>
      </c>
      <c r="AD43" s="1266">
        <f t="shared" si="20"/>
        <v>0</v>
      </c>
      <c r="AE43" s="1093">
        <f t="shared" si="21"/>
        <v>0</v>
      </c>
      <c r="AF43" s="1093">
        <f t="shared" si="22"/>
        <v>0</v>
      </c>
      <c r="AG43" s="1093">
        <f t="shared" si="6"/>
        <v>0</v>
      </c>
      <c r="AH43" s="1033" t="e">
        <f t="shared" si="7"/>
        <v>#DIV/0!</v>
      </c>
      <c r="AI43" s="1091">
        <f t="shared" si="8"/>
        <v>0</v>
      </c>
      <c r="AJ43" s="1094">
        <f t="shared" si="9"/>
        <v>0</v>
      </c>
      <c r="AK43" s="1053" t="str">
        <f t="shared" si="23"/>
        <v/>
      </c>
      <c r="AL43" s="1053">
        <f>_xlfn.XLOOKUP(F43,Proveedores!A:A,Proveedores!H:H)</f>
        <v>0</v>
      </c>
      <c r="AM43" s="1290">
        <f>_xlfn.XLOOKUP(F43,Proveedores!A:A,Proveedores!G:G)</f>
        <v>0</v>
      </c>
      <c r="AN43" s="1095" t="str">
        <f t="shared" si="24"/>
        <v>OK</v>
      </c>
    </row>
    <row r="44" spans="1:40" ht="15.95">
      <c r="A44" s="1090" t="b">
        <f t="shared" si="0"/>
        <v>1</v>
      </c>
      <c r="B44" s="1091" t="b">
        <f t="shared" si="10"/>
        <v>1</v>
      </c>
      <c r="C44" s="1092" t="str">
        <f t="shared" si="11"/>
        <v>Dólares</v>
      </c>
      <c r="D44" s="11"/>
      <c r="E44" s="743"/>
      <c r="F44" s="17"/>
      <c r="G44" s="17" t="str">
        <f t="shared" si="12"/>
        <v xml:space="preserve"> </v>
      </c>
      <c r="H44" s="12">
        <v>0</v>
      </c>
      <c r="I44" s="16" t="str">
        <f>IFERROR(VLOOKUP(G44,Proveedores!B:C,2,0)," ")</f>
        <v xml:space="preserve"> </v>
      </c>
      <c r="J44" s="745">
        <v>0</v>
      </c>
      <c r="K44" s="745" t="str">
        <f t="shared" si="1"/>
        <v>Not Found</v>
      </c>
      <c r="L44" s="16">
        <f>IF(K44="Importado",Fletes!$B$66,0%)</f>
        <v>0</v>
      </c>
      <c r="M44" s="745">
        <f t="shared" si="13"/>
        <v>0</v>
      </c>
      <c r="N44" s="16">
        <f>IF(K44&lt;&gt;"Importado",0%,IF(Fletes!$B$67&lt;10,15%,IF(Fletes!$B$67&lt;20,10%,5%)))</f>
        <v>0</v>
      </c>
      <c r="O44" s="745" t="str">
        <f>IFERROR(IF(OR(F44="Offiho",F44="Lauco Sofas",F44="Requiez",F44="Labenze",F44="Sunon Mty",F44="Sonara"),(M44*(1-_xlfn.XLOOKUP(F44,Proveedores!A:A,Proveedores!I:I)))*(1+N44),((M44*(1-_xlfn.XLOOKUP(F44,Proveedores!A:A,Proveedores!I:I)))*(1+N44))+U44),"")</f>
        <v/>
      </c>
      <c r="P44" s="1031"/>
      <c r="Q44" s="1133">
        <f>IF(K44&lt;&gt;"Importado",0,IF(P44&gt;0,P44*H44,IFERROR(_xlfn.XLOOKUP(F44,Proveedores!A:A,Proveedores!F:F,0)*H44,0)))</f>
        <v>0</v>
      </c>
      <c r="R44" s="1134" t="e">
        <f t="shared" si="25"/>
        <v>#VALUE!</v>
      </c>
      <c r="S44" s="743"/>
      <c r="T44" s="1034" t="e">
        <f t="shared" si="2"/>
        <v>#N/A</v>
      </c>
      <c r="U44" s="1034" t="e">
        <f t="shared" si="14"/>
        <v>#N/A</v>
      </c>
      <c r="V44" s="1165" t="e">
        <f t="shared" si="3"/>
        <v>#N/A</v>
      </c>
      <c r="W44" s="1034" t="e">
        <f t="shared" si="15"/>
        <v>#N/A</v>
      </c>
      <c r="X44" s="1034" t="b">
        <f t="shared" si="16"/>
        <v>0</v>
      </c>
      <c r="Y44" s="1034">
        <f t="shared" si="17"/>
        <v>0</v>
      </c>
      <c r="Z44" s="1034">
        <f t="shared" si="18"/>
        <v>0</v>
      </c>
      <c r="AA44" s="1034">
        <f t="shared" si="4"/>
        <v>0</v>
      </c>
      <c r="AB44" s="1034">
        <f t="shared" si="5"/>
        <v>0</v>
      </c>
      <c r="AC44" s="1033">
        <f t="shared" si="19"/>
        <v>0</v>
      </c>
      <c r="AD44" s="1266">
        <f t="shared" si="20"/>
        <v>0</v>
      </c>
      <c r="AE44" s="1093">
        <f t="shared" si="21"/>
        <v>0</v>
      </c>
      <c r="AF44" s="1093">
        <f t="shared" si="22"/>
        <v>0</v>
      </c>
      <c r="AG44" s="1093">
        <f t="shared" si="6"/>
        <v>0</v>
      </c>
      <c r="AH44" s="1033" t="e">
        <f t="shared" si="7"/>
        <v>#DIV/0!</v>
      </c>
      <c r="AI44" s="1091">
        <f t="shared" si="8"/>
        <v>0</v>
      </c>
      <c r="AJ44" s="1094">
        <f t="shared" si="9"/>
        <v>0</v>
      </c>
      <c r="AK44" s="1053" t="str">
        <f t="shared" si="23"/>
        <v/>
      </c>
      <c r="AL44" s="1053">
        <f>_xlfn.XLOOKUP(F44,Proveedores!A:A,Proveedores!H:H)</f>
        <v>0</v>
      </c>
      <c r="AM44" s="1290">
        <f>_xlfn.XLOOKUP(F44,Proveedores!A:A,Proveedores!G:G)</f>
        <v>0</v>
      </c>
      <c r="AN44" s="1095" t="str">
        <f t="shared" si="24"/>
        <v>OK</v>
      </c>
    </row>
    <row r="45" spans="1:40" ht="15.95">
      <c r="A45" s="1090" t="b">
        <f t="shared" si="0"/>
        <v>1</v>
      </c>
      <c r="B45" s="1091" t="b">
        <f t="shared" si="10"/>
        <v>1</v>
      </c>
      <c r="C45" s="1092" t="str">
        <f t="shared" si="11"/>
        <v>Dólares</v>
      </c>
      <c r="D45" s="11"/>
      <c r="E45" s="743"/>
      <c r="F45" s="17"/>
      <c r="G45" s="17" t="str">
        <f t="shared" si="12"/>
        <v xml:space="preserve"> </v>
      </c>
      <c r="H45" s="12">
        <v>0</v>
      </c>
      <c r="I45" s="16" t="str">
        <f>IFERROR(VLOOKUP(G45,Proveedores!B:C,2,0)," ")</f>
        <v xml:space="preserve"> </v>
      </c>
      <c r="J45" s="745">
        <v>0</v>
      </c>
      <c r="K45" s="745" t="str">
        <f t="shared" si="1"/>
        <v>Not Found</v>
      </c>
      <c r="L45" s="16">
        <f>IF(K45="Importado",Fletes!$B$66,0%)</f>
        <v>0</v>
      </c>
      <c r="M45" s="745">
        <f t="shared" si="13"/>
        <v>0</v>
      </c>
      <c r="N45" s="16">
        <f>IF(K45&lt;&gt;"Importado",0%,IF(Fletes!$B$67&lt;10,15%,IF(Fletes!$B$67&lt;20,10%,5%)))</f>
        <v>0</v>
      </c>
      <c r="O45" s="745" t="str">
        <f>IFERROR(IF(OR(F45="Offiho",F45="Lauco Sofas",F45="Requiez",F45="Labenze",F45="Sunon Mty",F45="Sonara"),(M45*(1-_xlfn.XLOOKUP(F45,Proveedores!A:A,Proveedores!I:I)))*(1+N45),((M45*(1-_xlfn.XLOOKUP(F45,Proveedores!A:A,Proveedores!I:I)))*(1+N45))+U45),"")</f>
        <v/>
      </c>
      <c r="P45" s="1031"/>
      <c r="Q45" s="1133">
        <f>IF(K45&lt;&gt;"Importado",0,IF(P45&gt;0,P45*H45,IFERROR(_xlfn.XLOOKUP(F45,Proveedores!A:A,Proveedores!F:F,0)*H45,0)))</f>
        <v>0</v>
      </c>
      <c r="R45" s="1134" t="e">
        <f t="shared" si="25"/>
        <v>#VALUE!</v>
      </c>
      <c r="S45" s="743"/>
      <c r="T45" s="1034" t="e">
        <f t="shared" si="2"/>
        <v>#N/A</v>
      </c>
      <c r="U45" s="1034" t="e">
        <f t="shared" si="14"/>
        <v>#N/A</v>
      </c>
      <c r="V45" s="1165" t="e">
        <f t="shared" si="3"/>
        <v>#N/A</v>
      </c>
      <c r="W45" s="1034" t="e">
        <f t="shared" si="15"/>
        <v>#N/A</v>
      </c>
      <c r="X45" s="1034" t="b">
        <f t="shared" si="16"/>
        <v>0</v>
      </c>
      <c r="Y45" s="1034">
        <f t="shared" si="17"/>
        <v>0</v>
      </c>
      <c r="Z45" s="1034">
        <f t="shared" si="18"/>
        <v>0</v>
      </c>
      <c r="AA45" s="1034">
        <f t="shared" si="4"/>
        <v>0</v>
      </c>
      <c r="AB45" s="1034">
        <f t="shared" si="5"/>
        <v>0</v>
      </c>
      <c r="AC45" s="1033">
        <f t="shared" si="19"/>
        <v>0</v>
      </c>
      <c r="AD45" s="1266">
        <f t="shared" si="20"/>
        <v>0</v>
      </c>
      <c r="AE45" s="1093">
        <f t="shared" si="21"/>
        <v>0</v>
      </c>
      <c r="AF45" s="1093">
        <f t="shared" si="22"/>
        <v>0</v>
      </c>
      <c r="AG45" s="1093">
        <f t="shared" si="6"/>
        <v>0</v>
      </c>
      <c r="AH45" s="1033" t="e">
        <f t="shared" si="7"/>
        <v>#DIV/0!</v>
      </c>
      <c r="AI45" s="1091">
        <f t="shared" si="8"/>
        <v>0</v>
      </c>
      <c r="AJ45" s="1094">
        <f t="shared" si="9"/>
        <v>0</v>
      </c>
      <c r="AK45" s="1053" t="str">
        <f t="shared" si="23"/>
        <v/>
      </c>
      <c r="AL45" s="1053">
        <f>_xlfn.XLOOKUP(F45,Proveedores!A:A,Proveedores!H:H)</f>
        <v>0</v>
      </c>
      <c r="AM45" s="1290">
        <f>_xlfn.XLOOKUP(F45,Proveedores!A:A,Proveedores!G:G)</f>
        <v>0</v>
      </c>
      <c r="AN45" s="1095" t="str">
        <f t="shared" si="24"/>
        <v>OK</v>
      </c>
    </row>
    <row r="46" spans="1:40" ht="15.95">
      <c r="A46" s="1090" t="b">
        <f t="shared" si="0"/>
        <v>1</v>
      </c>
      <c r="B46" s="1091" t="b">
        <f t="shared" si="10"/>
        <v>1</v>
      </c>
      <c r="C46" s="1092" t="str">
        <f t="shared" si="11"/>
        <v>Dólares</v>
      </c>
      <c r="D46" s="11"/>
      <c r="E46" s="743"/>
      <c r="F46" s="17"/>
      <c r="G46" s="17" t="str">
        <f t="shared" si="12"/>
        <v xml:space="preserve"> </v>
      </c>
      <c r="H46" s="12">
        <v>0</v>
      </c>
      <c r="I46" s="16" t="str">
        <f>IFERROR(VLOOKUP(G46,Proveedores!B:C,2,0)," ")</f>
        <v xml:space="preserve"> </v>
      </c>
      <c r="J46" s="745">
        <v>0</v>
      </c>
      <c r="K46" s="745" t="str">
        <f t="shared" si="1"/>
        <v>Not Found</v>
      </c>
      <c r="L46" s="16">
        <f>IF(K46="Importado",Fletes!$B$66,0%)</f>
        <v>0</v>
      </c>
      <c r="M46" s="745">
        <f t="shared" si="13"/>
        <v>0</v>
      </c>
      <c r="N46" s="16">
        <f>IF(K46&lt;&gt;"Importado",0%,IF(Fletes!$B$67&lt;10,15%,IF(Fletes!$B$67&lt;20,10%,5%)))</f>
        <v>0</v>
      </c>
      <c r="O46" s="745" t="str">
        <f>IFERROR(IF(OR(F46="Offiho",F46="Lauco Sofas",F46="Requiez",F46="Labenze",F46="Sunon Mty",F46="Sonara"),(M46*(1-_xlfn.XLOOKUP(F46,Proveedores!A:A,Proveedores!I:I)))*(1+N46),((M46*(1-_xlfn.XLOOKUP(F46,Proveedores!A:A,Proveedores!I:I)))*(1+N46))+U46),"")</f>
        <v/>
      </c>
      <c r="P46" s="1031"/>
      <c r="Q46" s="1133">
        <f>IF(K46&lt;&gt;"Importado",0,IF(P46&gt;0,P46*H46,IFERROR(_xlfn.XLOOKUP(F46,Proveedores!A:A,Proveedores!F:F,0)*H46,0)))</f>
        <v>0</v>
      </c>
      <c r="R46" s="1134" t="e">
        <f t="shared" si="25"/>
        <v>#VALUE!</v>
      </c>
      <c r="S46" s="743"/>
      <c r="T46" s="1034" t="e">
        <f t="shared" si="2"/>
        <v>#N/A</v>
      </c>
      <c r="U46" s="1034" t="e">
        <f t="shared" si="14"/>
        <v>#N/A</v>
      </c>
      <c r="V46" s="1165" t="e">
        <f t="shared" si="3"/>
        <v>#N/A</v>
      </c>
      <c r="W46" s="1034" t="e">
        <f t="shared" si="15"/>
        <v>#N/A</v>
      </c>
      <c r="X46" s="1034" t="b">
        <f t="shared" si="16"/>
        <v>0</v>
      </c>
      <c r="Y46" s="1034">
        <f t="shared" si="17"/>
        <v>0</v>
      </c>
      <c r="Z46" s="1034">
        <f t="shared" si="18"/>
        <v>0</v>
      </c>
      <c r="AA46" s="1034">
        <f t="shared" si="4"/>
        <v>0</v>
      </c>
      <c r="AB46" s="1034">
        <f t="shared" si="5"/>
        <v>0</v>
      </c>
      <c r="AC46" s="1033">
        <f t="shared" si="19"/>
        <v>0</v>
      </c>
      <c r="AD46" s="1266">
        <f t="shared" si="20"/>
        <v>0</v>
      </c>
      <c r="AE46" s="1093">
        <f t="shared" si="21"/>
        <v>0</v>
      </c>
      <c r="AF46" s="1093">
        <f t="shared" si="22"/>
        <v>0</v>
      </c>
      <c r="AG46" s="1093">
        <f t="shared" si="6"/>
        <v>0</v>
      </c>
      <c r="AH46" s="1033" t="e">
        <f t="shared" si="7"/>
        <v>#DIV/0!</v>
      </c>
      <c r="AI46" s="1091">
        <f t="shared" si="8"/>
        <v>0</v>
      </c>
      <c r="AJ46" s="1094">
        <f t="shared" si="9"/>
        <v>0</v>
      </c>
      <c r="AK46" s="1053" t="str">
        <f t="shared" si="23"/>
        <v/>
      </c>
      <c r="AL46" s="1053">
        <f>_xlfn.XLOOKUP(F46,Proveedores!A:A,Proveedores!H:H)</f>
        <v>0</v>
      </c>
      <c r="AM46" s="1290">
        <f>_xlfn.XLOOKUP(F46,Proveedores!A:A,Proveedores!G:G)</f>
        <v>0</v>
      </c>
      <c r="AN46" s="1095" t="str">
        <f t="shared" si="24"/>
        <v>OK</v>
      </c>
    </row>
    <row r="47" spans="1:40" ht="15.95">
      <c r="A47" s="1090" t="b">
        <f t="shared" si="0"/>
        <v>1</v>
      </c>
      <c r="B47" s="1091" t="b">
        <f t="shared" si="10"/>
        <v>1</v>
      </c>
      <c r="C47" s="1092" t="str">
        <f t="shared" si="11"/>
        <v>Dólares</v>
      </c>
      <c r="D47" s="11"/>
      <c r="E47" s="743"/>
      <c r="F47" s="17"/>
      <c r="G47" s="17" t="str">
        <f t="shared" si="12"/>
        <v xml:space="preserve"> </v>
      </c>
      <c r="H47" s="12">
        <v>0</v>
      </c>
      <c r="I47" s="16" t="str">
        <f>IFERROR(VLOOKUP(G47,Proveedores!B:C,2,0)," ")</f>
        <v xml:space="preserve"> </v>
      </c>
      <c r="J47" s="745">
        <v>0</v>
      </c>
      <c r="K47" s="745" t="str">
        <f t="shared" si="1"/>
        <v>Not Found</v>
      </c>
      <c r="L47" s="16">
        <f>IF(K47="Importado",Fletes!$B$66,0%)</f>
        <v>0</v>
      </c>
      <c r="M47" s="745">
        <f t="shared" si="13"/>
        <v>0</v>
      </c>
      <c r="N47" s="16">
        <f>IF(K47&lt;&gt;"Importado",0%,IF(Fletes!$B$67&lt;10,15%,IF(Fletes!$B$67&lt;20,10%,5%)))</f>
        <v>0</v>
      </c>
      <c r="O47" s="745" t="str">
        <f>IFERROR(IF(OR(F47="Offiho",F47="Lauco Sofas",F47="Requiez",F47="Labenze",F47="Sunon Mty",F47="Sonara"),(M47*(1-_xlfn.XLOOKUP(F47,Proveedores!A:A,Proveedores!I:I)))*(1+N47),((M47*(1-_xlfn.XLOOKUP(F47,Proveedores!A:A,Proveedores!I:I)))*(1+N47))+U47),"")</f>
        <v/>
      </c>
      <c r="P47" s="1031"/>
      <c r="Q47" s="1133">
        <f>IF(K47&lt;&gt;"Importado",0,IF(P47&gt;0,P47*H47,IFERROR(_xlfn.XLOOKUP(F47,Proveedores!A:A,Proveedores!F:F,0)*H47,0)))</f>
        <v>0</v>
      </c>
      <c r="R47" s="1134" t="e">
        <f t="shared" si="25"/>
        <v>#VALUE!</v>
      </c>
      <c r="S47" s="743"/>
      <c r="T47" s="1034" t="e">
        <f t="shared" si="2"/>
        <v>#N/A</v>
      </c>
      <c r="U47" s="1034" t="e">
        <f t="shared" si="14"/>
        <v>#N/A</v>
      </c>
      <c r="V47" s="1165" t="e">
        <f t="shared" si="3"/>
        <v>#N/A</v>
      </c>
      <c r="W47" s="1034" t="e">
        <f t="shared" si="15"/>
        <v>#N/A</v>
      </c>
      <c r="X47" s="1034" t="b">
        <f t="shared" si="16"/>
        <v>0</v>
      </c>
      <c r="Y47" s="1034">
        <f t="shared" si="17"/>
        <v>0</v>
      </c>
      <c r="Z47" s="1034">
        <f t="shared" si="18"/>
        <v>0</v>
      </c>
      <c r="AA47" s="1034">
        <f t="shared" si="4"/>
        <v>0</v>
      </c>
      <c r="AB47" s="1034">
        <f t="shared" si="5"/>
        <v>0</v>
      </c>
      <c r="AC47" s="1033">
        <f t="shared" si="19"/>
        <v>0</v>
      </c>
      <c r="AD47" s="1266">
        <f t="shared" si="20"/>
        <v>0</v>
      </c>
      <c r="AE47" s="1093">
        <f t="shared" si="21"/>
        <v>0</v>
      </c>
      <c r="AF47" s="1093">
        <f t="shared" si="22"/>
        <v>0</v>
      </c>
      <c r="AG47" s="1093">
        <f t="shared" si="6"/>
        <v>0</v>
      </c>
      <c r="AH47" s="1033" t="str">
        <f t="shared" si="7"/>
        <v>NA</v>
      </c>
      <c r="AI47" s="1091">
        <f t="shared" si="8"/>
        <v>0</v>
      </c>
      <c r="AJ47" s="1094">
        <f t="shared" si="9"/>
        <v>0</v>
      </c>
      <c r="AK47" s="1053" t="str">
        <f t="shared" si="23"/>
        <v/>
      </c>
      <c r="AL47" s="1053">
        <f>_xlfn.XLOOKUP(F47,Proveedores!A:A,Proveedores!H:H)</f>
        <v>0</v>
      </c>
      <c r="AM47" s="1290">
        <f>_xlfn.XLOOKUP(F47,Proveedores!A:A,Proveedores!G:G)</f>
        <v>0</v>
      </c>
      <c r="AN47" s="1095" t="str">
        <f t="shared" si="24"/>
        <v>OK</v>
      </c>
    </row>
    <row r="48" spans="1:40" ht="24" customHeight="1">
      <c r="A48" s="1375" t="s">
        <v>126</v>
      </c>
      <c r="B48" s="1375"/>
      <c r="C48" s="1375"/>
      <c r="D48" s="1375"/>
      <c r="E48" s="1375"/>
      <c r="F48" s="1375"/>
      <c r="G48" s="1099"/>
      <c r="H48" s="1100" cm="1">
        <f t="array" ref="H48">SUM(IFERROR(H15:H47,0))</f>
        <v>0</v>
      </c>
      <c r="I48" s="1099"/>
      <c r="J48" s="1101"/>
      <c r="K48" s="1101"/>
      <c r="L48" s="1101"/>
      <c r="M48" s="1101"/>
      <c r="N48" s="1101"/>
      <c r="O48" s="1101"/>
      <c r="P48" s="1102"/>
      <c r="Q48" s="1100" cm="1">
        <f t="array" ref="Q48">SUM(IFERROR(Q15:Q47,0))</f>
        <v>0</v>
      </c>
      <c r="R48" s="1103" cm="1">
        <f t="array" ref="R48">SUM(IFERROR(R15:R47,0))</f>
        <v>0</v>
      </c>
      <c r="S48" s="1104"/>
      <c r="T48" s="1104"/>
      <c r="U48" s="1104"/>
      <c r="V48" s="1104"/>
      <c r="W48" s="1104"/>
      <c r="X48" s="1104"/>
      <c r="Y48" s="1102"/>
      <c r="Z48" s="1102"/>
      <c r="AA48" s="1102"/>
      <c r="AB48" s="1103" cm="1">
        <f t="array" ref="AB48">SUM(IFERROR(AB15:AB47,0))</f>
        <v>0</v>
      </c>
      <c r="AC48" s="1104" t="s">
        <v>127</v>
      </c>
      <c r="AD48" s="1104"/>
      <c r="AE48" s="1104"/>
      <c r="AF48" s="1104"/>
      <c r="AG48" s="1103" cm="1">
        <f t="array" ref="AG48">SUM(IFERROR(AG15:AG47,0))</f>
        <v>0</v>
      </c>
      <c r="AH48" s="1105" t="e" cm="1">
        <f t="array" ref="AH48">AVERAGE(IFERROR(AH15:AH47,""))</f>
        <v>#DIV/0!</v>
      </c>
      <c r="AI48" s="1103"/>
      <c r="AJ48" s="1103" cm="1">
        <f t="array" ref="AJ48">SUM(IFERROR(AJ15:AJ47,0))</f>
        <v>0</v>
      </c>
      <c r="AK48" s="1054" cm="1">
        <f t="array" ref="AK48">IFERROR(SUMPRODUCT(IFERROR(AG15:AG47,0),IFERROR(AK15:AK47,0))/SUMPRODUCT(IFERROR(AG15:AG47,0)),0)</f>
        <v>0</v>
      </c>
      <c r="AL48" s="1288"/>
      <c r="AM48" s="1288"/>
      <c r="AN48"/>
    </row>
    <row r="49" spans="1:40" ht="26.1" customHeight="1">
      <c r="A49" s="1397" t="s">
        <v>128</v>
      </c>
      <c r="B49" s="1397"/>
      <c r="C49" s="1397"/>
      <c r="D49" s="1397"/>
      <c r="E49" s="1397"/>
      <c r="F49" s="1397"/>
      <c r="G49" s="1397"/>
      <c r="H49" s="1397"/>
      <c r="I49" s="1397"/>
      <c r="J49" s="1398"/>
      <c r="K49" s="1160"/>
      <c r="L49" s="1160"/>
      <c r="M49" s="1160"/>
      <c r="N49" s="1160"/>
      <c r="O49" s="1160"/>
      <c r="P49" s="1088"/>
      <c r="Q49" s="1088"/>
      <c r="R49" s="1088"/>
      <c r="S49" s="1087"/>
      <c r="T49" s="1087"/>
      <c r="U49" s="1087"/>
      <c r="V49" s="1087"/>
      <c r="W49" s="1087"/>
      <c r="X49" s="1087"/>
      <c r="Y49" s="1087"/>
      <c r="Z49" s="1087"/>
      <c r="AA49" s="1087"/>
      <c r="AB49" s="1087"/>
      <c r="AC49" s="1087"/>
      <c r="AD49" s="1087"/>
      <c r="AE49" s="1087"/>
      <c r="AF49" s="1087"/>
      <c r="AG49" s="1087"/>
      <c r="AH49" s="1087"/>
      <c r="AI49" s="1087"/>
      <c r="AJ49" s="1087"/>
      <c r="AK49" s="1089"/>
      <c r="AL49" s="1287"/>
      <c r="AM49" s="1287"/>
      <c r="AN49"/>
    </row>
    <row r="50" spans="1:40" ht="15.95">
      <c r="A50" s="1090" t="b">
        <f t="shared" ref="A50:A82" si="28">$A$14</f>
        <v>1</v>
      </c>
      <c r="B50" s="1091" t="b">
        <f>A50</f>
        <v>1</v>
      </c>
      <c r="C50" s="1092" t="str">
        <f>$C$14</f>
        <v>Dólares</v>
      </c>
      <c r="D50" s="11"/>
      <c r="E50" s="743"/>
      <c r="F50" s="17"/>
      <c r="G50" s="17" t="str">
        <f t="shared" ref="G50:G82" si="29">IFERROR(VLOOKUP(F50,Tabla_Proveedores_1,2,0)," ")</f>
        <v xml:space="preserve"> </v>
      </c>
      <c r="H50" s="12">
        <v>0</v>
      </c>
      <c r="I50" s="16" t="str">
        <f>IFERROR(VLOOKUP(G50,Proveedores!B:C,2,0)," ")</f>
        <v xml:space="preserve"> </v>
      </c>
      <c r="J50" s="745"/>
      <c r="K50" s="745" t="str">
        <f t="shared" ref="K50:K82" si="30">IFERROR(VLOOKUP(TRIM(F50), ProveedoreS_TC, 5, FALSE), "Not Found")</f>
        <v>Not Found</v>
      </c>
      <c r="L50" s="16">
        <f>IF(K50="Importado",Fletes!$B$66,0%)</f>
        <v>0</v>
      </c>
      <c r="M50" s="745">
        <f>IF(K50="Importado",J50*(1+L50),J50*(1+L50))</f>
        <v>0</v>
      </c>
      <c r="N50" s="16">
        <f>IF(K50&lt;&gt;"Importado",0%,IF(Fletes!$B$67&lt;10,15%,IF(Fletes!$B$67&lt;20,10%,5%)))</f>
        <v>0</v>
      </c>
      <c r="O50" s="745" t="str">
        <f>IFERROR(IF(OR(F50="Offiho",F50="Lauco Sofas",F50="Requiez",F50="Labenze",F50="Sunon Mty",F50="Sonara"),(M50*(1-_xlfn.XLOOKUP(F50,Proveedores!A:A,Proveedores!I:I)))*(1+N50),((M50*(1-_xlfn.XLOOKUP(F50,Proveedores!A:A,Proveedores!I:I)))*(1+N50))+U50),"")</f>
        <v/>
      </c>
      <c r="P50" s="1031"/>
      <c r="Q50" s="1133">
        <f>IF(K50&lt;&gt;"Importado",0,IF(P50&gt;0,P50*H50,IFERROR(_xlfn.XLOOKUP(F50,Proveedores!A:A,Proveedores!F:F,0)*H50,0)))</f>
        <v>0</v>
      </c>
      <c r="R50" s="1134" t="e">
        <f>O50*H50</f>
        <v>#VALUE!</v>
      </c>
      <c r="S50" s="743"/>
      <c r="T50" s="1034" t="e">
        <f t="shared" ref="T50:T82" si="31">IF(H50&gt;15,0,VLOOKUP(E50,Tabla_Instalacion,2,FALSE))</f>
        <v>#N/A</v>
      </c>
      <c r="U50" s="1034" t="e">
        <f>X50/V50</f>
        <v>#N/A</v>
      </c>
      <c r="V50" s="1165" t="e">
        <f t="shared" ref="V50:V82" si="32">VLOOKUP(E50,Tabla_Factor,2,FALSE)</f>
        <v>#N/A</v>
      </c>
      <c r="W50" s="1034" t="e">
        <f>T50*V50</f>
        <v>#N/A</v>
      </c>
      <c r="X50" s="1034" t="b">
        <f>IF(S50="Occidente",W50,IF(S50="Norte",W50*1.5,IF(S50="Centro",W50*1.2,IF(S50="Sur",W50*1.7))))</f>
        <v>0</v>
      </c>
      <c r="Y50" s="1034">
        <f>ROUNDUP(IF(OR(F50="Offiho",F50="Lauco Sofas",F50="Requiez",F50="Labenze",F50="Sunon Mty",F50="Sonara",F50="Santeco"),J50,IF(K50="Nacional",O50/(1-30%),IF(K50="Importado",O50/(1-40%),IF(OR(F50="Lumbro",F50="Idelika"),O50/(1-20%))))),0)</f>
        <v>0</v>
      </c>
      <c r="Z50" s="1034">
        <f>ROUNDUP(IF(OR(F50="Offiho",F50="Lauco Sofas",F50="Requiez",F50="Labenze",F50="Sunon Mty",F50="Sonara",F50="Sonara"),Y50,IF($P$10="MIXTO",IF(K50="Nacional",Y50/(1-50%),Y50/(1-50%)),IF($P$10="IMPORTADO",Y50/(1-50%),IF($P$10="NACIONAL",Y50/(1-20%),Y50/(1-20%))))),0)</f>
        <v>0</v>
      </c>
      <c r="AA50" s="1034">
        <f t="shared" ref="AA50:AA82" si="33">IF(Z50&gt;=Y50,_xlfn.MINIFS($Z$15:$Z$572,$D$15:$D$572,D50),"NO SE ESTA RESPETANDO EL MARGEN")</f>
        <v>0</v>
      </c>
      <c r="AB50" s="1034">
        <f t="shared" ref="AB50:AB82" si="34">IFERROR(AA50*H50,0)</f>
        <v>0</v>
      </c>
      <c r="AC50" s="1033">
        <f>IF($P$10="IMPORTADO",50%,IF($P$10="NACIONAL",20%,IF($P$10="MIXTO",50%,0%)))</f>
        <v>0</v>
      </c>
      <c r="AD50" s="1266">
        <f t="shared" ref="AD50:AD82" si="35">IF(H50&gt;0,$E$5,0)</f>
        <v>0</v>
      </c>
      <c r="AE50" s="1093">
        <f>IFERROR(AA50*AD50,0)</f>
        <v>0</v>
      </c>
      <c r="AF50" s="1093">
        <f>IF($E$5&gt;$E$6,"ERROR",AA50-AE50)</f>
        <v>0</v>
      </c>
      <c r="AG50" s="1093">
        <f t="shared" ref="AG50:AG82" si="36">AF50*H50</f>
        <v>0</v>
      </c>
      <c r="AH50" s="1033" t="e">
        <f t="shared" ref="AH50:AH82" si="37">IF(A51=TRUE,MAX(0,1-(AI50/Z50)),"NA")</f>
        <v>#DIV/0!</v>
      </c>
      <c r="AI50" s="1091">
        <f t="shared" ref="AI50:AI82" si="38">IF(A49=FALSE,"NO APLICA",AF50*(1+$AI$8))</f>
        <v>0</v>
      </c>
      <c r="AJ50" s="1094">
        <f t="shared" ref="AJ50:AJ82" si="39">AI50*H50</f>
        <v>0</v>
      </c>
      <c r="AK50" s="1053" t="str">
        <f t="shared" ref="AK50:AK82" si="40">IFERROR(IF(OR(F50="Offiho",F50="Vandesk",F50="Requiez",F50="Labenze",F50="Idelika",F50="Sunon Mty"),(AG50-(J50*(1-I50)*H50))/AG50,(AG50-R50)/AG50),"")</f>
        <v/>
      </c>
      <c r="AL50" s="1053"/>
      <c r="AM50" s="1290">
        <f>_xlfn.XLOOKUP(F50,Proveedores!A:A,Proveedores!G:G)</f>
        <v>0</v>
      </c>
      <c r="AN50" s="1095" t="str">
        <f>IF(AK50&lt;AM50,"ERROR","OK")</f>
        <v>OK</v>
      </c>
    </row>
    <row r="51" spans="1:40" ht="15.95">
      <c r="A51" s="1090" t="b">
        <f t="shared" si="28"/>
        <v>1</v>
      </c>
      <c r="B51" s="1091" t="b">
        <f t="shared" ref="B51:B82" si="41">A51</f>
        <v>1</v>
      </c>
      <c r="C51" s="1092" t="str">
        <f t="shared" ref="C51:C82" si="42">$C$14</f>
        <v>Dólares</v>
      </c>
      <c r="D51" s="11"/>
      <c r="E51" s="743"/>
      <c r="F51" s="17"/>
      <c r="G51" s="17" t="str">
        <f t="shared" si="29"/>
        <v xml:space="preserve"> </v>
      </c>
      <c r="H51" s="12">
        <v>0</v>
      </c>
      <c r="I51" s="16" t="str">
        <f>IFERROR(VLOOKUP(G51,Proveedores!B:C,2,0)," ")</f>
        <v xml:space="preserve"> </v>
      </c>
      <c r="J51" s="745"/>
      <c r="K51" s="745" t="str">
        <f t="shared" si="30"/>
        <v>Not Found</v>
      </c>
      <c r="L51" s="16">
        <f>IF(K51="Importado",Fletes!$B$66,0%)</f>
        <v>0</v>
      </c>
      <c r="M51" s="745">
        <f t="shared" ref="M51:M82" si="43">IF(K51="Importado",J51*(1+L51),J51*(1+L51))</f>
        <v>0</v>
      </c>
      <c r="N51" s="16">
        <f>IF(K51&lt;&gt;"Importado",0%,IF(Fletes!$B$67&lt;10,15%,IF(Fletes!$B$67&lt;20,10%,5%)))</f>
        <v>0</v>
      </c>
      <c r="O51" s="745" t="str">
        <f>IFERROR(IF(OR(F51="Offiho",F51="Lauco Sofas",F51="Requiez",F51="Labenze",F51="Sunon Mty",F51="Sonara"),(M51*(1-_xlfn.XLOOKUP(F51,Proveedores!A:A,Proveedores!I:I)))*(1+N51),((M51*(1-_xlfn.XLOOKUP(F51,Proveedores!A:A,Proveedores!I:I)))*(1+N51))+U51),"")</f>
        <v/>
      </c>
      <c r="P51" s="1031"/>
      <c r="Q51" s="1133">
        <f>IF(K51&lt;&gt;"Importado",0,IF(P51&gt;0,P51*H51,IFERROR(_xlfn.XLOOKUP(F51,Proveedores!A:A,Proveedores!F:F,0)*H51,0)))</f>
        <v>0</v>
      </c>
      <c r="R51" s="1134" t="e">
        <f t="shared" ref="R51:R82" si="44">O51*H51</f>
        <v>#VALUE!</v>
      </c>
      <c r="S51" s="743"/>
      <c r="T51" s="1034" t="e">
        <f t="shared" si="31"/>
        <v>#N/A</v>
      </c>
      <c r="U51" s="1034" t="e">
        <f t="shared" ref="U51:U82" si="45">X51/V51</f>
        <v>#N/A</v>
      </c>
      <c r="V51" s="1165" t="e">
        <f t="shared" si="32"/>
        <v>#N/A</v>
      </c>
      <c r="W51" s="1034" t="e">
        <f t="shared" ref="W51:W82" si="46">T51*V51</f>
        <v>#N/A</v>
      </c>
      <c r="X51" s="1034" t="b">
        <f t="shared" ref="X51:X82" si="47">IF(S51="Occidente",W51,IF(S51="Norte",W51*1.5,IF(S51="Centro",W51*1.2,IF(S51="Sur",W51*1.7))))</f>
        <v>0</v>
      </c>
      <c r="Y51" s="1034">
        <f t="shared" ref="Y51:Y82" si="48">ROUNDUP(IF(OR(F51="Offiho",F51="Lauco Sofas",F51="Requiez",F51="Labenze",F51="Sunon Mty",F51="Sonara",F51="Santeco"),J51,IF(K51="Nacional",O51/(1-30%),IF(K51="Importado",O51/(1-40%),IF(OR(F51="Lumbro",F51="Idelika"),O51/(1-20%))))),0)</f>
        <v>0</v>
      </c>
      <c r="Z51" s="1034">
        <f t="shared" ref="Z51:Z82" si="49">ROUNDUP(IF(OR(F51="Offiho",F51="Lauco Sofas",F51="Requiez",F51="Labenze",F51="Sunon Mty",F51="Sonara",F51="Sonara"),Y51,IF($P$10="MIXTO",IF(K51="Nacional",Y51/(1-50%),Y51/(1-50%)),IF($P$10="IMPORTADO",Y51/(1-50%),IF($P$10="NACIONAL",Y51/(1-20%),Y51/(1-20%))))),0)</f>
        <v>0</v>
      </c>
      <c r="AA51" s="1034">
        <f t="shared" si="33"/>
        <v>0</v>
      </c>
      <c r="AB51" s="1034">
        <f t="shared" si="34"/>
        <v>0</v>
      </c>
      <c r="AC51" s="1033">
        <f t="shared" ref="AC51:AC82" si="50">IF($P$10="IMPORTADO",50%,IF($P$10="NACIONAL",20%,IF($P$10="MIXTO",50%,0%)))</f>
        <v>0</v>
      </c>
      <c r="AD51" s="1266">
        <f t="shared" si="35"/>
        <v>0</v>
      </c>
      <c r="AE51" s="1093">
        <f t="shared" ref="AE51:AE82" si="51">IFERROR(AA51*AD51,0)</f>
        <v>0</v>
      </c>
      <c r="AF51" s="1093">
        <f t="shared" ref="AF51:AF82" si="52">IF($E$5&gt;$E$6,"ERROR",AA51-AE51)</f>
        <v>0</v>
      </c>
      <c r="AG51" s="1093">
        <f t="shared" si="36"/>
        <v>0</v>
      </c>
      <c r="AH51" s="1033" t="e">
        <f t="shared" si="37"/>
        <v>#DIV/0!</v>
      </c>
      <c r="AI51" s="1091">
        <f t="shared" si="38"/>
        <v>0</v>
      </c>
      <c r="AJ51" s="1094">
        <f t="shared" si="39"/>
        <v>0</v>
      </c>
      <c r="AK51" s="1053" t="str">
        <f t="shared" si="40"/>
        <v/>
      </c>
      <c r="AL51" s="1053"/>
      <c r="AM51" s="1290">
        <f>_xlfn.XLOOKUP(F51,Proveedores!A:A,Proveedores!G:G)</f>
        <v>0</v>
      </c>
      <c r="AN51" s="1095" t="str">
        <f t="shared" ref="AN51:AN82" si="53">IF(AK51&lt;AM51,"ERROR","OK")</f>
        <v>OK</v>
      </c>
    </row>
    <row r="52" spans="1:40" ht="15.95">
      <c r="A52" s="1090" t="b">
        <f t="shared" si="28"/>
        <v>1</v>
      </c>
      <c r="B52" s="1091" t="b">
        <f t="shared" si="41"/>
        <v>1</v>
      </c>
      <c r="C52" s="1092" t="str">
        <f t="shared" si="42"/>
        <v>Dólares</v>
      </c>
      <c r="D52" s="11"/>
      <c r="E52" s="743"/>
      <c r="F52" s="17"/>
      <c r="G52" s="17" t="str">
        <f t="shared" si="29"/>
        <v xml:space="preserve"> </v>
      </c>
      <c r="H52" s="12">
        <v>0</v>
      </c>
      <c r="I52" s="16" t="str">
        <f>IFERROR(VLOOKUP(G52,Proveedores!B:C,2,0)," ")</f>
        <v xml:space="preserve"> </v>
      </c>
      <c r="J52" s="745">
        <v>0</v>
      </c>
      <c r="K52" s="745" t="str">
        <f t="shared" si="30"/>
        <v>Not Found</v>
      </c>
      <c r="L52" s="16">
        <f>IF(K52="Importado",Fletes!$B$66,0%)</f>
        <v>0</v>
      </c>
      <c r="M52" s="745">
        <f t="shared" si="43"/>
        <v>0</v>
      </c>
      <c r="N52" s="16">
        <f>IF(K52&lt;&gt;"Importado",0%,IF(Fletes!$B$67&lt;10,15%,IF(Fletes!$B$67&lt;20,10%,5%)))</f>
        <v>0</v>
      </c>
      <c r="O52" s="745" t="str">
        <f>IFERROR(IF(OR(F52="Offiho",F52="Lauco Sofas",F52="Requiez",F52="Labenze",F52="Sunon Mty",F52="Sonara"),(M52*(1-_xlfn.XLOOKUP(F52,Proveedores!A:A,Proveedores!I:I)))*(1+N52),((M52*(1-_xlfn.XLOOKUP(F52,Proveedores!A:A,Proveedores!I:I)))*(1+N52))+U52),"")</f>
        <v/>
      </c>
      <c r="P52" s="1031"/>
      <c r="Q52" s="1133">
        <f>IF(K52&lt;&gt;"Importado",0,IF(P52&gt;0,P52*H52,IFERROR(_xlfn.XLOOKUP(F52,Proveedores!A:A,Proveedores!F:F,0)*H52,0)))</f>
        <v>0</v>
      </c>
      <c r="R52" s="1134" t="e">
        <f t="shared" si="44"/>
        <v>#VALUE!</v>
      </c>
      <c r="S52" s="743"/>
      <c r="T52" s="1034" t="e">
        <f t="shared" si="31"/>
        <v>#N/A</v>
      </c>
      <c r="U52" s="1034" t="e">
        <f t="shared" si="45"/>
        <v>#N/A</v>
      </c>
      <c r="V52" s="1165" t="e">
        <f t="shared" si="32"/>
        <v>#N/A</v>
      </c>
      <c r="W52" s="1034" t="e">
        <f t="shared" si="46"/>
        <v>#N/A</v>
      </c>
      <c r="X52" s="1034" t="b">
        <f t="shared" si="47"/>
        <v>0</v>
      </c>
      <c r="Y52" s="1034">
        <f t="shared" si="48"/>
        <v>0</v>
      </c>
      <c r="Z52" s="1034">
        <f t="shared" si="49"/>
        <v>0</v>
      </c>
      <c r="AA52" s="1034">
        <f t="shared" si="33"/>
        <v>0</v>
      </c>
      <c r="AB52" s="1034">
        <f t="shared" si="34"/>
        <v>0</v>
      </c>
      <c r="AC52" s="1033">
        <f t="shared" si="50"/>
        <v>0</v>
      </c>
      <c r="AD52" s="1266">
        <f t="shared" si="35"/>
        <v>0</v>
      </c>
      <c r="AE52" s="1093">
        <f t="shared" si="51"/>
        <v>0</v>
      </c>
      <c r="AF52" s="1093">
        <f t="shared" si="52"/>
        <v>0</v>
      </c>
      <c r="AG52" s="1093">
        <f t="shared" si="36"/>
        <v>0</v>
      </c>
      <c r="AH52" s="1033" t="e">
        <f t="shared" si="37"/>
        <v>#DIV/0!</v>
      </c>
      <c r="AI52" s="1091">
        <f t="shared" si="38"/>
        <v>0</v>
      </c>
      <c r="AJ52" s="1094">
        <f t="shared" si="39"/>
        <v>0</v>
      </c>
      <c r="AK52" s="1053" t="str">
        <f t="shared" si="40"/>
        <v/>
      </c>
      <c r="AL52" s="1053"/>
      <c r="AM52" s="1290">
        <f>_xlfn.XLOOKUP(F52,Proveedores!A:A,Proveedores!G:G)</f>
        <v>0</v>
      </c>
      <c r="AN52" s="1095" t="str">
        <f t="shared" si="53"/>
        <v>OK</v>
      </c>
    </row>
    <row r="53" spans="1:40" ht="15.95">
      <c r="A53" s="1090" t="b">
        <f t="shared" si="28"/>
        <v>1</v>
      </c>
      <c r="B53" s="1091" t="b">
        <f t="shared" si="41"/>
        <v>1</v>
      </c>
      <c r="C53" s="1092" t="str">
        <f t="shared" si="42"/>
        <v>Dólares</v>
      </c>
      <c r="D53" s="11"/>
      <c r="E53" s="743"/>
      <c r="F53" s="17"/>
      <c r="G53" s="17" t="str">
        <f t="shared" si="29"/>
        <v xml:space="preserve"> </v>
      </c>
      <c r="H53" s="12">
        <v>0</v>
      </c>
      <c r="I53" s="16" t="str">
        <f>IFERROR(VLOOKUP(G53,Proveedores!B:C,2,0)," ")</f>
        <v xml:space="preserve"> </v>
      </c>
      <c r="J53" s="745">
        <v>0</v>
      </c>
      <c r="K53" s="745" t="str">
        <f t="shared" si="30"/>
        <v>Not Found</v>
      </c>
      <c r="L53" s="16">
        <f>IF(K53="Importado",Fletes!$B$66,0%)</f>
        <v>0</v>
      </c>
      <c r="M53" s="745">
        <f t="shared" si="43"/>
        <v>0</v>
      </c>
      <c r="N53" s="16">
        <f>IF(K53&lt;&gt;"Importado",0%,IF(Fletes!$B$67&lt;10,15%,IF(Fletes!$B$67&lt;20,10%,5%)))</f>
        <v>0</v>
      </c>
      <c r="O53" s="745" t="str">
        <f>IFERROR(IF(OR(F53="Offiho",F53="Lauco Sofas",F53="Requiez",F53="Labenze",F53="Sunon Mty",F53="Sonara"),(M53*(1-_xlfn.XLOOKUP(F53,Proveedores!A:A,Proveedores!I:I)))*(1+N53),((M53*(1-_xlfn.XLOOKUP(F53,Proveedores!A:A,Proveedores!I:I)))*(1+N53))+U53),"")</f>
        <v/>
      </c>
      <c r="P53" s="1031"/>
      <c r="Q53" s="1133">
        <f>IF(K53&lt;&gt;"Importado",0,IF(P53&gt;0,P53*H53,IFERROR(_xlfn.XLOOKUP(F53,Proveedores!A:A,Proveedores!F:F,0)*H53,0)))</f>
        <v>0</v>
      </c>
      <c r="R53" s="1134" t="e">
        <f t="shared" si="44"/>
        <v>#VALUE!</v>
      </c>
      <c r="S53" s="743"/>
      <c r="T53" s="1034" t="e">
        <f t="shared" si="31"/>
        <v>#N/A</v>
      </c>
      <c r="U53" s="1034" t="e">
        <f t="shared" si="45"/>
        <v>#N/A</v>
      </c>
      <c r="V53" s="1165" t="e">
        <f t="shared" si="32"/>
        <v>#N/A</v>
      </c>
      <c r="W53" s="1034" t="e">
        <f t="shared" si="46"/>
        <v>#N/A</v>
      </c>
      <c r="X53" s="1034" t="b">
        <f t="shared" si="47"/>
        <v>0</v>
      </c>
      <c r="Y53" s="1034">
        <f t="shared" si="48"/>
        <v>0</v>
      </c>
      <c r="Z53" s="1034">
        <f t="shared" si="49"/>
        <v>0</v>
      </c>
      <c r="AA53" s="1034">
        <f t="shared" si="33"/>
        <v>0</v>
      </c>
      <c r="AB53" s="1034">
        <f t="shared" si="34"/>
        <v>0</v>
      </c>
      <c r="AC53" s="1033">
        <f t="shared" si="50"/>
        <v>0</v>
      </c>
      <c r="AD53" s="1266">
        <f t="shared" si="35"/>
        <v>0</v>
      </c>
      <c r="AE53" s="1093">
        <f t="shared" si="51"/>
        <v>0</v>
      </c>
      <c r="AF53" s="1093">
        <f t="shared" si="52"/>
        <v>0</v>
      </c>
      <c r="AG53" s="1093">
        <f t="shared" si="36"/>
        <v>0</v>
      </c>
      <c r="AH53" s="1033" t="e">
        <f t="shared" si="37"/>
        <v>#DIV/0!</v>
      </c>
      <c r="AI53" s="1091">
        <f t="shared" si="38"/>
        <v>0</v>
      </c>
      <c r="AJ53" s="1094">
        <f t="shared" si="39"/>
        <v>0</v>
      </c>
      <c r="AK53" s="1053" t="str">
        <f t="shared" si="40"/>
        <v/>
      </c>
      <c r="AL53" s="1053"/>
      <c r="AM53" s="1290">
        <f>_xlfn.XLOOKUP(F53,Proveedores!A:A,Proveedores!G:G)</f>
        <v>0</v>
      </c>
      <c r="AN53" s="1095" t="str">
        <f t="shared" si="53"/>
        <v>OK</v>
      </c>
    </row>
    <row r="54" spans="1:40" ht="15.95">
      <c r="A54" s="1090" t="b">
        <f t="shared" si="28"/>
        <v>1</v>
      </c>
      <c r="B54" s="1091" t="b">
        <f t="shared" si="41"/>
        <v>1</v>
      </c>
      <c r="C54" s="1092" t="str">
        <f t="shared" si="42"/>
        <v>Dólares</v>
      </c>
      <c r="D54" s="11"/>
      <c r="E54" s="743"/>
      <c r="F54" s="17"/>
      <c r="G54" s="17" t="str">
        <f t="shared" si="29"/>
        <v xml:space="preserve"> </v>
      </c>
      <c r="H54" s="12">
        <v>0</v>
      </c>
      <c r="I54" s="16" t="str">
        <f>IFERROR(VLOOKUP(G54,Proveedores!B:C,2,0)," ")</f>
        <v xml:space="preserve"> </v>
      </c>
      <c r="J54" s="745">
        <v>0</v>
      </c>
      <c r="K54" s="745" t="str">
        <f t="shared" si="30"/>
        <v>Not Found</v>
      </c>
      <c r="L54" s="16">
        <f>IF(K54="Importado",Fletes!$B$66,0%)</f>
        <v>0</v>
      </c>
      <c r="M54" s="745">
        <f t="shared" si="43"/>
        <v>0</v>
      </c>
      <c r="N54" s="16">
        <f>IF(K54&lt;&gt;"Importado",0%,IF(Fletes!$B$67&lt;10,15%,IF(Fletes!$B$67&lt;20,10%,5%)))</f>
        <v>0</v>
      </c>
      <c r="O54" s="745" t="str">
        <f>IFERROR(IF(OR(F54="Offiho",F54="Lauco Sofas",F54="Requiez",F54="Labenze",F54="Sunon Mty",F54="Sonara"),(M54*(1-_xlfn.XLOOKUP(F54,Proveedores!A:A,Proveedores!I:I)))*(1+N54),((M54*(1-_xlfn.XLOOKUP(F54,Proveedores!A:A,Proveedores!I:I)))*(1+N54))+U54),"")</f>
        <v/>
      </c>
      <c r="P54" s="1031"/>
      <c r="Q54" s="1133">
        <f>IF(K54&lt;&gt;"Importado",0,IF(P54&gt;0,P54*H54,IFERROR(_xlfn.XLOOKUP(F54,Proveedores!A:A,Proveedores!F:F,0)*H54,0)))</f>
        <v>0</v>
      </c>
      <c r="R54" s="1134" t="e">
        <f t="shared" si="44"/>
        <v>#VALUE!</v>
      </c>
      <c r="S54" s="743"/>
      <c r="T54" s="1034" t="e">
        <f t="shared" si="31"/>
        <v>#N/A</v>
      </c>
      <c r="U54" s="1034" t="e">
        <f t="shared" si="45"/>
        <v>#N/A</v>
      </c>
      <c r="V54" s="1165" t="e">
        <f t="shared" si="32"/>
        <v>#N/A</v>
      </c>
      <c r="W54" s="1034" t="e">
        <f t="shared" si="46"/>
        <v>#N/A</v>
      </c>
      <c r="X54" s="1034" t="b">
        <f t="shared" si="47"/>
        <v>0</v>
      </c>
      <c r="Y54" s="1034">
        <f t="shared" si="48"/>
        <v>0</v>
      </c>
      <c r="Z54" s="1034">
        <f t="shared" si="49"/>
        <v>0</v>
      </c>
      <c r="AA54" s="1034">
        <f t="shared" si="33"/>
        <v>0</v>
      </c>
      <c r="AB54" s="1034">
        <f t="shared" si="34"/>
        <v>0</v>
      </c>
      <c r="AC54" s="1033">
        <f t="shared" si="50"/>
        <v>0</v>
      </c>
      <c r="AD54" s="1266">
        <f t="shared" si="35"/>
        <v>0</v>
      </c>
      <c r="AE54" s="1093">
        <f t="shared" si="51"/>
        <v>0</v>
      </c>
      <c r="AF54" s="1093">
        <f t="shared" si="52"/>
        <v>0</v>
      </c>
      <c r="AG54" s="1093">
        <f t="shared" si="36"/>
        <v>0</v>
      </c>
      <c r="AH54" s="1033" t="e">
        <f t="shared" si="37"/>
        <v>#DIV/0!</v>
      </c>
      <c r="AI54" s="1091">
        <f t="shared" si="38"/>
        <v>0</v>
      </c>
      <c r="AJ54" s="1094">
        <f t="shared" si="39"/>
        <v>0</v>
      </c>
      <c r="AK54" s="1053" t="str">
        <f t="shared" si="40"/>
        <v/>
      </c>
      <c r="AL54" s="1053"/>
      <c r="AM54" s="1290">
        <f>_xlfn.XLOOKUP(F54,Proveedores!A:A,Proveedores!G:G)</f>
        <v>0</v>
      </c>
      <c r="AN54" s="1095" t="str">
        <f t="shared" si="53"/>
        <v>OK</v>
      </c>
    </row>
    <row r="55" spans="1:40" ht="15.95">
      <c r="A55" s="1090" t="b">
        <f t="shared" si="28"/>
        <v>1</v>
      </c>
      <c r="B55" s="1091" t="b">
        <f t="shared" si="41"/>
        <v>1</v>
      </c>
      <c r="C55" s="1092" t="str">
        <f t="shared" si="42"/>
        <v>Dólares</v>
      </c>
      <c r="D55" s="11"/>
      <c r="E55" s="743"/>
      <c r="F55" s="17"/>
      <c r="G55" s="17" t="str">
        <f t="shared" si="29"/>
        <v xml:space="preserve"> </v>
      </c>
      <c r="H55" s="12">
        <v>0</v>
      </c>
      <c r="I55" s="16" t="str">
        <f>IFERROR(VLOOKUP(G55,Proveedores!B:C,2,0)," ")</f>
        <v xml:space="preserve"> </v>
      </c>
      <c r="J55" s="745">
        <v>0</v>
      </c>
      <c r="K55" s="745" t="str">
        <f t="shared" si="30"/>
        <v>Not Found</v>
      </c>
      <c r="L55" s="16">
        <f>IF(K55="Importado",Fletes!$B$66,0%)</f>
        <v>0</v>
      </c>
      <c r="M55" s="745">
        <f t="shared" si="43"/>
        <v>0</v>
      </c>
      <c r="N55" s="16">
        <f>IF(K55&lt;&gt;"Importado",0%,IF(Fletes!$B$67&lt;10,15%,IF(Fletes!$B$67&lt;20,10%,5%)))</f>
        <v>0</v>
      </c>
      <c r="O55" s="745" t="str">
        <f>IFERROR(IF(OR(F55="Offiho",F55="Lauco Sofas",F55="Requiez",F55="Labenze",F55="Sunon Mty",F55="Sonara"),(M55*(1-_xlfn.XLOOKUP(F55,Proveedores!A:A,Proveedores!I:I)))*(1+N55),((M55*(1-_xlfn.XLOOKUP(F55,Proveedores!A:A,Proveedores!I:I)))*(1+N55))+U55),"")</f>
        <v/>
      </c>
      <c r="P55" s="1031"/>
      <c r="Q55" s="1133">
        <f>IF(K55&lt;&gt;"Importado",0,IF(P55&gt;0,P55*H55,IFERROR(_xlfn.XLOOKUP(F55,Proveedores!A:A,Proveedores!F:F,0)*H55,0)))</f>
        <v>0</v>
      </c>
      <c r="R55" s="1134" t="e">
        <f t="shared" si="44"/>
        <v>#VALUE!</v>
      </c>
      <c r="S55" s="743"/>
      <c r="T55" s="1034" t="e">
        <f t="shared" si="31"/>
        <v>#N/A</v>
      </c>
      <c r="U55" s="1034" t="e">
        <f t="shared" si="45"/>
        <v>#N/A</v>
      </c>
      <c r="V55" s="1165" t="e">
        <f t="shared" si="32"/>
        <v>#N/A</v>
      </c>
      <c r="W55" s="1034" t="e">
        <f t="shared" si="46"/>
        <v>#N/A</v>
      </c>
      <c r="X55" s="1034" t="b">
        <f t="shared" si="47"/>
        <v>0</v>
      </c>
      <c r="Y55" s="1034">
        <f t="shared" si="48"/>
        <v>0</v>
      </c>
      <c r="Z55" s="1034">
        <f t="shared" si="49"/>
        <v>0</v>
      </c>
      <c r="AA55" s="1034">
        <f t="shared" si="33"/>
        <v>0</v>
      </c>
      <c r="AB55" s="1034">
        <f t="shared" si="34"/>
        <v>0</v>
      </c>
      <c r="AC55" s="1033">
        <f t="shared" si="50"/>
        <v>0</v>
      </c>
      <c r="AD55" s="1266">
        <f t="shared" si="35"/>
        <v>0</v>
      </c>
      <c r="AE55" s="1093">
        <f t="shared" si="51"/>
        <v>0</v>
      </c>
      <c r="AF55" s="1093">
        <f t="shared" si="52"/>
        <v>0</v>
      </c>
      <c r="AG55" s="1093">
        <f t="shared" si="36"/>
        <v>0</v>
      </c>
      <c r="AH55" s="1033" t="e">
        <f t="shared" si="37"/>
        <v>#DIV/0!</v>
      </c>
      <c r="AI55" s="1091">
        <f t="shared" si="38"/>
        <v>0</v>
      </c>
      <c r="AJ55" s="1094">
        <f t="shared" si="39"/>
        <v>0</v>
      </c>
      <c r="AK55" s="1053" t="str">
        <f t="shared" si="40"/>
        <v/>
      </c>
      <c r="AL55" s="1053"/>
      <c r="AM55" s="1290">
        <f>_xlfn.XLOOKUP(F55,Proveedores!A:A,Proveedores!G:G)</f>
        <v>0</v>
      </c>
      <c r="AN55" s="1095" t="str">
        <f t="shared" si="53"/>
        <v>OK</v>
      </c>
    </row>
    <row r="56" spans="1:40" ht="15.95">
      <c r="A56" s="1090" t="b">
        <f t="shared" si="28"/>
        <v>1</v>
      </c>
      <c r="B56" s="1091" t="b">
        <f t="shared" si="41"/>
        <v>1</v>
      </c>
      <c r="C56" s="1092" t="str">
        <f t="shared" si="42"/>
        <v>Dólares</v>
      </c>
      <c r="D56" s="11"/>
      <c r="E56" s="743"/>
      <c r="F56" s="17"/>
      <c r="G56" s="17" t="str">
        <f t="shared" si="29"/>
        <v xml:space="preserve"> </v>
      </c>
      <c r="H56" s="12">
        <v>0</v>
      </c>
      <c r="I56" s="16" t="str">
        <f>IFERROR(VLOOKUP(G56,Proveedores!B:C,2,0)," ")</f>
        <v xml:space="preserve"> </v>
      </c>
      <c r="J56" s="745">
        <v>0</v>
      </c>
      <c r="K56" s="745" t="str">
        <f t="shared" si="30"/>
        <v>Not Found</v>
      </c>
      <c r="L56" s="16">
        <f>IF(K56="Importado",Fletes!$B$66,0%)</f>
        <v>0</v>
      </c>
      <c r="M56" s="745">
        <f t="shared" si="43"/>
        <v>0</v>
      </c>
      <c r="N56" s="16">
        <f>IF(K56&lt;&gt;"Importado",0%,IF(Fletes!$B$67&lt;10,15%,IF(Fletes!$B$67&lt;20,10%,5%)))</f>
        <v>0</v>
      </c>
      <c r="O56" s="745" t="str">
        <f>IFERROR(IF(OR(F56="Offiho",F56="Lauco Sofas",F56="Requiez",F56="Labenze",F56="Sunon Mty",F56="Sonara"),(M56*(1-_xlfn.XLOOKUP(F56,Proveedores!A:A,Proveedores!I:I)))*(1+N56),((M56*(1-_xlfn.XLOOKUP(F56,Proveedores!A:A,Proveedores!I:I)))*(1+N56))+U56),"")</f>
        <v/>
      </c>
      <c r="P56" s="1031"/>
      <c r="Q56" s="1133">
        <f>IF(K56&lt;&gt;"Importado",0,IF(P56&gt;0,P56*H56,IFERROR(_xlfn.XLOOKUP(F56,Proveedores!A:A,Proveedores!F:F,0)*H56,0)))</f>
        <v>0</v>
      </c>
      <c r="R56" s="1134" t="e">
        <f t="shared" si="44"/>
        <v>#VALUE!</v>
      </c>
      <c r="S56" s="743"/>
      <c r="T56" s="1034" t="e">
        <f t="shared" si="31"/>
        <v>#N/A</v>
      </c>
      <c r="U56" s="1034" t="e">
        <f t="shared" si="45"/>
        <v>#N/A</v>
      </c>
      <c r="V56" s="1165" t="e">
        <f t="shared" si="32"/>
        <v>#N/A</v>
      </c>
      <c r="W56" s="1034" t="e">
        <f t="shared" si="46"/>
        <v>#N/A</v>
      </c>
      <c r="X56" s="1034" t="b">
        <f t="shared" si="47"/>
        <v>0</v>
      </c>
      <c r="Y56" s="1034">
        <f t="shared" si="48"/>
        <v>0</v>
      </c>
      <c r="Z56" s="1034">
        <f t="shared" si="49"/>
        <v>0</v>
      </c>
      <c r="AA56" s="1034">
        <f t="shared" si="33"/>
        <v>0</v>
      </c>
      <c r="AB56" s="1034">
        <f t="shared" si="34"/>
        <v>0</v>
      </c>
      <c r="AC56" s="1033">
        <f t="shared" si="50"/>
        <v>0</v>
      </c>
      <c r="AD56" s="1266">
        <f t="shared" si="35"/>
        <v>0</v>
      </c>
      <c r="AE56" s="1093">
        <f t="shared" si="51"/>
        <v>0</v>
      </c>
      <c r="AF56" s="1093">
        <f t="shared" si="52"/>
        <v>0</v>
      </c>
      <c r="AG56" s="1093">
        <f t="shared" si="36"/>
        <v>0</v>
      </c>
      <c r="AH56" s="1033" t="e">
        <f t="shared" si="37"/>
        <v>#DIV/0!</v>
      </c>
      <c r="AI56" s="1091">
        <f t="shared" si="38"/>
        <v>0</v>
      </c>
      <c r="AJ56" s="1094">
        <f t="shared" si="39"/>
        <v>0</v>
      </c>
      <c r="AK56" s="1053" t="str">
        <f t="shared" si="40"/>
        <v/>
      </c>
      <c r="AL56" s="1053"/>
      <c r="AM56" s="1290">
        <f>_xlfn.XLOOKUP(F56,Proveedores!A:A,Proveedores!G:G)</f>
        <v>0</v>
      </c>
      <c r="AN56" s="1095" t="str">
        <f t="shared" si="53"/>
        <v>OK</v>
      </c>
    </row>
    <row r="57" spans="1:40" ht="15.95">
      <c r="A57" s="1090" t="b">
        <f t="shared" si="28"/>
        <v>1</v>
      </c>
      <c r="B57" s="1091" t="b">
        <f t="shared" si="41"/>
        <v>1</v>
      </c>
      <c r="C57" s="1092" t="str">
        <f t="shared" si="42"/>
        <v>Dólares</v>
      </c>
      <c r="D57" s="11"/>
      <c r="E57" s="743"/>
      <c r="F57" s="17"/>
      <c r="G57" s="17" t="str">
        <f t="shared" si="29"/>
        <v xml:space="preserve"> </v>
      </c>
      <c r="H57" s="12">
        <v>0</v>
      </c>
      <c r="I57" s="16" t="str">
        <f>IFERROR(VLOOKUP(G57,Proveedores!B:C,2,0)," ")</f>
        <v xml:space="preserve"> </v>
      </c>
      <c r="J57" s="745">
        <v>0</v>
      </c>
      <c r="K57" s="745" t="str">
        <f t="shared" si="30"/>
        <v>Not Found</v>
      </c>
      <c r="L57" s="16">
        <f>IF(K57="Importado",Fletes!$B$66,0%)</f>
        <v>0</v>
      </c>
      <c r="M57" s="745">
        <f t="shared" si="43"/>
        <v>0</v>
      </c>
      <c r="N57" s="16">
        <f>IF(K57&lt;&gt;"Importado",0%,IF(Fletes!$B$67&lt;10,15%,IF(Fletes!$B$67&lt;20,10%,5%)))</f>
        <v>0</v>
      </c>
      <c r="O57" s="745" t="str">
        <f>IFERROR(IF(OR(F57="Offiho",F57="Lauco Sofas",F57="Requiez",F57="Labenze",F57="Sunon Mty",F57="Sonara"),(M57*(1-_xlfn.XLOOKUP(F57,Proveedores!A:A,Proveedores!I:I)))*(1+N57),((M57*(1-_xlfn.XLOOKUP(F57,Proveedores!A:A,Proveedores!I:I)))*(1+N57))+U57),"")</f>
        <v/>
      </c>
      <c r="P57" s="1031"/>
      <c r="Q57" s="1133">
        <f>IF(K57&lt;&gt;"Importado",0,IF(P57&gt;0,P57*H57,IFERROR(_xlfn.XLOOKUP(F57,Proveedores!A:A,Proveedores!F:F,0)*H57,0)))</f>
        <v>0</v>
      </c>
      <c r="R57" s="1134" t="e">
        <f t="shared" si="44"/>
        <v>#VALUE!</v>
      </c>
      <c r="S57" s="743"/>
      <c r="T57" s="1034" t="e">
        <f t="shared" si="31"/>
        <v>#N/A</v>
      </c>
      <c r="U57" s="1034" t="e">
        <f t="shared" si="45"/>
        <v>#N/A</v>
      </c>
      <c r="V57" s="1165" t="e">
        <f t="shared" si="32"/>
        <v>#N/A</v>
      </c>
      <c r="W57" s="1034" t="e">
        <f t="shared" si="46"/>
        <v>#N/A</v>
      </c>
      <c r="X57" s="1034" t="b">
        <f t="shared" si="47"/>
        <v>0</v>
      </c>
      <c r="Y57" s="1034">
        <f t="shared" si="48"/>
        <v>0</v>
      </c>
      <c r="Z57" s="1034">
        <f t="shared" si="49"/>
        <v>0</v>
      </c>
      <c r="AA57" s="1034">
        <f t="shared" si="33"/>
        <v>0</v>
      </c>
      <c r="AB57" s="1034">
        <f t="shared" si="34"/>
        <v>0</v>
      </c>
      <c r="AC57" s="1033">
        <f t="shared" si="50"/>
        <v>0</v>
      </c>
      <c r="AD57" s="1266">
        <f t="shared" si="35"/>
        <v>0</v>
      </c>
      <c r="AE57" s="1093">
        <f t="shared" si="51"/>
        <v>0</v>
      </c>
      <c r="AF57" s="1093">
        <f t="shared" si="52"/>
        <v>0</v>
      </c>
      <c r="AG57" s="1093">
        <f t="shared" si="36"/>
        <v>0</v>
      </c>
      <c r="AH57" s="1033" t="e">
        <f t="shared" si="37"/>
        <v>#DIV/0!</v>
      </c>
      <c r="AI57" s="1091">
        <f t="shared" si="38"/>
        <v>0</v>
      </c>
      <c r="AJ57" s="1094">
        <f t="shared" si="39"/>
        <v>0</v>
      </c>
      <c r="AK57" s="1053" t="str">
        <f t="shared" si="40"/>
        <v/>
      </c>
      <c r="AL57" s="1053"/>
      <c r="AM57" s="1290">
        <f>_xlfn.XLOOKUP(F57,Proveedores!A:A,Proveedores!G:G)</f>
        <v>0</v>
      </c>
      <c r="AN57" s="1095" t="str">
        <f t="shared" si="53"/>
        <v>OK</v>
      </c>
    </row>
    <row r="58" spans="1:40" ht="15.95">
      <c r="A58" s="1090" t="b">
        <f t="shared" si="28"/>
        <v>1</v>
      </c>
      <c r="B58" s="1091" t="b">
        <f t="shared" si="41"/>
        <v>1</v>
      </c>
      <c r="C58" s="1092" t="str">
        <f t="shared" si="42"/>
        <v>Dólares</v>
      </c>
      <c r="D58" s="11"/>
      <c r="E58" s="743"/>
      <c r="F58" s="17"/>
      <c r="G58" s="17" t="str">
        <f t="shared" si="29"/>
        <v xml:space="preserve"> </v>
      </c>
      <c r="H58" s="12">
        <v>0</v>
      </c>
      <c r="I58" s="16" t="str">
        <f>IFERROR(VLOOKUP(G58,Proveedores!B:C,2,0)," ")</f>
        <v xml:space="preserve"> </v>
      </c>
      <c r="J58" s="745">
        <v>0</v>
      </c>
      <c r="K58" s="745" t="str">
        <f t="shared" si="30"/>
        <v>Not Found</v>
      </c>
      <c r="L58" s="16">
        <f>IF(K58="Importado",Fletes!$B$66,0%)</f>
        <v>0</v>
      </c>
      <c r="M58" s="745">
        <f t="shared" si="43"/>
        <v>0</v>
      </c>
      <c r="N58" s="16">
        <f>IF(K58&lt;&gt;"Importado",0%,IF(Fletes!$B$67&lt;10,15%,IF(Fletes!$B$67&lt;20,10%,5%)))</f>
        <v>0</v>
      </c>
      <c r="O58" s="745" t="str">
        <f>IFERROR(IF(OR(F58="Offiho",F58="Lauco Sofas",F58="Requiez",F58="Labenze",F58="Sunon Mty",F58="Sonara"),(M58*(1-_xlfn.XLOOKUP(F58,Proveedores!A:A,Proveedores!I:I)))*(1+N58),((M58*(1-_xlfn.XLOOKUP(F58,Proveedores!A:A,Proveedores!I:I)))*(1+N58))+U58),"")</f>
        <v/>
      </c>
      <c r="P58" s="1031"/>
      <c r="Q58" s="1133">
        <f>IF(K58&lt;&gt;"Importado",0,IF(P58&gt;0,P58*H58,IFERROR(_xlfn.XLOOKUP(F58,Proveedores!A:A,Proveedores!F:F,0)*H58,0)))</f>
        <v>0</v>
      </c>
      <c r="R58" s="1134" t="e">
        <f t="shared" si="44"/>
        <v>#VALUE!</v>
      </c>
      <c r="S58" s="743"/>
      <c r="T58" s="1034" t="e">
        <f t="shared" si="31"/>
        <v>#N/A</v>
      </c>
      <c r="U58" s="1034" t="e">
        <f t="shared" si="45"/>
        <v>#N/A</v>
      </c>
      <c r="V58" s="1165" t="e">
        <f t="shared" si="32"/>
        <v>#N/A</v>
      </c>
      <c r="W58" s="1034" t="e">
        <f t="shared" si="46"/>
        <v>#N/A</v>
      </c>
      <c r="X58" s="1034" t="b">
        <f t="shared" si="47"/>
        <v>0</v>
      </c>
      <c r="Y58" s="1034">
        <f t="shared" si="48"/>
        <v>0</v>
      </c>
      <c r="Z58" s="1034">
        <f t="shared" si="49"/>
        <v>0</v>
      </c>
      <c r="AA58" s="1034">
        <f t="shared" si="33"/>
        <v>0</v>
      </c>
      <c r="AB58" s="1034">
        <f t="shared" si="34"/>
        <v>0</v>
      </c>
      <c r="AC58" s="1033">
        <f t="shared" si="50"/>
        <v>0</v>
      </c>
      <c r="AD58" s="1266">
        <f t="shared" si="35"/>
        <v>0</v>
      </c>
      <c r="AE58" s="1093">
        <f t="shared" si="51"/>
        <v>0</v>
      </c>
      <c r="AF58" s="1093">
        <f t="shared" si="52"/>
        <v>0</v>
      </c>
      <c r="AG58" s="1093">
        <f t="shared" si="36"/>
        <v>0</v>
      </c>
      <c r="AH58" s="1033" t="e">
        <f t="shared" si="37"/>
        <v>#DIV/0!</v>
      </c>
      <c r="AI58" s="1091">
        <f t="shared" si="38"/>
        <v>0</v>
      </c>
      <c r="AJ58" s="1094">
        <f t="shared" si="39"/>
        <v>0</v>
      </c>
      <c r="AK58" s="1053" t="str">
        <f t="shared" si="40"/>
        <v/>
      </c>
      <c r="AL58" s="1053"/>
      <c r="AM58" s="1290">
        <f>_xlfn.XLOOKUP(F58,Proveedores!A:A,Proveedores!G:G)</f>
        <v>0</v>
      </c>
      <c r="AN58" s="1095" t="str">
        <f t="shared" si="53"/>
        <v>OK</v>
      </c>
    </row>
    <row r="59" spans="1:40" ht="15.95">
      <c r="A59" s="1090" t="b">
        <f t="shared" si="28"/>
        <v>1</v>
      </c>
      <c r="B59" s="1091" t="b">
        <f t="shared" si="41"/>
        <v>1</v>
      </c>
      <c r="C59" s="1092" t="str">
        <f t="shared" si="42"/>
        <v>Dólares</v>
      </c>
      <c r="D59" s="11"/>
      <c r="E59" s="743"/>
      <c r="F59" s="17"/>
      <c r="G59" s="17" t="str">
        <f t="shared" si="29"/>
        <v xml:space="preserve"> </v>
      </c>
      <c r="H59" s="12">
        <v>0</v>
      </c>
      <c r="I59" s="16" t="str">
        <f>IFERROR(VLOOKUP(G59,Proveedores!B:C,2,0)," ")</f>
        <v xml:space="preserve"> </v>
      </c>
      <c r="J59" s="745">
        <v>0</v>
      </c>
      <c r="K59" s="745" t="str">
        <f t="shared" si="30"/>
        <v>Not Found</v>
      </c>
      <c r="L59" s="16">
        <f>IF(K59="Importado",Fletes!$B$66,0%)</f>
        <v>0</v>
      </c>
      <c r="M59" s="745">
        <f t="shared" si="43"/>
        <v>0</v>
      </c>
      <c r="N59" s="16">
        <f>IF(K59&lt;&gt;"Importado",0%,IF(Fletes!$B$67&lt;10,15%,IF(Fletes!$B$67&lt;20,10%,5%)))</f>
        <v>0</v>
      </c>
      <c r="O59" s="745" t="str">
        <f>IFERROR(IF(OR(F59="Offiho",F59="Lauco Sofas",F59="Requiez",F59="Labenze",F59="Sunon Mty",F59="Sonara"),(M59*(1-_xlfn.XLOOKUP(F59,Proveedores!A:A,Proveedores!I:I)))*(1+N59),((M59*(1-_xlfn.XLOOKUP(F59,Proveedores!A:A,Proveedores!I:I)))*(1+N59))+U59),"")</f>
        <v/>
      </c>
      <c r="P59" s="1031"/>
      <c r="Q59" s="1133">
        <f>IF(K59&lt;&gt;"Importado",0,IF(P59&gt;0,P59*H59,IFERROR(_xlfn.XLOOKUP(F59,Proveedores!A:A,Proveedores!F:F,0)*H59,0)))</f>
        <v>0</v>
      </c>
      <c r="R59" s="1134" t="e">
        <f t="shared" si="44"/>
        <v>#VALUE!</v>
      </c>
      <c r="S59" s="743"/>
      <c r="T59" s="1034" t="e">
        <f t="shared" si="31"/>
        <v>#N/A</v>
      </c>
      <c r="U59" s="1034" t="e">
        <f t="shared" si="45"/>
        <v>#N/A</v>
      </c>
      <c r="V59" s="1165" t="e">
        <f t="shared" si="32"/>
        <v>#N/A</v>
      </c>
      <c r="W59" s="1034" t="e">
        <f t="shared" si="46"/>
        <v>#N/A</v>
      </c>
      <c r="X59" s="1034" t="b">
        <f t="shared" si="47"/>
        <v>0</v>
      </c>
      <c r="Y59" s="1034">
        <f t="shared" si="48"/>
        <v>0</v>
      </c>
      <c r="Z59" s="1034">
        <f t="shared" si="49"/>
        <v>0</v>
      </c>
      <c r="AA59" s="1034">
        <f t="shared" si="33"/>
        <v>0</v>
      </c>
      <c r="AB59" s="1034">
        <f t="shared" si="34"/>
        <v>0</v>
      </c>
      <c r="AC59" s="1033">
        <f t="shared" si="50"/>
        <v>0</v>
      </c>
      <c r="AD59" s="1266">
        <f t="shared" si="35"/>
        <v>0</v>
      </c>
      <c r="AE59" s="1093">
        <f t="shared" si="51"/>
        <v>0</v>
      </c>
      <c r="AF59" s="1093">
        <f t="shared" si="52"/>
        <v>0</v>
      </c>
      <c r="AG59" s="1093">
        <f t="shared" si="36"/>
        <v>0</v>
      </c>
      <c r="AH59" s="1033" t="e">
        <f t="shared" si="37"/>
        <v>#DIV/0!</v>
      </c>
      <c r="AI59" s="1091">
        <f t="shared" si="38"/>
        <v>0</v>
      </c>
      <c r="AJ59" s="1094">
        <f t="shared" si="39"/>
        <v>0</v>
      </c>
      <c r="AK59" s="1053" t="str">
        <f t="shared" si="40"/>
        <v/>
      </c>
      <c r="AL59" s="1053"/>
      <c r="AM59" s="1290">
        <f>_xlfn.XLOOKUP(F59,Proveedores!A:A,Proveedores!G:G)</f>
        <v>0</v>
      </c>
      <c r="AN59" s="1095" t="str">
        <f t="shared" si="53"/>
        <v>OK</v>
      </c>
    </row>
    <row r="60" spans="1:40" ht="15.95">
      <c r="A60" s="1090" t="b">
        <f t="shared" si="28"/>
        <v>1</v>
      </c>
      <c r="B60" s="1091" t="b">
        <f t="shared" si="41"/>
        <v>1</v>
      </c>
      <c r="C60" s="1092" t="str">
        <f t="shared" si="42"/>
        <v>Dólares</v>
      </c>
      <c r="D60" s="11"/>
      <c r="E60" s="743"/>
      <c r="F60" s="17"/>
      <c r="G60" s="17" t="str">
        <f t="shared" si="29"/>
        <v xml:space="preserve"> </v>
      </c>
      <c r="H60" s="12">
        <v>0</v>
      </c>
      <c r="I60" s="16" t="str">
        <f>IFERROR(VLOOKUP(G60,Proveedores!B:C,2,0)," ")</f>
        <v xml:space="preserve"> </v>
      </c>
      <c r="J60" s="745">
        <v>0</v>
      </c>
      <c r="K60" s="745" t="str">
        <f t="shared" si="30"/>
        <v>Not Found</v>
      </c>
      <c r="L60" s="16">
        <f>IF(K60="Importado",Fletes!$B$66,0%)</f>
        <v>0</v>
      </c>
      <c r="M60" s="745">
        <f t="shared" si="43"/>
        <v>0</v>
      </c>
      <c r="N60" s="16">
        <f>IF(K60&lt;&gt;"Importado",0%,IF(Fletes!$B$67&lt;10,15%,IF(Fletes!$B$67&lt;20,10%,5%)))</f>
        <v>0</v>
      </c>
      <c r="O60" s="745" t="str">
        <f>IFERROR(IF(OR(F60="Offiho",F60="Lauco Sofas",F60="Requiez",F60="Labenze",F60="Sunon Mty",F60="Sonara"),(M60*(1-_xlfn.XLOOKUP(F60,Proveedores!A:A,Proveedores!I:I)))*(1+N60),((M60*(1-_xlfn.XLOOKUP(F60,Proveedores!A:A,Proveedores!I:I)))*(1+N60))+U60),"")</f>
        <v/>
      </c>
      <c r="P60" s="1031"/>
      <c r="Q60" s="1133">
        <f>IF(K60&lt;&gt;"Importado",0,IF(P60&gt;0,P60*H60,IFERROR(_xlfn.XLOOKUP(F60,Proveedores!A:A,Proveedores!F:F,0)*H60,0)))</f>
        <v>0</v>
      </c>
      <c r="R60" s="1134" t="e">
        <f t="shared" si="44"/>
        <v>#VALUE!</v>
      </c>
      <c r="S60" s="743"/>
      <c r="T60" s="1034" t="e">
        <f t="shared" si="31"/>
        <v>#N/A</v>
      </c>
      <c r="U60" s="1034" t="e">
        <f t="shared" si="45"/>
        <v>#N/A</v>
      </c>
      <c r="V60" s="1165" t="e">
        <f t="shared" si="32"/>
        <v>#N/A</v>
      </c>
      <c r="W60" s="1034" t="e">
        <f t="shared" si="46"/>
        <v>#N/A</v>
      </c>
      <c r="X60" s="1034" t="b">
        <f t="shared" si="47"/>
        <v>0</v>
      </c>
      <c r="Y60" s="1034">
        <f t="shared" si="48"/>
        <v>0</v>
      </c>
      <c r="Z60" s="1034">
        <f t="shared" si="49"/>
        <v>0</v>
      </c>
      <c r="AA60" s="1034">
        <f t="shared" si="33"/>
        <v>0</v>
      </c>
      <c r="AB60" s="1034">
        <f t="shared" si="34"/>
        <v>0</v>
      </c>
      <c r="AC60" s="1033">
        <f t="shared" si="50"/>
        <v>0</v>
      </c>
      <c r="AD60" s="1266">
        <f t="shared" si="35"/>
        <v>0</v>
      </c>
      <c r="AE60" s="1093">
        <f t="shared" si="51"/>
        <v>0</v>
      </c>
      <c r="AF60" s="1093">
        <f t="shared" si="52"/>
        <v>0</v>
      </c>
      <c r="AG60" s="1093">
        <f t="shared" si="36"/>
        <v>0</v>
      </c>
      <c r="AH60" s="1033" t="e">
        <f t="shared" si="37"/>
        <v>#DIV/0!</v>
      </c>
      <c r="AI60" s="1091">
        <f t="shared" si="38"/>
        <v>0</v>
      </c>
      <c r="AJ60" s="1094">
        <f t="shared" si="39"/>
        <v>0</v>
      </c>
      <c r="AK60" s="1053" t="str">
        <f t="shared" si="40"/>
        <v/>
      </c>
      <c r="AL60" s="1053"/>
      <c r="AM60" s="1290">
        <f>_xlfn.XLOOKUP(F60,Proveedores!A:A,Proveedores!G:G)</f>
        <v>0</v>
      </c>
      <c r="AN60" s="1095" t="str">
        <f t="shared" si="53"/>
        <v>OK</v>
      </c>
    </row>
    <row r="61" spans="1:40" ht="15.95">
      <c r="A61" s="1090" t="b">
        <f t="shared" si="28"/>
        <v>1</v>
      </c>
      <c r="B61" s="1091" t="b">
        <f t="shared" si="41"/>
        <v>1</v>
      </c>
      <c r="C61" s="1092" t="str">
        <f t="shared" si="42"/>
        <v>Dólares</v>
      </c>
      <c r="D61" s="11"/>
      <c r="E61" s="743"/>
      <c r="F61" s="17"/>
      <c r="G61" s="17" t="str">
        <f t="shared" si="29"/>
        <v xml:space="preserve"> </v>
      </c>
      <c r="H61" s="12">
        <v>0</v>
      </c>
      <c r="I61" s="16" t="str">
        <f>IFERROR(VLOOKUP(G61,Proveedores!B:C,2,0)," ")</f>
        <v xml:space="preserve"> </v>
      </c>
      <c r="J61" s="745">
        <v>0</v>
      </c>
      <c r="K61" s="745" t="str">
        <f t="shared" si="30"/>
        <v>Not Found</v>
      </c>
      <c r="L61" s="16">
        <f>IF(K61="Importado",Fletes!$B$66,0%)</f>
        <v>0</v>
      </c>
      <c r="M61" s="745">
        <f t="shared" si="43"/>
        <v>0</v>
      </c>
      <c r="N61" s="16">
        <f>IF(K61&lt;&gt;"Importado",0%,IF(Fletes!$B$67&lt;10,15%,IF(Fletes!$B$67&lt;20,10%,5%)))</f>
        <v>0</v>
      </c>
      <c r="O61" s="745" t="str">
        <f>IFERROR(IF(OR(F61="Offiho",F61="Lauco Sofas",F61="Requiez",F61="Labenze",F61="Sunon Mty",F61="Sonara"),(M61*(1-_xlfn.XLOOKUP(F61,Proveedores!A:A,Proveedores!I:I)))*(1+N61),((M61*(1-_xlfn.XLOOKUP(F61,Proveedores!A:A,Proveedores!I:I)))*(1+N61))+U61),"")</f>
        <v/>
      </c>
      <c r="P61" s="1031"/>
      <c r="Q61" s="1133">
        <f>IF(K61&lt;&gt;"Importado",0,IF(P61&gt;0,P61*H61,IFERROR(_xlfn.XLOOKUP(F61,Proveedores!A:A,Proveedores!F:F,0)*H61,0)))</f>
        <v>0</v>
      </c>
      <c r="R61" s="1134" t="e">
        <f t="shared" si="44"/>
        <v>#VALUE!</v>
      </c>
      <c r="S61" s="743"/>
      <c r="T61" s="1034" t="e">
        <f t="shared" si="31"/>
        <v>#N/A</v>
      </c>
      <c r="U61" s="1034" t="e">
        <f t="shared" si="45"/>
        <v>#N/A</v>
      </c>
      <c r="V61" s="1165" t="e">
        <f t="shared" si="32"/>
        <v>#N/A</v>
      </c>
      <c r="W61" s="1034" t="e">
        <f t="shared" si="46"/>
        <v>#N/A</v>
      </c>
      <c r="X61" s="1034" t="b">
        <f t="shared" si="47"/>
        <v>0</v>
      </c>
      <c r="Y61" s="1034">
        <f t="shared" si="48"/>
        <v>0</v>
      </c>
      <c r="Z61" s="1034">
        <f t="shared" si="49"/>
        <v>0</v>
      </c>
      <c r="AA61" s="1034">
        <f t="shared" si="33"/>
        <v>0</v>
      </c>
      <c r="AB61" s="1034">
        <f t="shared" si="34"/>
        <v>0</v>
      </c>
      <c r="AC61" s="1033">
        <f t="shared" si="50"/>
        <v>0</v>
      </c>
      <c r="AD61" s="1266">
        <f t="shared" si="35"/>
        <v>0</v>
      </c>
      <c r="AE61" s="1093">
        <f t="shared" si="51"/>
        <v>0</v>
      </c>
      <c r="AF61" s="1093">
        <f t="shared" si="52"/>
        <v>0</v>
      </c>
      <c r="AG61" s="1093">
        <f t="shared" si="36"/>
        <v>0</v>
      </c>
      <c r="AH61" s="1033" t="e">
        <f t="shared" si="37"/>
        <v>#DIV/0!</v>
      </c>
      <c r="AI61" s="1091">
        <f t="shared" si="38"/>
        <v>0</v>
      </c>
      <c r="AJ61" s="1094">
        <f t="shared" si="39"/>
        <v>0</v>
      </c>
      <c r="AK61" s="1053" t="str">
        <f t="shared" si="40"/>
        <v/>
      </c>
      <c r="AL61" s="1053"/>
      <c r="AM61" s="1290">
        <f>_xlfn.XLOOKUP(F61,Proveedores!A:A,Proveedores!G:G)</f>
        <v>0</v>
      </c>
      <c r="AN61" s="1095" t="str">
        <f t="shared" si="53"/>
        <v>OK</v>
      </c>
    </row>
    <row r="62" spans="1:40" ht="15.95">
      <c r="A62" s="1090" t="b">
        <f t="shared" si="28"/>
        <v>1</v>
      </c>
      <c r="B62" s="1091" t="b">
        <f t="shared" si="41"/>
        <v>1</v>
      </c>
      <c r="C62" s="1092" t="str">
        <f t="shared" si="42"/>
        <v>Dólares</v>
      </c>
      <c r="D62" s="11"/>
      <c r="E62" s="743"/>
      <c r="F62" s="17"/>
      <c r="G62" s="17" t="str">
        <f t="shared" si="29"/>
        <v xml:space="preserve"> </v>
      </c>
      <c r="H62" s="12">
        <v>0</v>
      </c>
      <c r="I62" s="16" t="str">
        <f>IFERROR(VLOOKUP(G62,Proveedores!B:C,2,0)," ")</f>
        <v xml:space="preserve"> </v>
      </c>
      <c r="J62" s="745">
        <v>0</v>
      </c>
      <c r="K62" s="745" t="str">
        <f t="shared" si="30"/>
        <v>Not Found</v>
      </c>
      <c r="L62" s="16">
        <f>IF(K62="Importado",Fletes!$B$66,0%)</f>
        <v>0</v>
      </c>
      <c r="M62" s="745">
        <f t="shared" si="43"/>
        <v>0</v>
      </c>
      <c r="N62" s="16">
        <f>IF(K62&lt;&gt;"Importado",0%,IF(Fletes!$B$67&lt;10,15%,IF(Fletes!$B$67&lt;20,10%,5%)))</f>
        <v>0</v>
      </c>
      <c r="O62" s="745" t="str">
        <f>IFERROR(IF(OR(F62="Offiho",F62="Lauco Sofas",F62="Requiez",F62="Labenze",F62="Sunon Mty",F62="Sonara"),(M62*(1-_xlfn.XLOOKUP(F62,Proveedores!A:A,Proveedores!I:I)))*(1+N62),((M62*(1-_xlfn.XLOOKUP(F62,Proveedores!A:A,Proveedores!I:I)))*(1+N62))+U62),"")</f>
        <v/>
      </c>
      <c r="P62" s="1031"/>
      <c r="Q62" s="1133">
        <f>IF(K62&lt;&gt;"Importado",0,IF(P62&gt;0,P62*H62,IFERROR(_xlfn.XLOOKUP(F62,Proveedores!A:A,Proveedores!F:F,0)*H62,0)))</f>
        <v>0</v>
      </c>
      <c r="R62" s="1134" t="e">
        <f t="shared" si="44"/>
        <v>#VALUE!</v>
      </c>
      <c r="S62" s="743"/>
      <c r="T62" s="1034" t="e">
        <f t="shared" si="31"/>
        <v>#N/A</v>
      </c>
      <c r="U62" s="1034" t="e">
        <f t="shared" si="45"/>
        <v>#N/A</v>
      </c>
      <c r="V62" s="1165" t="e">
        <f t="shared" si="32"/>
        <v>#N/A</v>
      </c>
      <c r="W62" s="1034" t="e">
        <f t="shared" si="46"/>
        <v>#N/A</v>
      </c>
      <c r="X62" s="1034" t="b">
        <f t="shared" si="47"/>
        <v>0</v>
      </c>
      <c r="Y62" s="1034">
        <f t="shared" si="48"/>
        <v>0</v>
      </c>
      <c r="Z62" s="1034">
        <f t="shared" si="49"/>
        <v>0</v>
      </c>
      <c r="AA62" s="1034">
        <f t="shared" si="33"/>
        <v>0</v>
      </c>
      <c r="AB62" s="1034">
        <f t="shared" si="34"/>
        <v>0</v>
      </c>
      <c r="AC62" s="1033">
        <f t="shared" si="50"/>
        <v>0</v>
      </c>
      <c r="AD62" s="1266">
        <f t="shared" si="35"/>
        <v>0</v>
      </c>
      <c r="AE62" s="1093">
        <f t="shared" si="51"/>
        <v>0</v>
      </c>
      <c r="AF62" s="1093">
        <f t="shared" si="52"/>
        <v>0</v>
      </c>
      <c r="AG62" s="1093">
        <f t="shared" si="36"/>
        <v>0</v>
      </c>
      <c r="AH62" s="1033" t="e">
        <f t="shared" si="37"/>
        <v>#DIV/0!</v>
      </c>
      <c r="AI62" s="1091">
        <f t="shared" si="38"/>
        <v>0</v>
      </c>
      <c r="AJ62" s="1094">
        <f t="shared" si="39"/>
        <v>0</v>
      </c>
      <c r="AK62" s="1053" t="str">
        <f t="shared" si="40"/>
        <v/>
      </c>
      <c r="AL62" s="1053"/>
      <c r="AM62" s="1290">
        <f>_xlfn.XLOOKUP(F62,Proveedores!A:A,Proveedores!G:G)</f>
        <v>0</v>
      </c>
      <c r="AN62" s="1095" t="str">
        <f t="shared" si="53"/>
        <v>OK</v>
      </c>
    </row>
    <row r="63" spans="1:40" ht="15.95">
      <c r="A63" s="1090" t="b">
        <f t="shared" si="28"/>
        <v>1</v>
      </c>
      <c r="B63" s="1091" t="b">
        <f t="shared" si="41"/>
        <v>1</v>
      </c>
      <c r="C63" s="1092" t="str">
        <f t="shared" si="42"/>
        <v>Dólares</v>
      </c>
      <c r="D63" s="11"/>
      <c r="E63" s="743"/>
      <c r="F63" s="17"/>
      <c r="G63" s="17" t="str">
        <f t="shared" si="29"/>
        <v xml:space="preserve"> </v>
      </c>
      <c r="H63" s="12">
        <v>0</v>
      </c>
      <c r="I63" s="16" t="str">
        <f>IFERROR(VLOOKUP(G63,Proveedores!B:C,2,0)," ")</f>
        <v xml:space="preserve"> </v>
      </c>
      <c r="J63" s="745">
        <v>0</v>
      </c>
      <c r="K63" s="745" t="str">
        <f t="shared" si="30"/>
        <v>Not Found</v>
      </c>
      <c r="L63" s="16">
        <f>IF(K63="Importado",Fletes!$B$66,0%)</f>
        <v>0</v>
      </c>
      <c r="M63" s="745">
        <f t="shared" si="43"/>
        <v>0</v>
      </c>
      <c r="N63" s="16">
        <f>IF(K63&lt;&gt;"Importado",0%,IF(Fletes!$B$67&lt;10,15%,IF(Fletes!$B$67&lt;20,10%,5%)))</f>
        <v>0</v>
      </c>
      <c r="O63" s="745" t="str">
        <f>IFERROR(IF(OR(F63="Offiho",F63="Lauco Sofas",F63="Requiez",F63="Labenze",F63="Sunon Mty",F63="Sonara"),(M63*(1-_xlfn.XLOOKUP(F63,Proveedores!A:A,Proveedores!I:I)))*(1+N63),((M63*(1-_xlfn.XLOOKUP(F63,Proveedores!A:A,Proveedores!I:I)))*(1+N63))+U63),"")</f>
        <v/>
      </c>
      <c r="P63" s="1031"/>
      <c r="Q63" s="1133">
        <f>IF(K63&lt;&gt;"Importado",0,IF(P63&gt;0,P63*H63,IFERROR(_xlfn.XLOOKUP(F63,Proveedores!A:A,Proveedores!F:F,0)*H63,0)))</f>
        <v>0</v>
      </c>
      <c r="R63" s="1134" t="e">
        <f t="shared" si="44"/>
        <v>#VALUE!</v>
      </c>
      <c r="S63" s="743"/>
      <c r="T63" s="1034" t="e">
        <f t="shared" si="31"/>
        <v>#N/A</v>
      </c>
      <c r="U63" s="1034" t="e">
        <f t="shared" si="45"/>
        <v>#N/A</v>
      </c>
      <c r="V63" s="1165" t="e">
        <f t="shared" si="32"/>
        <v>#N/A</v>
      </c>
      <c r="W63" s="1034" t="e">
        <f t="shared" si="46"/>
        <v>#N/A</v>
      </c>
      <c r="X63" s="1034" t="b">
        <f t="shared" si="47"/>
        <v>0</v>
      </c>
      <c r="Y63" s="1034">
        <f t="shared" si="48"/>
        <v>0</v>
      </c>
      <c r="Z63" s="1034">
        <f t="shared" si="49"/>
        <v>0</v>
      </c>
      <c r="AA63" s="1034">
        <f t="shared" si="33"/>
        <v>0</v>
      </c>
      <c r="AB63" s="1034">
        <f t="shared" si="34"/>
        <v>0</v>
      </c>
      <c r="AC63" s="1033">
        <f t="shared" si="50"/>
        <v>0</v>
      </c>
      <c r="AD63" s="1266">
        <f t="shared" si="35"/>
        <v>0</v>
      </c>
      <c r="AE63" s="1093">
        <f t="shared" si="51"/>
        <v>0</v>
      </c>
      <c r="AF63" s="1093">
        <f t="shared" si="52"/>
        <v>0</v>
      </c>
      <c r="AG63" s="1093">
        <f t="shared" si="36"/>
        <v>0</v>
      </c>
      <c r="AH63" s="1033" t="e">
        <f t="shared" si="37"/>
        <v>#DIV/0!</v>
      </c>
      <c r="AI63" s="1091">
        <f t="shared" si="38"/>
        <v>0</v>
      </c>
      <c r="AJ63" s="1094">
        <f t="shared" si="39"/>
        <v>0</v>
      </c>
      <c r="AK63" s="1053" t="str">
        <f t="shared" si="40"/>
        <v/>
      </c>
      <c r="AL63" s="1053"/>
      <c r="AM63" s="1290">
        <f>_xlfn.XLOOKUP(F63,Proveedores!A:A,Proveedores!G:G)</f>
        <v>0</v>
      </c>
      <c r="AN63" s="1095" t="str">
        <f t="shared" si="53"/>
        <v>OK</v>
      </c>
    </row>
    <row r="64" spans="1:40" ht="15.95">
      <c r="A64" s="1090" t="b">
        <f t="shared" si="28"/>
        <v>1</v>
      </c>
      <c r="B64" s="1091" t="b">
        <f t="shared" si="41"/>
        <v>1</v>
      </c>
      <c r="C64" s="1092" t="str">
        <f t="shared" si="42"/>
        <v>Dólares</v>
      </c>
      <c r="D64" s="11"/>
      <c r="E64" s="743"/>
      <c r="F64" s="17"/>
      <c r="G64" s="17" t="str">
        <f t="shared" si="29"/>
        <v xml:space="preserve"> </v>
      </c>
      <c r="H64" s="12">
        <v>0</v>
      </c>
      <c r="I64" s="16" t="str">
        <f>IFERROR(VLOOKUP(G64,Proveedores!B:C,2,0)," ")</f>
        <v xml:space="preserve"> </v>
      </c>
      <c r="J64" s="745">
        <v>0</v>
      </c>
      <c r="K64" s="745" t="str">
        <f t="shared" si="30"/>
        <v>Not Found</v>
      </c>
      <c r="L64" s="16">
        <f>IF(K64="Importado",Fletes!$B$66,0%)</f>
        <v>0</v>
      </c>
      <c r="M64" s="745">
        <f t="shared" si="43"/>
        <v>0</v>
      </c>
      <c r="N64" s="16">
        <f>IF(K64&lt;&gt;"Importado",0%,IF(Fletes!$B$67&lt;10,15%,IF(Fletes!$B$67&lt;20,10%,5%)))</f>
        <v>0</v>
      </c>
      <c r="O64" s="745" t="str">
        <f>IFERROR(IF(OR(F64="Offiho",F64="Lauco Sofas",F64="Requiez",F64="Labenze",F64="Sunon Mty",F64="Sonara"),(M64*(1-_xlfn.XLOOKUP(F64,Proveedores!A:A,Proveedores!I:I)))*(1+N64),((M64*(1-_xlfn.XLOOKUP(F64,Proveedores!A:A,Proveedores!I:I)))*(1+N64))+U64),"")</f>
        <v/>
      </c>
      <c r="P64" s="1031"/>
      <c r="Q64" s="1133">
        <f>IF(K64&lt;&gt;"Importado",0,IF(P64&gt;0,P64*H64,IFERROR(_xlfn.XLOOKUP(F64,Proveedores!A:A,Proveedores!F:F,0)*H64,0)))</f>
        <v>0</v>
      </c>
      <c r="R64" s="1134" t="e">
        <f t="shared" si="44"/>
        <v>#VALUE!</v>
      </c>
      <c r="S64" s="743"/>
      <c r="T64" s="1034" t="e">
        <f t="shared" si="31"/>
        <v>#N/A</v>
      </c>
      <c r="U64" s="1034" t="e">
        <f t="shared" si="45"/>
        <v>#N/A</v>
      </c>
      <c r="V64" s="1165" t="e">
        <f t="shared" si="32"/>
        <v>#N/A</v>
      </c>
      <c r="W64" s="1034" t="e">
        <f t="shared" si="46"/>
        <v>#N/A</v>
      </c>
      <c r="X64" s="1034" t="b">
        <f t="shared" si="47"/>
        <v>0</v>
      </c>
      <c r="Y64" s="1034">
        <f t="shared" si="48"/>
        <v>0</v>
      </c>
      <c r="Z64" s="1034">
        <f t="shared" si="49"/>
        <v>0</v>
      </c>
      <c r="AA64" s="1034">
        <f t="shared" si="33"/>
        <v>0</v>
      </c>
      <c r="AB64" s="1034">
        <f t="shared" si="34"/>
        <v>0</v>
      </c>
      <c r="AC64" s="1033">
        <f t="shared" si="50"/>
        <v>0</v>
      </c>
      <c r="AD64" s="1266">
        <f t="shared" si="35"/>
        <v>0</v>
      </c>
      <c r="AE64" s="1093">
        <f t="shared" si="51"/>
        <v>0</v>
      </c>
      <c r="AF64" s="1093">
        <f t="shared" si="52"/>
        <v>0</v>
      </c>
      <c r="AG64" s="1093">
        <f t="shared" si="36"/>
        <v>0</v>
      </c>
      <c r="AH64" s="1033" t="e">
        <f t="shared" si="37"/>
        <v>#DIV/0!</v>
      </c>
      <c r="AI64" s="1091">
        <f t="shared" si="38"/>
        <v>0</v>
      </c>
      <c r="AJ64" s="1094">
        <f t="shared" si="39"/>
        <v>0</v>
      </c>
      <c r="AK64" s="1053" t="str">
        <f t="shared" si="40"/>
        <v/>
      </c>
      <c r="AL64" s="1053"/>
      <c r="AM64" s="1290">
        <f>_xlfn.XLOOKUP(F64,Proveedores!A:A,Proveedores!G:G)</f>
        <v>0</v>
      </c>
      <c r="AN64" s="1095" t="str">
        <f t="shared" si="53"/>
        <v>OK</v>
      </c>
    </row>
    <row r="65" spans="1:40" ht="15.95">
      <c r="A65" s="1090" t="b">
        <f t="shared" si="28"/>
        <v>1</v>
      </c>
      <c r="B65" s="1091" t="b">
        <f t="shared" si="41"/>
        <v>1</v>
      </c>
      <c r="C65" s="1092" t="str">
        <f t="shared" si="42"/>
        <v>Dólares</v>
      </c>
      <c r="D65" s="11"/>
      <c r="E65" s="743"/>
      <c r="F65" s="17"/>
      <c r="G65" s="17" t="str">
        <f t="shared" si="29"/>
        <v xml:space="preserve"> </v>
      </c>
      <c r="H65" s="12">
        <v>0</v>
      </c>
      <c r="I65" s="16" t="str">
        <f>IFERROR(VLOOKUP(G65,Proveedores!B:C,2,0)," ")</f>
        <v xml:space="preserve"> </v>
      </c>
      <c r="J65" s="745">
        <v>0</v>
      </c>
      <c r="K65" s="745" t="str">
        <f t="shared" si="30"/>
        <v>Not Found</v>
      </c>
      <c r="L65" s="16">
        <f>IF(K65="Importado",Fletes!$B$66,0%)</f>
        <v>0</v>
      </c>
      <c r="M65" s="745">
        <f t="shared" si="43"/>
        <v>0</v>
      </c>
      <c r="N65" s="16">
        <f>IF(K65&lt;&gt;"Importado",0%,IF(Fletes!$B$67&lt;10,15%,IF(Fletes!$B$67&lt;20,10%,5%)))</f>
        <v>0</v>
      </c>
      <c r="O65" s="745" t="str">
        <f>IFERROR(IF(OR(F65="Offiho",F65="Lauco Sofas",F65="Requiez",F65="Labenze",F65="Sunon Mty",F65="Sonara"),(M65*(1-_xlfn.XLOOKUP(F65,Proveedores!A:A,Proveedores!I:I)))*(1+N65),((M65*(1-_xlfn.XLOOKUP(F65,Proveedores!A:A,Proveedores!I:I)))*(1+N65))+U65),"")</f>
        <v/>
      </c>
      <c r="P65" s="1031"/>
      <c r="Q65" s="1133">
        <f>IF(K65&lt;&gt;"Importado",0,IF(P65&gt;0,P65*H65,IFERROR(_xlfn.XLOOKUP(F65,Proveedores!A:A,Proveedores!F:F,0)*H65,0)))</f>
        <v>0</v>
      </c>
      <c r="R65" s="1134" t="e">
        <f t="shared" si="44"/>
        <v>#VALUE!</v>
      </c>
      <c r="S65" s="743"/>
      <c r="T65" s="1034" t="e">
        <f t="shared" si="31"/>
        <v>#N/A</v>
      </c>
      <c r="U65" s="1034" t="e">
        <f t="shared" si="45"/>
        <v>#N/A</v>
      </c>
      <c r="V65" s="1165" t="e">
        <f t="shared" si="32"/>
        <v>#N/A</v>
      </c>
      <c r="W65" s="1034" t="e">
        <f t="shared" si="46"/>
        <v>#N/A</v>
      </c>
      <c r="X65" s="1034" t="b">
        <f t="shared" si="47"/>
        <v>0</v>
      </c>
      <c r="Y65" s="1034">
        <f t="shared" si="48"/>
        <v>0</v>
      </c>
      <c r="Z65" s="1034">
        <f t="shared" si="49"/>
        <v>0</v>
      </c>
      <c r="AA65" s="1034">
        <f t="shared" si="33"/>
        <v>0</v>
      </c>
      <c r="AB65" s="1034">
        <f t="shared" si="34"/>
        <v>0</v>
      </c>
      <c r="AC65" s="1033">
        <f t="shared" si="50"/>
        <v>0</v>
      </c>
      <c r="AD65" s="1266">
        <f t="shared" si="35"/>
        <v>0</v>
      </c>
      <c r="AE65" s="1093">
        <f t="shared" si="51"/>
        <v>0</v>
      </c>
      <c r="AF65" s="1093">
        <f t="shared" si="52"/>
        <v>0</v>
      </c>
      <c r="AG65" s="1093">
        <f t="shared" si="36"/>
        <v>0</v>
      </c>
      <c r="AH65" s="1033" t="e">
        <f t="shared" si="37"/>
        <v>#DIV/0!</v>
      </c>
      <c r="AI65" s="1091">
        <f t="shared" si="38"/>
        <v>0</v>
      </c>
      <c r="AJ65" s="1094">
        <f t="shared" si="39"/>
        <v>0</v>
      </c>
      <c r="AK65" s="1053" t="str">
        <f t="shared" si="40"/>
        <v/>
      </c>
      <c r="AL65" s="1053"/>
      <c r="AM65" s="1290">
        <f>_xlfn.XLOOKUP(F65,Proveedores!A:A,Proveedores!G:G)</f>
        <v>0</v>
      </c>
      <c r="AN65" s="1095" t="str">
        <f t="shared" si="53"/>
        <v>OK</v>
      </c>
    </row>
    <row r="66" spans="1:40" ht="15.95">
      <c r="A66" s="1090" t="b">
        <f t="shared" si="28"/>
        <v>1</v>
      </c>
      <c r="B66" s="1091" t="b">
        <f t="shared" si="41"/>
        <v>1</v>
      </c>
      <c r="C66" s="1092" t="str">
        <f t="shared" si="42"/>
        <v>Dólares</v>
      </c>
      <c r="D66" s="11"/>
      <c r="E66" s="743"/>
      <c r="F66" s="17"/>
      <c r="G66" s="17" t="str">
        <f t="shared" si="29"/>
        <v xml:space="preserve"> </v>
      </c>
      <c r="H66" s="12">
        <v>0</v>
      </c>
      <c r="I66" s="16" t="str">
        <f>IFERROR(VLOOKUP(G66,Proveedores!B:C,2,0)," ")</f>
        <v xml:space="preserve"> </v>
      </c>
      <c r="J66" s="745">
        <v>0</v>
      </c>
      <c r="K66" s="745" t="str">
        <f t="shared" si="30"/>
        <v>Not Found</v>
      </c>
      <c r="L66" s="16">
        <f>IF(K66="Importado",Fletes!$B$66,0%)</f>
        <v>0</v>
      </c>
      <c r="M66" s="745">
        <f t="shared" si="43"/>
        <v>0</v>
      </c>
      <c r="N66" s="16">
        <f>IF(K66&lt;&gt;"Importado",0%,IF(Fletes!$B$67&lt;10,15%,IF(Fletes!$B$67&lt;20,10%,5%)))</f>
        <v>0</v>
      </c>
      <c r="O66" s="745" t="str">
        <f>IFERROR(IF(OR(F66="Offiho",F66="Lauco Sofas",F66="Requiez",F66="Labenze",F66="Sunon Mty",F66="Sonara"),(M66*(1-_xlfn.XLOOKUP(F66,Proveedores!A:A,Proveedores!I:I)))*(1+N66),((M66*(1-_xlfn.XLOOKUP(F66,Proveedores!A:A,Proveedores!I:I)))*(1+N66))+U66),"")</f>
        <v/>
      </c>
      <c r="P66" s="1031"/>
      <c r="Q66" s="1133">
        <f>IF(K66&lt;&gt;"Importado",0,IF(P66&gt;0,P66*H66,IFERROR(_xlfn.XLOOKUP(F66,Proveedores!A:A,Proveedores!F:F,0)*H66,0)))</f>
        <v>0</v>
      </c>
      <c r="R66" s="1134" t="e">
        <f t="shared" si="44"/>
        <v>#VALUE!</v>
      </c>
      <c r="S66" s="743"/>
      <c r="T66" s="1034" t="e">
        <f t="shared" si="31"/>
        <v>#N/A</v>
      </c>
      <c r="U66" s="1034" t="e">
        <f t="shared" si="45"/>
        <v>#N/A</v>
      </c>
      <c r="V66" s="1165" t="e">
        <f t="shared" si="32"/>
        <v>#N/A</v>
      </c>
      <c r="W66" s="1034" t="e">
        <f t="shared" si="46"/>
        <v>#N/A</v>
      </c>
      <c r="X66" s="1034" t="b">
        <f t="shared" si="47"/>
        <v>0</v>
      </c>
      <c r="Y66" s="1034">
        <f t="shared" si="48"/>
        <v>0</v>
      </c>
      <c r="Z66" s="1034">
        <f t="shared" si="49"/>
        <v>0</v>
      </c>
      <c r="AA66" s="1034">
        <f t="shared" si="33"/>
        <v>0</v>
      </c>
      <c r="AB66" s="1034">
        <f t="shared" si="34"/>
        <v>0</v>
      </c>
      <c r="AC66" s="1033">
        <f t="shared" si="50"/>
        <v>0</v>
      </c>
      <c r="AD66" s="1266">
        <f t="shared" si="35"/>
        <v>0</v>
      </c>
      <c r="AE66" s="1093">
        <f t="shared" si="51"/>
        <v>0</v>
      </c>
      <c r="AF66" s="1093">
        <f t="shared" si="52"/>
        <v>0</v>
      </c>
      <c r="AG66" s="1093">
        <f t="shared" si="36"/>
        <v>0</v>
      </c>
      <c r="AH66" s="1033" t="e">
        <f t="shared" si="37"/>
        <v>#DIV/0!</v>
      </c>
      <c r="AI66" s="1091">
        <f t="shared" si="38"/>
        <v>0</v>
      </c>
      <c r="AJ66" s="1094">
        <f t="shared" si="39"/>
        <v>0</v>
      </c>
      <c r="AK66" s="1053" t="str">
        <f t="shared" si="40"/>
        <v/>
      </c>
      <c r="AL66" s="1053"/>
      <c r="AM66" s="1290">
        <f>_xlfn.XLOOKUP(F66,Proveedores!A:A,Proveedores!G:G)</f>
        <v>0</v>
      </c>
      <c r="AN66" s="1095" t="str">
        <f t="shared" si="53"/>
        <v>OK</v>
      </c>
    </row>
    <row r="67" spans="1:40" ht="15.95">
      <c r="A67" s="1090" t="b">
        <f t="shared" si="28"/>
        <v>1</v>
      </c>
      <c r="B67" s="1091" t="b">
        <f t="shared" si="41"/>
        <v>1</v>
      </c>
      <c r="C67" s="1092" t="str">
        <f t="shared" si="42"/>
        <v>Dólares</v>
      </c>
      <c r="D67" s="11"/>
      <c r="E67" s="743"/>
      <c r="F67" s="17"/>
      <c r="G67" s="17" t="str">
        <f t="shared" si="29"/>
        <v xml:space="preserve"> </v>
      </c>
      <c r="H67" s="12">
        <v>0</v>
      </c>
      <c r="I67" s="16" t="str">
        <f>IFERROR(VLOOKUP(G67,Proveedores!B:C,2,0)," ")</f>
        <v xml:space="preserve"> </v>
      </c>
      <c r="J67" s="745">
        <v>0</v>
      </c>
      <c r="K67" s="745" t="str">
        <f t="shared" si="30"/>
        <v>Not Found</v>
      </c>
      <c r="L67" s="16">
        <f>IF(K67="Importado",Fletes!$B$66,0%)</f>
        <v>0</v>
      </c>
      <c r="M67" s="745">
        <f t="shared" si="43"/>
        <v>0</v>
      </c>
      <c r="N67" s="16">
        <f>IF(K67&lt;&gt;"Importado",0%,IF(Fletes!$B$67&lt;10,15%,IF(Fletes!$B$67&lt;20,10%,5%)))</f>
        <v>0</v>
      </c>
      <c r="O67" s="745" t="str">
        <f>IFERROR(IF(OR(F67="Offiho",F67="Lauco Sofas",F67="Requiez",F67="Labenze",F67="Sunon Mty",F67="Sonara"),(M67*(1-_xlfn.XLOOKUP(F67,Proveedores!A:A,Proveedores!I:I)))*(1+N67),((M67*(1-_xlfn.XLOOKUP(F67,Proveedores!A:A,Proveedores!I:I)))*(1+N67))+U67),"")</f>
        <v/>
      </c>
      <c r="P67" s="1031"/>
      <c r="Q67" s="1133">
        <f>IF(K67&lt;&gt;"Importado",0,IF(P67&gt;0,P67*H67,IFERROR(_xlfn.XLOOKUP(F67,Proveedores!A:A,Proveedores!F:F,0)*H67,0)))</f>
        <v>0</v>
      </c>
      <c r="R67" s="1134" t="e">
        <f t="shared" si="44"/>
        <v>#VALUE!</v>
      </c>
      <c r="S67" s="743"/>
      <c r="T67" s="1034" t="e">
        <f t="shared" si="31"/>
        <v>#N/A</v>
      </c>
      <c r="U67" s="1034" t="e">
        <f t="shared" si="45"/>
        <v>#N/A</v>
      </c>
      <c r="V67" s="1165" t="e">
        <f t="shared" si="32"/>
        <v>#N/A</v>
      </c>
      <c r="W67" s="1034" t="e">
        <f t="shared" si="46"/>
        <v>#N/A</v>
      </c>
      <c r="X67" s="1034" t="b">
        <f t="shared" si="47"/>
        <v>0</v>
      </c>
      <c r="Y67" s="1034">
        <f t="shared" si="48"/>
        <v>0</v>
      </c>
      <c r="Z67" s="1034">
        <f t="shared" si="49"/>
        <v>0</v>
      </c>
      <c r="AA67" s="1034">
        <f t="shared" si="33"/>
        <v>0</v>
      </c>
      <c r="AB67" s="1034">
        <f t="shared" si="34"/>
        <v>0</v>
      </c>
      <c r="AC67" s="1033">
        <f t="shared" si="50"/>
        <v>0</v>
      </c>
      <c r="AD67" s="1266">
        <f t="shared" si="35"/>
        <v>0</v>
      </c>
      <c r="AE67" s="1093">
        <f t="shared" si="51"/>
        <v>0</v>
      </c>
      <c r="AF67" s="1093">
        <f t="shared" si="52"/>
        <v>0</v>
      </c>
      <c r="AG67" s="1093">
        <f t="shared" si="36"/>
        <v>0</v>
      </c>
      <c r="AH67" s="1033" t="e">
        <f t="shared" si="37"/>
        <v>#DIV/0!</v>
      </c>
      <c r="AI67" s="1091">
        <f t="shared" si="38"/>
        <v>0</v>
      </c>
      <c r="AJ67" s="1094">
        <f t="shared" si="39"/>
        <v>0</v>
      </c>
      <c r="AK67" s="1053" t="str">
        <f t="shared" si="40"/>
        <v/>
      </c>
      <c r="AL67" s="1053"/>
      <c r="AM67" s="1290">
        <f>_xlfn.XLOOKUP(F67,Proveedores!A:A,Proveedores!G:G)</f>
        <v>0</v>
      </c>
      <c r="AN67" s="1095" t="str">
        <f t="shared" si="53"/>
        <v>OK</v>
      </c>
    </row>
    <row r="68" spans="1:40" ht="15.95">
      <c r="A68" s="1090" t="b">
        <f t="shared" si="28"/>
        <v>1</v>
      </c>
      <c r="B68" s="1091" t="b">
        <f t="shared" si="41"/>
        <v>1</v>
      </c>
      <c r="C68" s="1092" t="str">
        <f t="shared" si="42"/>
        <v>Dólares</v>
      </c>
      <c r="D68" s="11"/>
      <c r="E68" s="743"/>
      <c r="F68" s="17"/>
      <c r="G68" s="17" t="str">
        <f t="shared" si="29"/>
        <v xml:space="preserve"> </v>
      </c>
      <c r="H68" s="12">
        <v>0</v>
      </c>
      <c r="I68" s="16" t="str">
        <f>IFERROR(VLOOKUP(G68,Proveedores!B:C,2,0)," ")</f>
        <v xml:space="preserve"> </v>
      </c>
      <c r="J68" s="745">
        <v>0</v>
      </c>
      <c r="K68" s="745" t="str">
        <f t="shared" si="30"/>
        <v>Not Found</v>
      </c>
      <c r="L68" s="16">
        <f>IF(K68="Importado",Fletes!$B$66,0%)</f>
        <v>0</v>
      </c>
      <c r="M68" s="745">
        <f t="shared" si="43"/>
        <v>0</v>
      </c>
      <c r="N68" s="16">
        <f>IF(K68&lt;&gt;"Importado",0%,IF(Fletes!$B$67&lt;10,15%,IF(Fletes!$B$67&lt;20,10%,5%)))</f>
        <v>0</v>
      </c>
      <c r="O68" s="745" t="str">
        <f>IFERROR(IF(OR(F68="Offiho",F68="Lauco Sofas",F68="Requiez",F68="Labenze",F68="Sunon Mty",F68="Sonara"),(M68*(1-_xlfn.XLOOKUP(F68,Proveedores!A:A,Proveedores!I:I)))*(1+N68),((M68*(1-_xlfn.XLOOKUP(F68,Proveedores!A:A,Proveedores!I:I)))*(1+N68))+U68),"")</f>
        <v/>
      </c>
      <c r="P68" s="1031"/>
      <c r="Q68" s="1133">
        <f>IF(K68&lt;&gt;"Importado",0,IF(P68&gt;0,P68*H68,IFERROR(_xlfn.XLOOKUP(F68,Proveedores!A:A,Proveedores!F:F,0)*H68,0)))</f>
        <v>0</v>
      </c>
      <c r="R68" s="1134" t="e">
        <f t="shared" si="44"/>
        <v>#VALUE!</v>
      </c>
      <c r="S68" s="743"/>
      <c r="T68" s="1034" t="e">
        <f t="shared" si="31"/>
        <v>#N/A</v>
      </c>
      <c r="U68" s="1034" t="e">
        <f t="shared" si="45"/>
        <v>#N/A</v>
      </c>
      <c r="V68" s="1165" t="e">
        <f t="shared" si="32"/>
        <v>#N/A</v>
      </c>
      <c r="W68" s="1034" t="e">
        <f t="shared" si="46"/>
        <v>#N/A</v>
      </c>
      <c r="X68" s="1034" t="b">
        <f t="shared" si="47"/>
        <v>0</v>
      </c>
      <c r="Y68" s="1034">
        <f t="shared" si="48"/>
        <v>0</v>
      </c>
      <c r="Z68" s="1034">
        <f t="shared" si="49"/>
        <v>0</v>
      </c>
      <c r="AA68" s="1034">
        <f t="shared" si="33"/>
        <v>0</v>
      </c>
      <c r="AB68" s="1034">
        <f t="shared" si="34"/>
        <v>0</v>
      </c>
      <c r="AC68" s="1033">
        <f t="shared" si="50"/>
        <v>0</v>
      </c>
      <c r="AD68" s="1266">
        <f t="shared" si="35"/>
        <v>0</v>
      </c>
      <c r="AE68" s="1093">
        <f t="shared" si="51"/>
        <v>0</v>
      </c>
      <c r="AF68" s="1093">
        <f t="shared" si="52"/>
        <v>0</v>
      </c>
      <c r="AG68" s="1093">
        <f t="shared" si="36"/>
        <v>0</v>
      </c>
      <c r="AH68" s="1033" t="e">
        <f t="shared" si="37"/>
        <v>#DIV/0!</v>
      </c>
      <c r="AI68" s="1091">
        <f t="shared" si="38"/>
        <v>0</v>
      </c>
      <c r="AJ68" s="1094">
        <f t="shared" si="39"/>
        <v>0</v>
      </c>
      <c r="AK68" s="1053" t="str">
        <f t="shared" si="40"/>
        <v/>
      </c>
      <c r="AL68" s="1053"/>
      <c r="AM68" s="1290">
        <f>_xlfn.XLOOKUP(F68,Proveedores!A:A,Proveedores!G:G)</f>
        <v>0</v>
      </c>
      <c r="AN68" s="1095" t="str">
        <f t="shared" si="53"/>
        <v>OK</v>
      </c>
    </row>
    <row r="69" spans="1:40" ht="15.95">
      <c r="A69" s="1090" t="b">
        <f t="shared" si="28"/>
        <v>1</v>
      </c>
      <c r="B69" s="1091" t="b">
        <f t="shared" si="41"/>
        <v>1</v>
      </c>
      <c r="C69" s="1092" t="str">
        <f t="shared" si="42"/>
        <v>Dólares</v>
      </c>
      <c r="D69" s="11"/>
      <c r="E69" s="743"/>
      <c r="F69" s="17"/>
      <c r="G69" s="17" t="str">
        <f t="shared" si="29"/>
        <v xml:space="preserve"> </v>
      </c>
      <c r="H69" s="12">
        <v>0</v>
      </c>
      <c r="I69" s="16" t="str">
        <f>IFERROR(VLOOKUP(G69,Proveedores!B:C,2,0)," ")</f>
        <v xml:space="preserve"> </v>
      </c>
      <c r="J69" s="745">
        <v>0</v>
      </c>
      <c r="K69" s="745" t="str">
        <f t="shared" si="30"/>
        <v>Not Found</v>
      </c>
      <c r="L69" s="16">
        <f>IF(K69="Importado",Fletes!$B$66,0%)</f>
        <v>0</v>
      </c>
      <c r="M69" s="745">
        <f t="shared" si="43"/>
        <v>0</v>
      </c>
      <c r="N69" s="16">
        <f>IF(K69&lt;&gt;"Importado",0%,IF(Fletes!$B$67&lt;10,15%,IF(Fletes!$B$67&lt;20,10%,5%)))</f>
        <v>0</v>
      </c>
      <c r="O69" s="745" t="str">
        <f>IFERROR(IF(OR(F69="Offiho",F69="Lauco Sofas",F69="Requiez",F69="Labenze",F69="Sunon Mty",F69="Sonara"),(M69*(1-_xlfn.XLOOKUP(F69,Proveedores!A:A,Proveedores!I:I)))*(1+N69),((M69*(1-_xlfn.XLOOKUP(F69,Proveedores!A:A,Proveedores!I:I)))*(1+N69))+U69),"")</f>
        <v/>
      </c>
      <c r="P69" s="1031"/>
      <c r="Q69" s="1133">
        <f>IF(K69&lt;&gt;"Importado",0,IF(P69&gt;0,P69*H69,IFERROR(_xlfn.XLOOKUP(F69,Proveedores!A:A,Proveedores!F:F,0)*H69,0)))</f>
        <v>0</v>
      </c>
      <c r="R69" s="1134" t="e">
        <f t="shared" si="44"/>
        <v>#VALUE!</v>
      </c>
      <c r="S69" s="743"/>
      <c r="T69" s="1034" t="e">
        <f t="shared" si="31"/>
        <v>#N/A</v>
      </c>
      <c r="U69" s="1034" t="e">
        <f t="shared" si="45"/>
        <v>#N/A</v>
      </c>
      <c r="V69" s="1165" t="e">
        <f t="shared" si="32"/>
        <v>#N/A</v>
      </c>
      <c r="W69" s="1034" t="e">
        <f t="shared" si="46"/>
        <v>#N/A</v>
      </c>
      <c r="X69" s="1034" t="b">
        <f t="shared" si="47"/>
        <v>0</v>
      </c>
      <c r="Y69" s="1034">
        <f t="shared" si="48"/>
        <v>0</v>
      </c>
      <c r="Z69" s="1034">
        <f t="shared" si="49"/>
        <v>0</v>
      </c>
      <c r="AA69" s="1034">
        <f t="shared" si="33"/>
        <v>0</v>
      </c>
      <c r="AB69" s="1034">
        <f t="shared" si="34"/>
        <v>0</v>
      </c>
      <c r="AC69" s="1033">
        <f t="shared" si="50"/>
        <v>0</v>
      </c>
      <c r="AD69" s="1266">
        <f t="shared" si="35"/>
        <v>0</v>
      </c>
      <c r="AE69" s="1093">
        <f t="shared" si="51"/>
        <v>0</v>
      </c>
      <c r="AF69" s="1093">
        <f t="shared" si="52"/>
        <v>0</v>
      </c>
      <c r="AG69" s="1093">
        <f t="shared" si="36"/>
        <v>0</v>
      </c>
      <c r="AH69" s="1033" t="e">
        <f t="shared" si="37"/>
        <v>#DIV/0!</v>
      </c>
      <c r="AI69" s="1091">
        <f t="shared" si="38"/>
        <v>0</v>
      </c>
      <c r="AJ69" s="1094">
        <f t="shared" si="39"/>
        <v>0</v>
      </c>
      <c r="AK69" s="1053" t="str">
        <f t="shared" si="40"/>
        <v/>
      </c>
      <c r="AL69" s="1053"/>
      <c r="AM69" s="1290">
        <f>_xlfn.XLOOKUP(F69,Proveedores!A:A,Proveedores!G:G)</f>
        <v>0</v>
      </c>
      <c r="AN69" s="1095" t="str">
        <f t="shared" si="53"/>
        <v>OK</v>
      </c>
    </row>
    <row r="70" spans="1:40" ht="15.95">
      <c r="A70" s="1090" t="b">
        <f t="shared" si="28"/>
        <v>1</v>
      </c>
      <c r="B70" s="1091" t="b">
        <f t="shared" si="41"/>
        <v>1</v>
      </c>
      <c r="C70" s="1092" t="str">
        <f t="shared" si="42"/>
        <v>Dólares</v>
      </c>
      <c r="D70" s="11"/>
      <c r="E70" s="743"/>
      <c r="F70" s="17"/>
      <c r="G70" s="17" t="str">
        <f t="shared" si="29"/>
        <v xml:space="preserve"> </v>
      </c>
      <c r="H70" s="12">
        <v>0</v>
      </c>
      <c r="I70" s="16" t="str">
        <f>IFERROR(VLOOKUP(G70,Proveedores!B:C,2,0)," ")</f>
        <v xml:space="preserve"> </v>
      </c>
      <c r="J70" s="745">
        <v>0</v>
      </c>
      <c r="K70" s="745" t="str">
        <f t="shared" si="30"/>
        <v>Not Found</v>
      </c>
      <c r="L70" s="16">
        <f>IF(K70="Importado",Fletes!$B$66,0%)</f>
        <v>0</v>
      </c>
      <c r="M70" s="745">
        <f t="shared" si="43"/>
        <v>0</v>
      </c>
      <c r="N70" s="16">
        <f>IF(K70&lt;&gt;"Importado",0%,IF(Fletes!$B$67&lt;10,15%,IF(Fletes!$B$67&lt;20,10%,5%)))</f>
        <v>0</v>
      </c>
      <c r="O70" s="745" t="str">
        <f>IFERROR(IF(OR(F70="Offiho",F70="Lauco Sofas",F70="Requiez",F70="Labenze",F70="Sunon Mty",F70="Sonara"),(M70*(1-_xlfn.XLOOKUP(F70,Proveedores!A:A,Proveedores!I:I)))*(1+N70),((M70*(1-_xlfn.XLOOKUP(F70,Proveedores!A:A,Proveedores!I:I)))*(1+N70))+U70),"")</f>
        <v/>
      </c>
      <c r="P70" s="1031"/>
      <c r="Q70" s="1133">
        <f>IF(K70&lt;&gt;"Importado",0,IF(P70&gt;0,P70*H70,IFERROR(_xlfn.XLOOKUP(F70,Proveedores!A:A,Proveedores!F:F,0)*H70,0)))</f>
        <v>0</v>
      </c>
      <c r="R70" s="1134" t="e">
        <f t="shared" si="44"/>
        <v>#VALUE!</v>
      </c>
      <c r="S70" s="743"/>
      <c r="T70" s="1034" t="e">
        <f t="shared" si="31"/>
        <v>#N/A</v>
      </c>
      <c r="U70" s="1034" t="e">
        <f t="shared" si="45"/>
        <v>#N/A</v>
      </c>
      <c r="V70" s="1165" t="e">
        <f t="shared" si="32"/>
        <v>#N/A</v>
      </c>
      <c r="W70" s="1034" t="e">
        <f t="shared" si="46"/>
        <v>#N/A</v>
      </c>
      <c r="X70" s="1034" t="b">
        <f t="shared" si="47"/>
        <v>0</v>
      </c>
      <c r="Y70" s="1034">
        <f t="shared" si="48"/>
        <v>0</v>
      </c>
      <c r="Z70" s="1034">
        <f t="shared" si="49"/>
        <v>0</v>
      </c>
      <c r="AA70" s="1034">
        <f t="shared" si="33"/>
        <v>0</v>
      </c>
      <c r="AB70" s="1034">
        <f t="shared" si="34"/>
        <v>0</v>
      </c>
      <c r="AC70" s="1033">
        <f t="shared" si="50"/>
        <v>0</v>
      </c>
      <c r="AD70" s="1266">
        <f t="shared" si="35"/>
        <v>0</v>
      </c>
      <c r="AE70" s="1093">
        <f t="shared" si="51"/>
        <v>0</v>
      </c>
      <c r="AF70" s="1093">
        <f t="shared" si="52"/>
        <v>0</v>
      </c>
      <c r="AG70" s="1093">
        <f t="shared" si="36"/>
        <v>0</v>
      </c>
      <c r="AH70" s="1033" t="e">
        <f t="shared" si="37"/>
        <v>#DIV/0!</v>
      </c>
      <c r="AI70" s="1091">
        <f t="shared" si="38"/>
        <v>0</v>
      </c>
      <c r="AJ70" s="1094">
        <f t="shared" si="39"/>
        <v>0</v>
      </c>
      <c r="AK70" s="1053" t="str">
        <f t="shared" si="40"/>
        <v/>
      </c>
      <c r="AL70" s="1053"/>
      <c r="AM70" s="1290">
        <f>_xlfn.XLOOKUP(F70,Proveedores!A:A,Proveedores!G:G)</f>
        <v>0</v>
      </c>
      <c r="AN70" s="1095" t="str">
        <f t="shared" si="53"/>
        <v>OK</v>
      </c>
    </row>
    <row r="71" spans="1:40" ht="15.95">
      <c r="A71" s="1090" t="b">
        <f t="shared" si="28"/>
        <v>1</v>
      </c>
      <c r="B71" s="1091" t="b">
        <f t="shared" si="41"/>
        <v>1</v>
      </c>
      <c r="C71" s="1092" t="str">
        <f t="shared" si="42"/>
        <v>Dólares</v>
      </c>
      <c r="D71" s="11"/>
      <c r="E71" s="743"/>
      <c r="F71" s="17"/>
      <c r="G71" s="17" t="str">
        <f t="shared" si="29"/>
        <v xml:space="preserve"> </v>
      </c>
      <c r="H71" s="12">
        <v>0</v>
      </c>
      <c r="I71" s="16" t="str">
        <f>IFERROR(VLOOKUP(G71,Proveedores!B:C,2,0)," ")</f>
        <v xml:space="preserve"> </v>
      </c>
      <c r="J71" s="745">
        <v>0</v>
      </c>
      <c r="K71" s="745" t="str">
        <f t="shared" si="30"/>
        <v>Not Found</v>
      </c>
      <c r="L71" s="16">
        <f>IF(K71="Importado",Fletes!$B$66,0%)</f>
        <v>0</v>
      </c>
      <c r="M71" s="745">
        <f t="shared" si="43"/>
        <v>0</v>
      </c>
      <c r="N71" s="16">
        <f>IF(K71&lt;&gt;"Importado",0%,IF(Fletes!$B$67&lt;10,15%,IF(Fletes!$B$67&lt;20,10%,5%)))</f>
        <v>0</v>
      </c>
      <c r="O71" s="745" t="str">
        <f>IFERROR(IF(OR(F71="Offiho",F71="Lauco Sofas",F71="Requiez",F71="Labenze",F71="Sunon Mty",F71="Sonara"),(M71*(1-_xlfn.XLOOKUP(F71,Proveedores!A:A,Proveedores!I:I)))*(1+N71),((M71*(1-_xlfn.XLOOKUP(F71,Proveedores!A:A,Proveedores!I:I)))*(1+N71))+U71),"")</f>
        <v/>
      </c>
      <c r="P71" s="1031"/>
      <c r="Q71" s="1133">
        <f>IF(K71&lt;&gt;"Importado",0,IF(P71&gt;0,P71*H71,IFERROR(_xlfn.XLOOKUP(F71,Proveedores!A:A,Proveedores!F:F,0)*H71,0)))</f>
        <v>0</v>
      </c>
      <c r="R71" s="1134" t="e">
        <f t="shared" si="44"/>
        <v>#VALUE!</v>
      </c>
      <c r="S71" s="743"/>
      <c r="T71" s="1034" t="e">
        <f t="shared" si="31"/>
        <v>#N/A</v>
      </c>
      <c r="U71" s="1034" t="e">
        <f t="shared" si="45"/>
        <v>#N/A</v>
      </c>
      <c r="V71" s="1165" t="e">
        <f t="shared" si="32"/>
        <v>#N/A</v>
      </c>
      <c r="W71" s="1034" t="e">
        <f t="shared" si="46"/>
        <v>#N/A</v>
      </c>
      <c r="X71" s="1034" t="b">
        <f t="shared" si="47"/>
        <v>0</v>
      </c>
      <c r="Y71" s="1034">
        <f t="shared" si="48"/>
        <v>0</v>
      </c>
      <c r="Z71" s="1034">
        <f t="shared" si="49"/>
        <v>0</v>
      </c>
      <c r="AA71" s="1034">
        <f t="shared" si="33"/>
        <v>0</v>
      </c>
      <c r="AB71" s="1034">
        <f t="shared" si="34"/>
        <v>0</v>
      </c>
      <c r="AC71" s="1033">
        <f t="shared" si="50"/>
        <v>0</v>
      </c>
      <c r="AD71" s="1266">
        <f t="shared" si="35"/>
        <v>0</v>
      </c>
      <c r="AE71" s="1093">
        <f t="shared" si="51"/>
        <v>0</v>
      </c>
      <c r="AF71" s="1093">
        <f t="shared" si="52"/>
        <v>0</v>
      </c>
      <c r="AG71" s="1093">
        <f t="shared" si="36"/>
        <v>0</v>
      </c>
      <c r="AH71" s="1033" t="e">
        <f t="shared" si="37"/>
        <v>#DIV/0!</v>
      </c>
      <c r="AI71" s="1091">
        <f t="shared" si="38"/>
        <v>0</v>
      </c>
      <c r="AJ71" s="1094">
        <f t="shared" si="39"/>
        <v>0</v>
      </c>
      <c r="AK71" s="1053" t="str">
        <f t="shared" si="40"/>
        <v/>
      </c>
      <c r="AL71" s="1053"/>
      <c r="AM71" s="1290">
        <f>_xlfn.XLOOKUP(F71,Proveedores!A:A,Proveedores!G:G)</f>
        <v>0</v>
      </c>
      <c r="AN71" s="1095" t="str">
        <f t="shared" si="53"/>
        <v>OK</v>
      </c>
    </row>
    <row r="72" spans="1:40" ht="15.95">
      <c r="A72" s="1090" t="b">
        <f t="shared" si="28"/>
        <v>1</v>
      </c>
      <c r="B72" s="1091" t="b">
        <f t="shared" si="41"/>
        <v>1</v>
      </c>
      <c r="C72" s="1092" t="str">
        <f t="shared" si="42"/>
        <v>Dólares</v>
      </c>
      <c r="D72" s="11"/>
      <c r="E72" s="743"/>
      <c r="F72" s="17"/>
      <c r="G72" s="17" t="str">
        <f t="shared" si="29"/>
        <v xml:space="preserve"> </v>
      </c>
      <c r="H72" s="12">
        <v>0</v>
      </c>
      <c r="I72" s="16" t="str">
        <f>IFERROR(VLOOKUP(G72,Proveedores!B:C,2,0)," ")</f>
        <v xml:space="preserve"> </v>
      </c>
      <c r="J72" s="745">
        <v>0</v>
      </c>
      <c r="K72" s="745" t="str">
        <f t="shared" si="30"/>
        <v>Not Found</v>
      </c>
      <c r="L72" s="16">
        <f>IF(K72="Importado",Fletes!$B$66,0%)</f>
        <v>0</v>
      </c>
      <c r="M72" s="745">
        <f t="shared" si="43"/>
        <v>0</v>
      </c>
      <c r="N72" s="16">
        <f>IF(K72&lt;&gt;"Importado",0%,IF(Fletes!$B$67&lt;10,15%,IF(Fletes!$B$67&lt;20,10%,5%)))</f>
        <v>0</v>
      </c>
      <c r="O72" s="745" t="str">
        <f>IFERROR(IF(OR(F72="Offiho",F72="Lauco Sofas",F72="Requiez",F72="Labenze",F72="Sunon Mty",F72="Sonara"),(M72*(1-_xlfn.XLOOKUP(F72,Proveedores!A:A,Proveedores!I:I)))*(1+N72),((M72*(1-_xlfn.XLOOKUP(F72,Proveedores!A:A,Proveedores!I:I)))*(1+N72))+U72),"")</f>
        <v/>
      </c>
      <c r="P72" s="1031"/>
      <c r="Q72" s="1133">
        <f>IF(K72&lt;&gt;"Importado",0,IF(P72&gt;0,P72*H72,IFERROR(_xlfn.XLOOKUP(F72,Proveedores!A:A,Proveedores!F:F,0)*H72,0)))</f>
        <v>0</v>
      </c>
      <c r="R72" s="1134" t="e">
        <f t="shared" si="44"/>
        <v>#VALUE!</v>
      </c>
      <c r="S72" s="743"/>
      <c r="T72" s="1034" t="e">
        <f t="shared" si="31"/>
        <v>#N/A</v>
      </c>
      <c r="U72" s="1034" t="e">
        <f t="shared" si="45"/>
        <v>#N/A</v>
      </c>
      <c r="V72" s="1165" t="e">
        <f t="shared" si="32"/>
        <v>#N/A</v>
      </c>
      <c r="W72" s="1034" t="e">
        <f t="shared" si="46"/>
        <v>#N/A</v>
      </c>
      <c r="X72" s="1034" t="b">
        <f t="shared" si="47"/>
        <v>0</v>
      </c>
      <c r="Y72" s="1034">
        <f t="shared" si="48"/>
        <v>0</v>
      </c>
      <c r="Z72" s="1034">
        <f t="shared" si="49"/>
        <v>0</v>
      </c>
      <c r="AA72" s="1034">
        <f t="shared" si="33"/>
        <v>0</v>
      </c>
      <c r="AB72" s="1034">
        <f t="shared" si="34"/>
        <v>0</v>
      </c>
      <c r="AC72" s="1033">
        <f t="shared" si="50"/>
        <v>0</v>
      </c>
      <c r="AD72" s="1266">
        <f t="shared" si="35"/>
        <v>0</v>
      </c>
      <c r="AE72" s="1093">
        <f t="shared" si="51"/>
        <v>0</v>
      </c>
      <c r="AF72" s="1093">
        <f t="shared" si="52"/>
        <v>0</v>
      </c>
      <c r="AG72" s="1093">
        <f t="shared" si="36"/>
        <v>0</v>
      </c>
      <c r="AH72" s="1033" t="e">
        <f t="shared" si="37"/>
        <v>#DIV/0!</v>
      </c>
      <c r="AI72" s="1091">
        <f t="shared" si="38"/>
        <v>0</v>
      </c>
      <c r="AJ72" s="1094">
        <f t="shared" si="39"/>
        <v>0</v>
      </c>
      <c r="AK72" s="1053" t="str">
        <f t="shared" si="40"/>
        <v/>
      </c>
      <c r="AL72" s="1053"/>
      <c r="AM72" s="1290">
        <f>_xlfn.XLOOKUP(F72,Proveedores!A:A,Proveedores!G:G)</f>
        <v>0</v>
      </c>
      <c r="AN72" s="1095" t="str">
        <f t="shared" si="53"/>
        <v>OK</v>
      </c>
    </row>
    <row r="73" spans="1:40" ht="15.95">
      <c r="A73" s="1090" t="b">
        <f t="shared" si="28"/>
        <v>1</v>
      </c>
      <c r="B73" s="1091" t="b">
        <f t="shared" si="41"/>
        <v>1</v>
      </c>
      <c r="C73" s="1092" t="str">
        <f t="shared" si="42"/>
        <v>Dólares</v>
      </c>
      <c r="D73" s="11"/>
      <c r="E73" s="743"/>
      <c r="F73" s="17"/>
      <c r="G73" s="17" t="str">
        <f t="shared" si="29"/>
        <v xml:space="preserve"> </v>
      </c>
      <c r="H73" s="12">
        <v>0</v>
      </c>
      <c r="I73" s="16" t="str">
        <f>IFERROR(VLOOKUP(G73,Proveedores!B:C,2,0)," ")</f>
        <v xml:space="preserve"> </v>
      </c>
      <c r="J73" s="745">
        <v>0</v>
      </c>
      <c r="K73" s="745" t="str">
        <f t="shared" si="30"/>
        <v>Not Found</v>
      </c>
      <c r="L73" s="16">
        <f>IF(K73="Importado",Fletes!$B$66,0%)</f>
        <v>0</v>
      </c>
      <c r="M73" s="745">
        <f t="shared" si="43"/>
        <v>0</v>
      </c>
      <c r="N73" s="16">
        <f>IF(K73&lt;&gt;"Importado",0%,IF(Fletes!$B$67&lt;10,15%,IF(Fletes!$B$67&lt;20,10%,5%)))</f>
        <v>0</v>
      </c>
      <c r="O73" s="745" t="str">
        <f>IFERROR(IF(OR(F73="Offiho",F73="Lauco Sofas",F73="Requiez",F73="Labenze",F73="Sunon Mty",F73="Sonara"),(M73*(1-_xlfn.XLOOKUP(F73,Proveedores!A:A,Proveedores!I:I)))*(1+N73),((M73*(1-_xlfn.XLOOKUP(F73,Proveedores!A:A,Proveedores!I:I)))*(1+N73))+U73),"")</f>
        <v/>
      </c>
      <c r="P73" s="1031"/>
      <c r="Q73" s="1133">
        <f>IF(K73&lt;&gt;"Importado",0,IF(P73&gt;0,P73*H73,IFERROR(_xlfn.XLOOKUP(F73,Proveedores!A:A,Proveedores!F:F,0)*H73,0)))</f>
        <v>0</v>
      </c>
      <c r="R73" s="1134" t="e">
        <f t="shared" si="44"/>
        <v>#VALUE!</v>
      </c>
      <c r="S73" s="743"/>
      <c r="T73" s="1034" t="e">
        <f t="shared" si="31"/>
        <v>#N/A</v>
      </c>
      <c r="U73" s="1034" t="e">
        <f t="shared" si="45"/>
        <v>#N/A</v>
      </c>
      <c r="V73" s="1165" t="e">
        <f t="shared" si="32"/>
        <v>#N/A</v>
      </c>
      <c r="W73" s="1034" t="e">
        <f t="shared" si="46"/>
        <v>#N/A</v>
      </c>
      <c r="X73" s="1034" t="b">
        <f t="shared" si="47"/>
        <v>0</v>
      </c>
      <c r="Y73" s="1034">
        <f t="shared" si="48"/>
        <v>0</v>
      </c>
      <c r="Z73" s="1034">
        <f t="shared" si="49"/>
        <v>0</v>
      </c>
      <c r="AA73" s="1034">
        <f t="shared" si="33"/>
        <v>0</v>
      </c>
      <c r="AB73" s="1034">
        <f t="shared" si="34"/>
        <v>0</v>
      </c>
      <c r="AC73" s="1033">
        <f t="shared" si="50"/>
        <v>0</v>
      </c>
      <c r="AD73" s="1266">
        <f t="shared" si="35"/>
        <v>0</v>
      </c>
      <c r="AE73" s="1093">
        <f t="shared" si="51"/>
        <v>0</v>
      </c>
      <c r="AF73" s="1093">
        <f t="shared" si="52"/>
        <v>0</v>
      </c>
      <c r="AG73" s="1093">
        <f t="shared" si="36"/>
        <v>0</v>
      </c>
      <c r="AH73" s="1033" t="e">
        <f t="shared" si="37"/>
        <v>#DIV/0!</v>
      </c>
      <c r="AI73" s="1091">
        <f t="shared" si="38"/>
        <v>0</v>
      </c>
      <c r="AJ73" s="1094">
        <f t="shared" si="39"/>
        <v>0</v>
      </c>
      <c r="AK73" s="1053" t="str">
        <f t="shared" si="40"/>
        <v/>
      </c>
      <c r="AL73" s="1053"/>
      <c r="AM73" s="1290">
        <f>_xlfn.XLOOKUP(F73,Proveedores!A:A,Proveedores!G:G)</f>
        <v>0</v>
      </c>
      <c r="AN73" s="1095" t="str">
        <f t="shared" si="53"/>
        <v>OK</v>
      </c>
    </row>
    <row r="74" spans="1:40" ht="15.95">
      <c r="A74" s="1090" t="b">
        <f t="shared" si="28"/>
        <v>1</v>
      </c>
      <c r="B74" s="1091" t="b">
        <f t="shared" si="41"/>
        <v>1</v>
      </c>
      <c r="C74" s="1092" t="str">
        <f t="shared" si="42"/>
        <v>Dólares</v>
      </c>
      <c r="D74" s="11"/>
      <c r="E74" s="743"/>
      <c r="F74" s="17"/>
      <c r="G74" s="17" t="str">
        <f t="shared" si="29"/>
        <v xml:space="preserve"> </v>
      </c>
      <c r="H74" s="12">
        <v>0</v>
      </c>
      <c r="I74" s="16" t="str">
        <f>IFERROR(VLOOKUP(G74,Proveedores!B:C,2,0)," ")</f>
        <v xml:space="preserve"> </v>
      </c>
      <c r="J74" s="745">
        <v>0</v>
      </c>
      <c r="K74" s="745" t="str">
        <f t="shared" si="30"/>
        <v>Not Found</v>
      </c>
      <c r="L74" s="16">
        <f>IF(K74="Importado",Fletes!$B$66,0%)</f>
        <v>0</v>
      </c>
      <c r="M74" s="745">
        <f t="shared" si="43"/>
        <v>0</v>
      </c>
      <c r="N74" s="16">
        <f>IF(K74&lt;&gt;"Importado",0%,IF(Fletes!$B$67&lt;10,15%,IF(Fletes!$B$67&lt;20,10%,5%)))</f>
        <v>0</v>
      </c>
      <c r="O74" s="745" t="str">
        <f>IFERROR(IF(OR(F74="Offiho",F74="Lauco Sofas",F74="Requiez",F74="Labenze",F74="Sunon Mty",F74="Sonara"),(M74*(1-_xlfn.XLOOKUP(F74,Proveedores!A:A,Proveedores!I:I)))*(1+N74),((M74*(1-_xlfn.XLOOKUP(F74,Proveedores!A:A,Proveedores!I:I)))*(1+N74))+U74),"")</f>
        <v/>
      </c>
      <c r="P74" s="1031"/>
      <c r="Q74" s="1133">
        <f>IF(K74&lt;&gt;"Importado",0,IF(P74&gt;0,P74*H74,IFERROR(_xlfn.XLOOKUP(F74,Proveedores!A:A,Proveedores!F:F,0)*H74,0)))</f>
        <v>0</v>
      </c>
      <c r="R74" s="1134" t="e">
        <f t="shared" si="44"/>
        <v>#VALUE!</v>
      </c>
      <c r="S74" s="743"/>
      <c r="T74" s="1034" t="e">
        <f t="shared" si="31"/>
        <v>#N/A</v>
      </c>
      <c r="U74" s="1034" t="e">
        <f t="shared" si="45"/>
        <v>#N/A</v>
      </c>
      <c r="V74" s="1165" t="e">
        <f t="shared" si="32"/>
        <v>#N/A</v>
      </c>
      <c r="W74" s="1034" t="e">
        <f t="shared" si="46"/>
        <v>#N/A</v>
      </c>
      <c r="X74" s="1034" t="b">
        <f t="shared" si="47"/>
        <v>0</v>
      </c>
      <c r="Y74" s="1034">
        <f t="shared" si="48"/>
        <v>0</v>
      </c>
      <c r="Z74" s="1034">
        <f t="shared" si="49"/>
        <v>0</v>
      </c>
      <c r="AA74" s="1034">
        <f t="shared" si="33"/>
        <v>0</v>
      </c>
      <c r="AB74" s="1034">
        <f t="shared" si="34"/>
        <v>0</v>
      </c>
      <c r="AC74" s="1033">
        <f t="shared" si="50"/>
        <v>0</v>
      </c>
      <c r="AD74" s="1266">
        <f t="shared" si="35"/>
        <v>0</v>
      </c>
      <c r="AE74" s="1093">
        <f t="shared" si="51"/>
        <v>0</v>
      </c>
      <c r="AF74" s="1093">
        <f t="shared" si="52"/>
        <v>0</v>
      </c>
      <c r="AG74" s="1093">
        <f t="shared" si="36"/>
        <v>0</v>
      </c>
      <c r="AH74" s="1033" t="e">
        <f t="shared" si="37"/>
        <v>#DIV/0!</v>
      </c>
      <c r="AI74" s="1091">
        <f t="shared" si="38"/>
        <v>0</v>
      </c>
      <c r="AJ74" s="1094">
        <f t="shared" si="39"/>
        <v>0</v>
      </c>
      <c r="AK74" s="1053" t="str">
        <f t="shared" si="40"/>
        <v/>
      </c>
      <c r="AL74" s="1053"/>
      <c r="AM74" s="1290">
        <f>_xlfn.XLOOKUP(F74,Proveedores!A:A,Proveedores!G:G)</f>
        <v>0</v>
      </c>
      <c r="AN74" s="1095" t="str">
        <f t="shared" si="53"/>
        <v>OK</v>
      </c>
    </row>
    <row r="75" spans="1:40" ht="15.95">
      <c r="A75" s="1090" t="b">
        <f t="shared" si="28"/>
        <v>1</v>
      </c>
      <c r="B75" s="1091" t="b">
        <f t="shared" si="41"/>
        <v>1</v>
      </c>
      <c r="C75" s="1092" t="str">
        <f t="shared" si="42"/>
        <v>Dólares</v>
      </c>
      <c r="D75" s="11"/>
      <c r="E75" s="743"/>
      <c r="F75" s="17"/>
      <c r="G75" s="17" t="str">
        <f t="shared" si="29"/>
        <v xml:space="preserve"> </v>
      </c>
      <c r="H75" s="12">
        <v>0</v>
      </c>
      <c r="I75" s="16" t="str">
        <f>IFERROR(VLOOKUP(G75,Proveedores!B:C,2,0)," ")</f>
        <v xml:space="preserve"> </v>
      </c>
      <c r="J75" s="745">
        <v>0</v>
      </c>
      <c r="K75" s="745" t="str">
        <f t="shared" si="30"/>
        <v>Not Found</v>
      </c>
      <c r="L75" s="16">
        <f>IF(K75="Importado",Fletes!$B$66,0%)</f>
        <v>0</v>
      </c>
      <c r="M75" s="745">
        <f t="shared" si="43"/>
        <v>0</v>
      </c>
      <c r="N75" s="16">
        <f>IF(K75&lt;&gt;"Importado",0%,IF(Fletes!$B$67&lt;10,15%,IF(Fletes!$B$67&lt;20,10%,5%)))</f>
        <v>0</v>
      </c>
      <c r="O75" s="745" t="str">
        <f>IFERROR(IF(OR(F75="Offiho",F75="Lauco Sofas",F75="Requiez",F75="Labenze",F75="Sunon Mty",F75="Sonara"),(M75*(1-_xlfn.XLOOKUP(F75,Proveedores!A:A,Proveedores!I:I)))*(1+N75),((M75*(1-_xlfn.XLOOKUP(F75,Proveedores!A:A,Proveedores!I:I)))*(1+N75))+U75),"")</f>
        <v/>
      </c>
      <c r="P75" s="1031"/>
      <c r="Q75" s="1133">
        <f>IF(K75&lt;&gt;"Importado",0,IF(P75&gt;0,P75*H75,IFERROR(_xlfn.XLOOKUP(F75,Proveedores!A:A,Proveedores!F:F,0)*H75,0)))</f>
        <v>0</v>
      </c>
      <c r="R75" s="1134" t="e">
        <f t="shared" si="44"/>
        <v>#VALUE!</v>
      </c>
      <c r="S75" s="743"/>
      <c r="T75" s="1034" t="e">
        <f t="shared" si="31"/>
        <v>#N/A</v>
      </c>
      <c r="U75" s="1034" t="e">
        <f t="shared" si="45"/>
        <v>#N/A</v>
      </c>
      <c r="V75" s="1165" t="e">
        <f t="shared" si="32"/>
        <v>#N/A</v>
      </c>
      <c r="W75" s="1034" t="e">
        <f t="shared" si="46"/>
        <v>#N/A</v>
      </c>
      <c r="X75" s="1034" t="b">
        <f t="shared" si="47"/>
        <v>0</v>
      </c>
      <c r="Y75" s="1034">
        <f t="shared" si="48"/>
        <v>0</v>
      </c>
      <c r="Z75" s="1034">
        <f t="shared" si="49"/>
        <v>0</v>
      </c>
      <c r="AA75" s="1034">
        <f t="shared" si="33"/>
        <v>0</v>
      </c>
      <c r="AB75" s="1034">
        <f t="shared" si="34"/>
        <v>0</v>
      </c>
      <c r="AC75" s="1033">
        <f t="shared" si="50"/>
        <v>0</v>
      </c>
      <c r="AD75" s="1266">
        <f t="shared" si="35"/>
        <v>0</v>
      </c>
      <c r="AE75" s="1093">
        <f t="shared" si="51"/>
        <v>0</v>
      </c>
      <c r="AF75" s="1093">
        <f t="shared" si="52"/>
        <v>0</v>
      </c>
      <c r="AG75" s="1093">
        <f t="shared" si="36"/>
        <v>0</v>
      </c>
      <c r="AH75" s="1033" t="e">
        <f t="shared" si="37"/>
        <v>#DIV/0!</v>
      </c>
      <c r="AI75" s="1091">
        <f t="shared" si="38"/>
        <v>0</v>
      </c>
      <c r="AJ75" s="1094">
        <f t="shared" si="39"/>
        <v>0</v>
      </c>
      <c r="AK75" s="1053" t="str">
        <f t="shared" si="40"/>
        <v/>
      </c>
      <c r="AL75" s="1053"/>
      <c r="AM75" s="1290">
        <f>_xlfn.XLOOKUP(F75,Proveedores!A:A,Proveedores!G:G)</f>
        <v>0</v>
      </c>
      <c r="AN75" s="1095" t="str">
        <f t="shared" si="53"/>
        <v>OK</v>
      </c>
    </row>
    <row r="76" spans="1:40" ht="15.95">
      <c r="A76" s="1090" t="b">
        <f t="shared" si="28"/>
        <v>1</v>
      </c>
      <c r="B76" s="1091" t="b">
        <f t="shared" si="41"/>
        <v>1</v>
      </c>
      <c r="C76" s="1092" t="str">
        <f t="shared" si="42"/>
        <v>Dólares</v>
      </c>
      <c r="D76" s="11"/>
      <c r="E76" s="743"/>
      <c r="F76" s="17"/>
      <c r="G76" s="17" t="str">
        <f t="shared" si="29"/>
        <v xml:space="preserve"> </v>
      </c>
      <c r="H76" s="12">
        <v>0</v>
      </c>
      <c r="I76" s="16" t="str">
        <f>IFERROR(VLOOKUP(G76,Proveedores!B:C,2,0)," ")</f>
        <v xml:space="preserve"> </v>
      </c>
      <c r="J76" s="745">
        <v>0</v>
      </c>
      <c r="K76" s="745" t="str">
        <f t="shared" si="30"/>
        <v>Not Found</v>
      </c>
      <c r="L76" s="16">
        <f>IF(K76="Importado",Fletes!$B$66,0%)</f>
        <v>0</v>
      </c>
      <c r="M76" s="745">
        <f t="shared" si="43"/>
        <v>0</v>
      </c>
      <c r="N76" s="16">
        <f>IF(K76&lt;&gt;"Importado",0%,IF(Fletes!$B$67&lt;10,15%,IF(Fletes!$B$67&lt;20,10%,5%)))</f>
        <v>0</v>
      </c>
      <c r="O76" s="745" t="str">
        <f>IFERROR(IF(OR(F76="Offiho",F76="Lauco Sofas",F76="Requiez",F76="Labenze",F76="Sunon Mty",F76="Sonara"),(M76*(1-_xlfn.XLOOKUP(F76,Proveedores!A:A,Proveedores!I:I)))*(1+N76),((M76*(1-_xlfn.XLOOKUP(F76,Proveedores!A:A,Proveedores!I:I)))*(1+N76))+U76),"")</f>
        <v/>
      </c>
      <c r="P76" s="1031"/>
      <c r="Q76" s="1133">
        <f>IF(K76&lt;&gt;"Importado",0,IF(P76&gt;0,P76*H76,IFERROR(_xlfn.XLOOKUP(F76,Proveedores!A:A,Proveedores!F:F,0)*H76,0)))</f>
        <v>0</v>
      </c>
      <c r="R76" s="1134" t="e">
        <f t="shared" si="44"/>
        <v>#VALUE!</v>
      </c>
      <c r="S76" s="743"/>
      <c r="T76" s="1034" t="e">
        <f t="shared" si="31"/>
        <v>#N/A</v>
      </c>
      <c r="U76" s="1034" t="e">
        <f t="shared" si="45"/>
        <v>#N/A</v>
      </c>
      <c r="V76" s="1165" t="e">
        <f t="shared" si="32"/>
        <v>#N/A</v>
      </c>
      <c r="W76" s="1034" t="e">
        <f t="shared" si="46"/>
        <v>#N/A</v>
      </c>
      <c r="X76" s="1034" t="b">
        <f t="shared" si="47"/>
        <v>0</v>
      </c>
      <c r="Y76" s="1034">
        <f t="shared" si="48"/>
        <v>0</v>
      </c>
      <c r="Z76" s="1034">
        <f t="shared" si="49"/>
        <v>0</v>
      </c>
      <c r="AA76" s="1034">
        <f t="shared" si="33"/>
        <v>0</v>
      </c>
      <c r="AB76" s="1034">
        <f t="shared" si="34"/>
        <v>0</v>
      </c>
      <c r="AC76" s="1033">
        <f t="shared" si="50"/>
        <v>0</v>
      </c>
      <c r="AD76" s="1266">
        <f t="shared" si="35"/>
        <v>0</v>
      </c>
      <c r="AE76" s="1093">
        <f t="shared" si="51"/>
        <v>0</v>
      </c>
      <c r="AF76" s="1093">
        <f t="shared" si="52"/>
        <v>0</v>
      </c>
      <c r="AG76" s="1093">
        <f t="shared" si="36"/>
        <v>0</v>
      </c>
      <c r="AH76" s="1033" t="e">
        <f t="shared" si="37"/>
        <v>#DIV/0!</v>
      </c>
      <c r="AI76" s="1091">
        <f t="shared" si="38"/>
        <v>0</v>
      </c>
      <c r="AJ76" s="1094">
        <f t="shared" si="39"/>
        <v>0</v>
      </c>
      <c r="AK76" s="1053" t="str">
        <f t="shared" si="40"/>
        <v/>
      </c>
      <c r="AL76" s="1053"/>
      <c r="AM76" s="1290">
        <f>_xlfn.XLOOKUP(F76,Proveedores!A:A,Proveedores!G:G)</f>
        <v>0</v>
      </c>
      <c r="AN76" s="1095" t="str">
        <f t="shared" si="53"/>
        <v>OK</v>
      </c>
    </row>
    <row r="77" spans="1:40" ht="15.95">
      <c r="A77" s="1090" t="b">
        <f t="shared" si="28"/>
        <v>1</v>
      </c>
      <c r="B77" s="1091" t="b">
        <f t="shared" si="41"/>
        <v>1</v>
      </c>
      <c r="C77" s="1092" t="str">
        <f t="shared" si="42"/>
        <v>Dólares</v>
      </c>
      <c r="D77" s="11"/>
      <c r="E77" s="743"/>
      <c r="F77" s="17"/>
      <c r="G77" s="17" t="str">
        <f t="shared" si="29"/>
        <v xml:space="preserve"> </v>
      </c>
      <c r="H77" s="12">
        <v>0</v>
      </c>
      <c r="I77" s="16" t="str">
        <f>IFERROR(VLOOKUP(G77,Proveedores!B:C,2,0)," ")</f>
        <v xml:space="preserve"> </v>
      </c>
      <c r="J77" s="745">
        <v>0</v>
      </c>
      <c r="K77" s="745" t="str">
        <f t="shared" si="30"/>
        <v>Not Found</v>
      </c>
      <c r="L77" s="16">
        <f>IF(K77="Importado",Fletes!$B$66,0%)</f>
        <v>0</v>
      </c>
      <c r="M77" s="745">
        <f t="shared" si="43"/>
        <v>0</v>
      </c>
      <c r="N77" s="16">
        <f>IF(K77&lt;&gt;"Importado",0%,IF(Fletes!$B$67&lt;10,15%,IF(Fletes!$B$67&lt;20,10%,5%)))</f>
        <v>0</v>
      </c>
      <c r="O77" s="745" t="str">
        <f>IFERROR(IF(OR(F77="Offiho",F77="Lauco Sofas",F77="Requiez",F77="Labenze",F77="Sunon Mty",F77="Sonara"),(M77*(1-_xlfn.XLOOKUP(F77,Proveedores!A:A,Proveedores!I:I)))*(1+N77),((M77*(1-_xlfn.XLOOKUP(F77,Proveedores!A:A,Proveedores!I:I)))*(1+N77))+U77),"")</f>
        <v/>
      </c>
      <c r="P77" s="1031"/>
      <c r="Q77" s="1133">
        <f>IF(K77&lt;&gt;"Importado",0,IF(P77&gt;0,P77*H77,IFERROR(_xlfn.XLOOKUP(F77,Proveedores!A:A,Proveedores!F:F,0)*H77,0)))</f>
        <v>0</v>
      </c>
      <c r="R77" s="1134" t="e">
        <f t="shared" si="44"/>
        <v>#VALUE!</v>
      </c>
      <c r="S77" s="743"/>
      <c r="T77" s="1034" t="e">
        <f t="shared" si="31"/>
        <v>#N/A</v>
      </c>
      <c r="U77" s="1034" t="e">
        <f t="shared" si="45"/>
        <v>#N/A</v>
      </c>
      <c r="V77" s="1165" t="e">
        <f t="shared" si="32"/>
        <v>#N/A</v>
      </c>
      <c r="W77" s="1034" t="e">
        <f t="shared" si="46"/>
        <v>#N/A</v>
      </c>
      <c r="X77" s="1034" t="b">
        <f t="shared" si="47"/>
        <v>0</v>
      </c>
      <c r="Y77" s="1034">
        <f t="shared" si="48"/>
        <v>0</v>
      </c>
      <c r="Z77" s="1034">
        <f t="shared" si="49"/>
        <v>0</v>
      </c>
      <c r="AA77" s="1034">
        <f t="shared" si="33"/>
        <v>0</v>
      </c>
      <c r="AB77" s="1034">
        <f t="shared" si="34"/>
        <v>0</v>
      </c>
      <c r="AC77" s="1033">
        <f t="shared" si="50"/>
        <v>0</v>
      </c>
      <c r="AD77" s="1266">
        <f t="shared" si="35"/>
        <v>0</v>
      </c>
      <c r="AE77" s="1093">
        <f t="shared" si="51"/>
        <v>0</v>
      </c>
      <c r="AF77" s="1093">
        <f t="shared" si="52"/>
        <v>0</v>
      </c>
      <c r="AG77" s="1093">
        <f t="shared" si="36"/>
        <v>0</v>
      </c>
      <c r="AH77" s="1033" t="e">
        <f t="shared" si="37"/>
        <v>#DIV/0!</v>
      </c>
      <c r="AI77" s="1091">
        <f t="shared" si="38"/>
        <v>0</v>
      </c>
      <c r="AJ77" s="1094">
        <f t="shared" si="39"/>
        <v>0</v>
      </c>
      <c r="AK77" s="1053" t="str">
        <f t="shared" si="40"/>
        <v/>
      </c>
      <c r="AL77" s="1053"/>
      <c r="AM77" s="1290">
        <f>_xlfn.XLOOKUP(F77,Proveedores!A:A,Proveedores!G:G)</f>
        <v>0</v>
      </c>
      <c r="AN77" s="1095" t="str">
        <f t="shared" si="53"/>
        <v>OK</v>
      </c>
    </row>
    <row r="78" spans="1:40" ht="15.95">
      <c r="A78" s="1090" t="b">
        <f t="shared" si="28"/>
        <v>1</v>
      </c>
      <c r="B78" s="1091" t="b">
        <f t="shared" si="41"/>
        <v>1</v>
      </c>
      <c r="C78" s="1092" t="str">
        <f t="shared" si="42"/>
        <v>Dólares</v>
      </c>
      <c r="D78" s="11"/>
      <c r="E78" s="743"/>
      <c r="F78" s="17"/>
      <c r="G78" s="17" t="str">
        <f t="shared" si="29"/>
        <v xml:space="preserve"> </v>
      </c>
      <c r="H78" s="12">
        <v>0</v>
      </c>
      <c r="I78" s="16" t="str">
        <f>IFERROR(VLOOKUP(G78,Proveedores!B:C,2,0)," ")</f>
        <v xml:space="preserve"> </v>
      </c>
      <c r="J78" s="745">
        <v>0</v>
      </c>
      <c r="K78" s="745" t="str">
        <f t="shared" si="30"/>
        <v>Not Found</v>
      </c>
      <c r="L78" s="16">
        <f>IF(K78="Importado",Fletes!$B$66,0%)</f>
        <v>0</v>
      </c>
      <c r="M78" s="745">
        <f t="shared" si="43"/>
        <v>0</v>
      </c>
      <c r="N78" s="16">
        <f>IF(K78&lt;&gt;"Importado",0%,IF(Fletes!$B$67&lt;10,15%,IF(Fletes!$B$67&lt;20,10%,5%)))</f>
        <v>0</v>
      </c>
      <c r="O78" s="745" t="str">
        <f>IFERROR(IF(OR(F78="Offiho",F78="Lauco Sofas",F78="Requiez",F78="Labenze",F78="Sunon Mty",F78="Sonara"),(M78*(1-_xlfn.XLOOKUP(F78,Proveedores!A:A,Proveedores!I:I)))*(1+N78),((M78*(1-_xlfn.XLOOKUP(F78,Proveedores!A:A,Proveedores!I:I)))*(1+N78))+U78),"")</f>
        <v/>
      </c>
      <c r="P78" s="1031"/>
      <c r="Q78" s="1133">
        <f>IF(K78&lt;&gt;"Importado",0,IF(P78&gt;0,P78*H78,IFERROR(_xlfn.XLOOKUP(F78,Proveedores!A:A,Proveedores!F:F,0)*H78,0)))</f>
        <v>0</v>
      </c>
      <c r="R78" s="1134" t="e">
        <f t="shared" si="44"/>
        <v>#VALUE!</v>
      </c>
      <c r="S78" s="743"/>
      <c r="T78" s="1034" t="e">
        <f t="shared" si="31"/>
        <v>#N/A</v>
      </c>
      <c r="U78" s="1034" t="e">
        <f t="shared" si="45"/>
        <v>#N/A</v>
      </c>
      <c r="V78" s="1165" t="e">
        <f t="shared" si="32"/>
        <v>#N/A</v>
      </c>
      <c r="W78" s="1034" t="e">
        <f t="shared" si="46"/>
        <v>#N/A</v>
      </c>
      <c r="X78" s="1034" t="b">
        <f t="shared" si="47"/>
        <v>0</v>
      </c>
      <c r="Y78" s="1034">
        <f t="shared" si="48"/>
        <v>0</v>
      </c>
      <c r="Z78" s="1034">
        <f t="shared" si="49"/>
        <v>0</v>
      </c>
      <c r="AA78" s="1034">
        <f t="shared" si="33"/>
        <v>0</v>
      </c>
      <c r="AB78" s="1034">
        <f t="shared" si="34"/>
        <v>0</v>
      </c>
      <c r="AC78" s="1033">
        <f t="shared" si="50"/>
        <v>0</v>
      </c>
      <c r="AD78" s="1266">
        <f t="shared" si="35"/>
        <v>0</v>
      </c>
      <c r="AE78" s="1093">
        <f t="shared" si="51"/>
        <v>0</v>
      </c>
      <c r="AF78" s="1093">
        <f t="shared" si="52"/>
        <v>0</v>
      </c>
      <c r="AG78" s="1093">
        <f t="shared" si="36"/>
        <v>0</v>
      </c>
      <c r="AH78" s="1033" t="e">
        <f t="shared" si="37"/>
        <v>#DIV/0!</v>
      </c>
      <c r="AI78" s="1091">
        <f t="shared" si="38"/>
        <v>0</v>
      </c>
      <c r="AJ78" s="1094">
        <f t="shared" si="39"/>
        <v>0</v>
      </c>
      <c r="AK78" s="1053" t="str">
        <f t="shared" si="40"/>
        <v/>
      </c>
      <c r="AL78" s="1053"/>
      <c r="AM78" s="1290">
        <f>_xlfn.XLOOKUP(F78,Proveedores!A:A,Proveedores!G:G)</f>
        <v>0</v>
      </c>
      <c r="AN78" s="1095" t="str">
        <f t="shared" si="53"/>
        <v>OK</v>
      </c>
    </row>
    <row r="79" spans="1:40" ht="15.95">
      <c r="A79" s="1090" t="b">
        <f t="shared" si="28"/>
        <v>1</v>
      </c>
      <c r="B79" s="1091" t="b">
        <f t="shared" si="41"/>
        <v>1</v>
      </c>
      <c r="C79" s="1092" t="str">
        <f t="shared" si="42"/>
        <v>Dólares</v>
      </c>
      <c r="D79" s="11"/>
      <c r="E79" s="743"/>
      <c r="F79" s="17"/>
      <c r="G79" s="17" t="str">
        <f t="shared" si="29"/>
        <v xml:space="preserve"> </v>
      </c>
      <c r="H79" s="12">
        <v>0</v>
      </c>
      <c r="I79" s="16" t="str">
        <f>IFERROR(VLOOKUP(G79,Proveedores!B:C,2,0)," ")</f>
        <v xml:space="preserve"> </v>
      </c>
      <c r="J79" s="745">
        <v>0</v>
      </c>
      <c r="K79" s="745" t="str">
        <f t="shared" si="30"/>
        <v>Not Found</v>
      </c>
      <c r="L79" s="16">
        <f>IF(K79="Importado",Fletes!$B$66,0%)</f>
        <v>0</v>
      </c>
      <c r="M79" s="745">
        <f t="shared" si="43"/>
        <v>0</v>
      </c>
      <c r="N79" s="16">
        <f>IF(K79&lt;&gt;"Importado",0%,IF(Fletes!$B$67&lt;10,15%,IF(Fletes!$B$67&lt;20,10%,5%)))</f>
        <v>0</v>
      </c>
      <c r="O79" s="745" t="str">
        <f>IFERROR(IF(OR(F79="Offiho",F79="Lauco Sofas",F79="Requiez",F79="Labenze",F79="Sunon Mty",F79="Sonara"),(M79*(1-_xlfn.XLOOKUP(F79,Proveedores!A:A,Proveedores!I:I)))*(1+N79),((M79*(1-_xlfn.XLOOKUP(F79,Proveedores!A:A,Proveedores!I:I)))*(1+N79))+U79),"")</f>
        <v/>
      </c>
      <c r="P79" s="1031"/>
      <c r="Q79" s="1133">
        <f>IF(K79&lt;&gt;"Importado",0,IF(P79&gt;0,P79*H79,IFERROR(_xlfn.XLOOKUP(F79,Proveedores!A:A,Proveedores!F:F,0)*H79,0)))</f>
        <v>0</v>
      </c>
      <c r="R79" s="1134" t="e">
        <f t="shared" si="44"/>
        <v>#VALUE!</v>
      </c>
      <c r="S79" s="743"/>
      <c r="T79" s="1034" t="e">
        <f t="shared" si="31"/>
        <v>#N/A</v>
      </c>
      <c r="U79" s="1034" t="e">
        <f t="shared" si="45"/>
        <v>#N/A</v>
      </c>
      <c r="V79" s="1165" t="e">
        <f t="shared" si="32"/>
        <v>#N/A</v>
      </c>
      <c r="W79" s="1034" t="e">
        <f t="shared" si="46"/>
        <v>#N/A</v>
      </c>
      <c r="X79" s="1034" t="b">
        <f t="shared" si="47"/>
        <v>0</v>
      </c>
      <c r="Y79" s="1034">
        <f t="shared" si="48"/>
        <v>0</v>
      </c>
      <c r="Z79" s="1034">
        <f t="shared" si="49"/>
        <v>0</v>
      </c>
      <c r="AA79" s="1034">
        <f t="shared" si="33"/>
        <v>0</v>
      </c>
      <c r="AB79" s="1034">
        <f t="shared" si="34"/>
        <v>0</v>
      </c>
      <c r="AC79" s="1033">
        <f t="shared" si="50"/>
        <v>0</v>
      </c>
      <c r="AD79" s="1266">
        <f t="shared" si="35"/>
        <v>0</v>
      </c>
      <c r="AE79" s="1093">
        <f t="shared" si="51"/>
        <v>0</v>
      </c>
      <c r="AF79" s="1093">
        <f t="shared" si="52"/>
        <v>0</v>
      </c>
      <c r="AG79" s="1093">
        <f t="shared" si="36"/>
        <v>0</v>
      </c>
      <c r="AH79" s="1033" t="e">
        <f t="shared" si="37"/>
        <v>#DIV/0!</v>
      </c>
      <c r="AI79" s="1091">
        <f t="shared" si="38"/>
        <v>0</v>
      </c>
      <c r="AJ79" s="1094">
        <f t="shared" si="39"/>
        <v>0</v>
      </c>
      <c r="AK79" s="1053" t="str">
        <f t="shared" si="40"/>
        <v/>
      </c>
      <c r="AL79" s="1053"/>
      <c r="AM79" s="1290">
        <f>_xlfn.XLOOKUP(F79,Proveedores!A:A,Proveedores!G:G)</f>
        <v>0</v>
      </c>
      <c r="AN79" s="1095" t="str">
        <f t="shared" si="53"/>
        <v>OK</v>
      </c>
    </row>
    <row r="80" spans="1:40" ht="15.95">
      <c r="A80" s="1090" t="b">
        <f t="shared" si="28"/>
        <v>1</v>
      </c>
      <c r="B80" s="1091" t="b">
        <f t="shared" si="41"/>
        <v>1</v>
      </c>
      <c r="C80" s="1092" t="str">
        <f t="shared" si="42"/>
        <v>Dólares</v>
      </c>
      <c r="D80" s="11"/>
      <c r="E80" s="743"/>
      <c r="F80" s="17"/>
      <c r="G80" s="17" t="str">
        <f t="shared" si="29"/>
        <v xml:space="preserve"> </v>
      </c>
      <c r="H80" s="12">
        <v>0</v>
      </c>
      <c r="I80" s="16" t="str">
        <f>IFERROR(VLOOKUP(G80,Proveedores!B:C,2,0)," ")</f>
        <v xml:space="preserve"> </v>
      </c>
      <c r="J80" s="745">
        <v>0</v>
      </c>
      <c r="K80" s="745" t="str">
        <f t="shared" si="30"/>
        <v>Not Found</v>
      </c>
      <c r="L80" s="16">
        <f>IF(K80="Importado",Fletes!$B$66,0%)</f>
        <v>0</v>
      </c>
      <c r="M80" s="745">
        <f t="shared" si="43"/>
        <v>0</v>
      </c>
      <c r="N80" s="16">
        <f>IF(K80&lt;&gt;"Importado",0%,IF(Fletes!$B$67&lt;10,15%,IF(Fletes!$B$67&lt;20,10%,5%)))</f>
        <v>0</v>
      </c>
      <c r="O80" s="745" t="str">
        <f>IFERROR(IF(OR(F80="Offiho",F80="Lauco Sofas",F80="Requiez",F80="Labenze",F80="Sunon Mty",F80="Sonara"),(M80*(1-_xlfn.XLOOKUP(F80,Proveedores!A:A,Proveedores!I:I)))*(1+N80),((M80*(1-_xlfn.XLOOKUP(F80,Proveedores!A:A,Proveedores!I:I)))*(1+N80))+U80),"")</f>
        <v/>
      </c>
      <c r="P80" s="1031"/>
      <c r="Q80" s="1133">
        <f>IF(K80&lt;&gt;"Importado",0,IF(P80&gt;0,P80*H80,IFERROR(_xlfn.XLOOKUP(F80,Proveedores!A:A,Proveedores!F:F,0)*H80,0)))</f>
        <v>0</v>
      </c>
      <c r="R80" s="1134" t="e">
        <f t="shared" si="44"/>
        <v>#VALUE!</v>
      </c>
      <c r="S80" s="743"/>
      <c r="T80" s="1034" t="e">
        <f t="shared" si="31"/>
        <v>#N/A</v>
      </c>
      <c r="U80" s="1034" t="e">
        <f t="shared" si="45"/>
        <v>#N/A</v>
      </c>
      <c r="V80" s="1165" t="e">
        <f t="shared" si="32"/>
        <v>#N/A</v>
      </c>
      <c r="W80" s="1034" t="e">
        <f t="shared" si="46"/>
        <v>#N/A</v>
      </c>
      <c r="X80" s="1034" t="b">
        <f t="shared" si="47"/>
        <v>0</v>
      </c>
      <c r="Y80" s="1034">
        <f t="shared" si="48"/>
        <v>0</v>
      </c>
      <c r="Z80" s="1034">
        <f t="shared" si="49"/>
        <v>0</v>
      </c>
      <c r="AA80" s="1034">
        <f t="shared" si="33"/>
        <v>0</v>
      </c>
      <c r="AB80" s="1034">
        <f t="shared" si="34"/>
        <v>0</v>
      </c>
      <c r="AC80" s="1033">
        <f t="shared" si="50"/>
        <v>0</v>
      </c>
      <c r="AD80" s="1266">
        <f t="shared" si="35"/>
        <v>0</v>
      </c>
      <c r="AE80" s="1093">
        <f t="shared" si="51"/>
        <v>0</v>
      </c>
      <c r="AF80" s="1093">
        <f t="shared" si="52"/>
        <v>0</v>
      </c>
      <c r="AG80" s="1093">
        <f t="shared" si="36"/>
        <v>0</v>
      </c>
      <c r="AH80" s="1033" t="e">
        <f t="shared" si="37"/>
        <v>#DIV/0!</v>
      </c>
      <c r="AI80" s="1091">
        <f t="shared" si="38"/>
        <v>0</v>
      </c>
      <c r="AJ80" s="1094">
        <f t="shared" si="39"/>
        <v>0</v>
      </c>
      <c r="AK80" s="1053" t="str">
        <f t="shared" si="40"/>
        <v/>
      </c>
      <c r="AL80" s="1053"/>
      <c r="AM80" s="1290">
        <f>_xlfn.XLOOKUP(F80,Proveedores!A:A,Proveedores!G:G)</f>
        <v>0</v>
      </c>
      <c r="AN80" s="1095" t="str">
        <f t="shared" si="53"/>
        <v>OK</v>
      </c>
    </row>
    <row r="81" spans="1:40" ht="15.95">
      <c r="A81" s="1090" t="b">
        <f t="shared" si="28"/>
        <v>1</v>
      </c>
      <c r="B81" s="1091" t="b">
        <f t="shared" si="41"/>
        <v>1</v>
      </c>
      <c r="C81" s="1092" t="str">
        <f t="shared" si="42"/>
        <v>Dólares</v>
      </c>
      <c r="D81" s="11"/>
      <c r="E81" s="743"/>
      <c r="F81" s="17"/>
      <c r="G81" s="17" t="str">
        <f t="shared" si="29"/>
        <v xml:space="preserve"> </v>
      </c>
      <c r="H81" s="12">
        <v>0</v>
      </c>
      <c r="I81" s="16" t="str">
        <f>IFERROR(VLOOKUP(G81,Proveedores!B:C,2,0)," ")</f>
        <v xml:space="preserve"> </v>
      </c>
      <c r="J81" s="745">
        <v>0</v>
      </c>
      <c r="K81" s="745" t="str">
        <f t="shared" si="30"/>
        <v>Not Found</v>
      </c>
      <c r="L81" s="16">
        <f>IF(K81="Importado",Fletes!$B$66,0%)</f>
        <v>0</v>
      </c>
      <c r="M81" s="745">
        <f t="shared" si="43"/>
        <v>0</v>
      </c>
      <c r="N81" s="16">
        <f>IF(K81&lt;&gt;"Importado",0%,IF(Fletes!$B$67&lt;10,15%,IF(Fletes!$B$67&lt;20,10%,5%)))</f>
        <v>0</v>
      </c>
      <c r="O81" s="745" t="str">
        <f>IFERROR(IF(OR(F81="Offiho",F81="Lauco Sofas",F81="Requiez",F81="Labenze",F81="Sunon Mty",F81="Sonara"),(M81*(1-_xlfn.XLOOKUP(F81,Proveedores!A:A,Proveedores!I:I)))*(1+N81),((M81*(1-_xlfn.XLOOKUP(F81,Proveedores!A:A,Proveedores!I:I)))*(1+N81))+U81),"")</f>
        <v/>
      </c>
      <c r="P81" s="1031"/>
      <c r="Q81" s="1133">
        <f>IF(K81&lt;&gt;"Importado",0,IF(P81&gt;0,P81*H81,IFERROR(_xlfn.XLOOKUP(F81,Proveedores!A:A,Proveedores!F:F,0)*H81,0)))</f>
        <v>0</v>
      </c>
      <c r="R81" s="1134" t="e">
        <f t="shared" si="44"/>
        <v>#VALUE!</v>
      </c>
      <c r="S81" s="743"/>
      <c r="T81" s="1034" t="e">
        <f t="shared" si="31"/>
        <v>#N/A</v>
      </c>
      <c r="U81" s="1034" t="e">
        <f t="shared" si="45"/>
        <v>#N/A</v>
      </c>
      <c r="V81" s="1165" t="e">
        <f t="shared" si="32"/>
        <v>#N/A</v>
      </c>
      <c r="W81" s="1034" t="e">
        <f t="shared" si="46"/>
        <v>#N/A</v>
      </c>
      <c r="X81" s="1034" t="b">
        <f t="shared" si="47"/>
        <v>0</v>
      </c>
      <c r="Y81" s="1034">
        <f t="shared" si="48"/>
        <v>0</v>
      </c>
      <c r="Z81" s="1034">
        <f t="shared" si="49"/>
        <v>0</v>
      </c>
      <c r="AA81" s="1034">
        <f t="shared" si="33"/>
        <v>0</v>
      </c>
      <c r="AB81" s="1034">
        <f t="shared" si="34"/>
        <v>0</v>
      </c>
      <c r="AC81" s="1033">
        <f t="shared" si="50"/>
        <v>0</v>
      </c>
      <c r="AD81" s="1266">
        <f t="shared" si="35"/>
        <v>0</v>
      </c>
      <c r="AE81" s="1093">
        <f t="shared" si="51"/>
        <v>0</v>
      </c>
      <c r="AF81" s="1093">
        <f t="shared" si="52"/>
        <v>0</v>
      </c>
      <c r="AG81" s="1093">
        <f t="shared" si="36"/>
        <v>0</v>
      </c>
      <c r="AH81" s="1033" t="e">
        <f t="shared" si="37"/>
        <v>#DIV/0!</v>
      </c>
      <c r="AI81" s="1091">
        <f t="shared" si="38"/>
        <v>0</v>
      </c>
      <c r="AJ81" s="1094">
        <f t="shared" si="39"/>
        <v>0</v>
      </c>
      <c r="AK81" s="1053" t="str">
        <f t="shared" si="40"/>
        <v/>
      </c>
      <c r="AL81" s="1053"/>
      <c r="AM81" s="1290">
        <f>_xlfn.XLOOKUP(F81,Proveedores!A:A,Proveedores!G:G)</f>
        <v>0</v>
      </c>
      <c r="AN81" s="1095" t="str">
        <f t="shared" si="53"/>
        <v>OK</v>
      </c>
    </row>
    <row r="82" spans="1:40" ht="15.95">
      <c r="A82" s="1090" t="b">
        <f t="shared" si="28"/>
        <v>1</v>
      </c>
      <c r="B82" s="1091" t="b">
        <f t="shared" si="41"/>
        <v>1</v>
      </c>
      <c r="C82" s="1092" t="str">
        <f t="shared" si="42"/>
        <v>Dólares</v>
      </c>
      <c r="D82" s="11"/>
      <c r="E82" s="743"/>
      <c r="F82" s="17"/>
      <c r="G82" s="17" t="str">
        <f t="shared" si="29"/>
        <v xml:space="preserve"> </v>
      </c>
      <c r="H82" s="12">
        <v>0</v>
      </c>
      <c r="I82" s="16" t="str">
        <f>IFERROR(VLOOKUP(G82,Proveedores!B:C,2,0)," ")</f>
        <v xml:space="preserve"> </v>
      </c>
      <c r="J82" s="745">
        <v>0</v>
      </c>
      <c r="K82" s="745" t="str">
        <f t="shared" si="30"/>
        <v>Not Found</v>
      </c>
      <c r="L82" s="16">
        <f>IF(K82="Importado",Fletes!$B$66,0%)</f>
        <v>0</v>
      </c>
      <c r="M82" s="745">
        <f t="shared" si="43"/>
        <v>0</v>
      </c>
      <c r="N82" s="16">
        <f>IF(K82&lt;&gt;"Importado",0%,IF(Fletes!$B$67&lt;10,15%,IF(Fletes!$B$67&lt;20,10%,5%)))</f>
        <v>0</v>
      </c>
      <c r="O82" s="745" t="str">
        <f>IFERROR(IF(OR(F82="Offiho",F82="Lauco Sofas",F82="Requiez",F82="Labenze",F82="Sunon Mty",F82="Sonara"),(M82*(1-_xlfn.XLOOKUP(F82,Proveedores!A:A,Proveedores!I:I)))*(1+N82),((M82*(1-_xlfn.XLOOKUP(F82,Proveedores!A:A,Proveedores!I:I)))*(1+N82))+U82),"")</f>
        <v/>
      </c>
      <c r="P82" s="1031"/>
      <c r="Q82" s="1133">
        <f>IF(K82&lt;&gt;"Importado",0,IF(P82&gt;0,P82*H82,IFERROR(_xlfn.XLOOKUP(F82,Proveedores!A:A,Proveedores!F:F,0)*H82,0)))</f>
        <v>0</v>
      </c>
      <c r="R82" s="1134" t="e">
        <f t="shared" si="44"/>
        <v>#VALUE!</v>
      </c>
      <c r="S82" s="743"/>
      <c r="T82" s="1034" t="e">
        <f t="shared" si="31"/>
        <v>#N/A</v>
      </c>
      <c r="U82" s="1034" t="e">
        <f t="shared" si="45"/>
        <v>#N/A</v>
      </c>
      <c r="V82" s="1165" t="e">
        <f t="shared" si="32"/>
        <v>#N/A</v>
      </c>
      <c r="W82" s="1034" t="e">
        <f t="shared" si="46"/>
        <v>#N/A</v>
      </c>
      <c r="X82" s="1034" t="b">
        <f t="shared" si="47"/>
        <v>0</v>
      </c>
      <c r="Y82" s="1034">
        <f t="shared" si="48"/>
        <v>0</v>
      </c>
      <c r="Z82" s="1034">
        <f t="shared" si="49"/>
        <v>0</v>
      </c>
      <c r="AA82" s="1034">
        <f t="shared" si="33"/>
        <v>0</v>
      </c>
      <c r="AB82" s="1034">
        <f t="shared" si="34"/>
        <v>0</v>
      </c>
      <c r="AC82" s="1033">
        <f t="shared" si="50"/>
        <v>0</v>
      </c>
      <c r="AD82" s="1266">
        <f t="shared" si="35"/>
        <v>0</v>
      </c>
      <c r="AE82" s="1093">
        <f t="shared" si="51"/>
        <v>0</v>
      </c>
      <c r="AF82" s="1093">
        <f t="shared" si="52"/>
        <v>0</v>
      </c>
      <c r="AG82" s="1093">
        <f t="shared" si="36"/>
        <v>0</v>
      </c>
      <c r="AH82" s="1033" t="str">
        <f t="shared" si="37"/>
        <v>NA</v>
      </c>
      <c r="AI82" s="1091">
        <f t="shared" si="38"/>
        <v>0</v>
      </c>
      <c r="AJ82" s="1094">
        <f t="shared" si="39"/>
        <v>0</v>
      </c>
      <c r="AK82" s="1053" t="str">
        <f t="shared" si="40"/>
        <v/>
      </c>
      <c r="AL82" s="1053"/>
      <c r="AM82" s="1290">
        <f>_xlfn.XLOOKUP(F82,Proveedores!A:A,Proveedores!G:G)</f>
        <v>0</v>
      </c>
      <c r="AN82" s="1095" t="str">
        <f t="shared" si="53"/>
        <v>OK</v>
      </c>
    </row>
    <row r="83" spans="1:40" ht="24" customHeight="1">
      <c r="A83" s="1375" t="s">
        <v>129</v>
      </c>
      <c r="B83" s="1375"/>
      <c r="C83" s="1375"/>
      <c r="D83" s="1375"/>
      <c r="E83" s="1375"/>
      <c r="F83" s="1375"/>
      <c r="G83" s="1099"/>
      <c r="H83" s="1100" cm="1">
        <f t="array" ref="H83">SUM(IFERROR(H50:H82,0))</f>
        <v>0</v>
      </c>
      <c r="I83" s="1099"/>
      <c r="J83" s="1101"/>
      <c r="K83" s="1101"/>
      <c r="L83" s="1101"/>
      <c r="M83" s="1101"/>
      <c r="N83" s="1101"/>
      <c r="O83" s="1101"/>
      <c r="P83" s="1102"/>
      <c r="Q83" s="1100" cm="1">
        <f t="array" ref="Q83">SUM(IFERROR(Q50:Q82,0))</f>
        <v>0</v>
      </c>
      <c r="R83" s="1103" cm="1">
        <f t="array" ref="R83">SUM(IFERROR(R50:R82,0))</f>
        <v>0</v>
      </c>
      <c r="S83" s="1104"/>
      <c r="T83" s="1104"/>
      <c r="U83" s="1104"/>
      <c r="V83" s="1104"/>
      <c r="W83" s="1104"/>
      <c r="X83" s="1104"/>
      <c r="Y83" s="1102"/>
      <c r="Z83" s="1102"/>
      <c r="AA83" s="1102"/>
      <c r="AB83" s="1103" cm="1">
        <f t="array" ref="AB83">SUM(IFERROR(AB50:AB82,0))</f>
        <v>0</v>
      </c>
      <c r="AC83" s="1104" t="s">
        <v>127</v>
      </c>
      <c r="AD83" s="1104" t="s">
        <v>127</v>
      </c>
      <c r="AE83" s="1104"/>
      <c r="AF83" s="1104"/>
      <c r="AG83" s="1103" cm="1">
        <f t="array" ref="AG83">SUM(IFERROR(AG50:AG82,0))</f>
        <v>0</v>
      </c>
      <c r="AH83" s="1103"/>
      <c r="AI83" s="1103"/>
      <c r="AJ83" s="1103" cm="1">
        <f t="array" ref="AJ83">SUM(IFERROR(AJ50:AJ82,0))</f>
        <v>0</v>
      </c>
      <c r="AK83" s="1054" cm="1">
        <f t="array" ref="AK83">IFERROR(SUMPRODUCT(IFERROR(AG50:AG82,0),IFERROR(AK50:AK82,0))/SUMPRODUCT(IFERROR(AG50:AG82,0)),0)</f>
        <v>0</v>
      </c>
      <c r="AL83" s="1288"/>
      <c r="AM83" s="1288"/>
      <c r="AN83"/>
    </row>
    <row r="84" spans="1:40" ht="26.1" customHeight="1">
      <c r="A84" s="1397" t="s">
        <v>130</v>
      </c>
      <c r="B84" s="1397"/>
      <c r="C84" s="1397"/>
      <c r="D84" s="1397"/>
      <c r="E84" s="1397"/>
      <c r="F84" s="1397"/>
      <c r="G84" s="1397"/>
      <c r="H84" s="1397"/>
      <c r="I84" s="1397"/>
      <c r="J84" s="1398"/>
      <c r="K84" s="1160"/>
      <c r="L84" s="1160"/>
      <c r="M84" s="1160"/>
      <c r="N84" s="1160"/>
      <c r="O84" s="1160"/>
      <c r="P84" s="1088"/>
      <c r="Q84" s="1088"/>
      <c r="R84" s="1088"/>
      <c r="S84" s="1087"/>
      <c r="T84" s="1087"/>
      <c r="U84" s="1087"/>
      <c r="V84" s="1087"/>
      <c r="W84" s="1087"/>
      <c r="X84" s="1087"/>
      <c r="Y84" s="1087"/>
      <c r="Z84" s="1087"/>
      <c r="AA84" s="1087"/>
      <c r="AB84" s="1087"/>
      <c r="AC84" s="1087"/>
      <c r="AD84" s="1087"/>
      <c r="AE84" s="1087"/>
      <c r="AF84" s="1087"/>
      <c r="AG84" s="1087"/>
      <c r="AH84" s="1087"/>
      <c r="AI84" s="1087"/>
      <c r="AJ84" s="1087"/>
      <c r="AK84" s="1089"/>
      <c r="AL84" s="1287"/>
      <c r="AM84" s="1287"/>
      <c r="AN84"/>
    </row>
    <row r="85" spans="1:40" ht="15.95">
      <c r="A85" s="1090" t="b">
        <f t="shared" ref="A85:A117" si="54">$A$14</f>
        <v>1</v>
      </c>
      <c r="B85" s="1091" t="b">
        <f>A85</f>
        <v>1</v>
      </c>
      <c r="C85" s="1092" t="str">
        <f>$C$14</f>
        <v>Dólares</v>
      </c>
      <c r="D85" s="11"/>
      <c r="E85" s="743"/>
      <c r="F85" s="17"/>
      <c r="G85" s="17" t="str">
        <f t="shared" ref="G85:G117" si="55">IFERROR(VLOOKUP(F85,Tabla_Proveedores_1,2,0)," ")</f>
        <v xml:space="preserve"> </v>
      </c>
      <c r="H85" s="12">
        <v>0</v>
      </c>
      <c r="I85" s="16" t="str">
        <f>IFERROR(VLOOKUP(G85,Proveedores!B:C,2,0)," ")</f>
        <v xml:space="preserve"> </v>
      </c>
      <c r="J85" s="745">
        <v>0</v>
      </c>
      <c r="K85" s="745" t="str">
        <f t="shared" ref="K85:K117" si="56">IFERROR(VLOOKUP(TRIM(F85), ProveedoreS_TC, 5, FALSE), "Not Found")</f>
        <v>Not Found</v>
      </c>
      <c r="L85" s="16">
        <f>IF(K85="Importado",Fletes!$B$66,0%)</f>
        <v>0</v>
      </c>
      <c r="M85" s="745">
        <f>IF(K85="Importado",J85*(1+L85),J85*(1+L85))</f>
        <v>0</v>
      </c>
      <c r="N85" s="16">
        <f>IF(K85&lt;&gt;"Importado",0%,IF(Fletes!$B$67&lt;10,15%,IF(Fletes!$B$67&lt;20,10%,5%)))</f>
        <v>0</v>
      </c>
      <c r="O85" s="745" t="str">
        <f>IFERROR(IF(OR(F85="Offiho",F85="Lauco Sofas",F85="Requiez",F85="Labenze",F85="Sunon Mty",F85="Sonara"),(M85*(1-_xlfn.XLOOKUP(F85,Proveedores!A:A,Proveedores!I:I)))*(1+N85),((M85*(1-_xlfn.XLOOKUP(F85,Proveedores!A:A,Proveedores!I:I)))*(1+N85))+U85),"")</f>
        <v/>
      </c>
      <c r="P85" s="1031"/>
      <c r="Q85" s="1133">
        <f>IF(K85&lt;&gt;"Importado",0,IF(P85&gt;0,P85*H85,IFERROR(_xlfn.XLOOKUP(F85,Proveedores!A:A,Proveedores!F:F,0)*H85,0)))</f>
        <v>0</v>
      </c>
      <c r="R85" s="1134" t="e">
        <f>O85*H85</f>
        <v>#VALUE!</v>
      </c>
      <c r="S85" s="743"/>
      <c r="T85" s="1034" t="e">
        <f t="shared" ref="T85:T117" si="57">IF(H85&gt;15,0,VLOOKUP(E85,Tabla_Instalacion,2,FALSE))</f>
        <v>#N/A</v>
      </c>
      <c r="U85" s="1034" t="e">
        <f>X85/V85</f>
        <v>#N/A</v>
      </c>
      <c r="V85" s="1165" t="e">
        <f t="shared" ref="V85:V117" si="58">VLOOKUP(E85,Tabla_Factor,2,FALSE)</f>
        <v>#N/A</v>
      </c>
      <c r="W85" s="1034" t="e">
        <f>T85*V85</f>
        <v>#N/A</v>
      </c>
      <c r="X85" s="1034" t="b">
        <f>IF(S85="Occidente",W85,IF(S85="Norte",W85*1.5,IF(S85="Centro",W85*1.2,IF(S85="Sur",W85*1.7))))</f>
        <v>0</v>
      </c>
      <c r="Y85" s="1034">
        <f>ROUNDUP(IF(OR(F85="Offiho",F85="Lauco Sofas",F85="Requiez",F85="Labenze",F85="Sunon Mty",F85="Sonara",F85="Santeco"),J85,IF(K85="Nacional",O85/(1-30%),IF(K85="Importado",O85/(1-40%),IF(OR(F85="Lumbro",F85="Idelika"),O85/(1-20%))))),0)</f>
        <v>0</v>
      </c>
      <c r="Z85" s="1034">
        <f>ROUNDUP(IF(OR(F85="Offiho",F85="Lauco Sofas",F85="Requiez",F85="Labenze",F85="Sunon Mty",F85="Sonara",F85="Sonara"),Y85,IF($P$10="MIXTO",IF(K85="Nacional",Y85/(1-50%),Y85/(1-50%)),IF($P$10="IMPORTADO",Y85/(1-50%),IF($P$10="NACIONAL",Y85/(1-20%),Y85/(1-20%))))),0)</f>
        <v>0</v>
      </c>
      <c r="AA85" s="1034">
        <f t="shared" ref="AA85:AA117" si="59">IF(Z85&gt;=Y85,_xlfn.MINIFS($Z$15:$Z$572,$D$15:$D$572,D85),"NO SE ESTA RESPETANDO EL MARGEN")</f>
        <v>0</v>
      </c>
      <c r="AB85" s="1034">
        <f t="shared" ref="AB85:AB117" si="60">IFERROR(AA85*H85,0)</f>
        <v>0</v>
      </c>
      <c r="AC85" s="1033">
        <f>IF($P$10="IMPORTADO",50%,IF($P$10="NACIONAL",20%,IF($P$10="MIXTO",50%,0%)))</f>
        <v>0</v>
      </c>
      <c r="AD85" s="1266">
        <f t="shared" ref="AD85:AD117" si="61">IF(H85&gt;0,$E$5,0)</f>
        <v>0</v>
      </c>
      <c r="AE85" s="1093">
        <f>IFERROR(AA85*AD85,0)</f>
        <v>0</v>
      </c>
      <c r="AF85" s="1093">
        <f>IF($E$5&gt;$E$6,"ERROR",AA85-AE85)</f>
        <v>0</v>
      </c>
      <c r="AG85" s="1093">
        <f t="shared" ref="AG85:AG117" si="62">AF85*H85</f>
        <v>0</v>
      </c>
      <c r="AH85" s="1033" t="e">
        <f t="shared" ref="AH85:AH117" si="63">IF(A86=TRUE,MAX(0,1-(AI85/Z85)),"NA")</f>
        <v>#DIV/0!</v>
      </c>
      <c r="AI85" s="1091">
        <f t="shared" ref="AI85:AI117" si="64">IF(A84=FALSE,"NO APLICA",AF85*(1+$AI$8))</f>
        <v>0</v>
      </c>
      <c r="AJ85" s="1094">
        <f t="shared" ref="AJ85:AJ117" si="65">AI85*H85</f>
        <v>0</v>
      </c>
      <c r="AK85" s="1053" t="str">
        <f t="shared" ref="AK85:AK117" si="66">IFERROR(IF(OR(F85="Offiho",F85="Vandesk",F85="Requiez",F85="Labenze",F85="Idelika",F85="Sunon Mty"),(AG85-(J85*(1-I85)*H85))/AG85,(AG85-R85)/AG85),"")</f>
        <v/>
      </c>
      <c r="AL85" s="1053"/>
      <c r="AM85" s="1290">
        <f>_xlfn.XLOOKUP(F85,Proveedores!A:A,Proveedores!G:G)</f>
        <v>0</v>
      </c>
      <c r="AN85" s="1095" t="str">
        <f>IF(AK85&lt;AM85,"ERROR","OK")</f>
        <v>OK</v>
      </c>
    </row>
    <row r="86" spans="1:40" ht="15.95">
      <c r="A86" s="1090" t="b">
        <f t="shared" si="54"/>
        <v>1</v>
      </c>
      <c r="B86" s="1091" t="b">
        <f t="shared" ref="B86:B117" si="67">A86</f>
        <v>1</v>
      </c>
      <c r="C86" s="1092" t="str">
        <f t="shared" ref="C86:C117" si="68">$C$14</f>
        <v>Dólares</v>
      </c>
      <c r="D86" s="11"/>
      <c r="E86" s="743"/>
      <c r="F86" s="17"/>
      <c r="G86" s="17" t="str">
        <f t="shared" si="55"/>
        <v xml:space="preserve"> </v>
      </c>
      <c r="H86" s="12">
        <v>0</v>
      </c>
      <c r="I86" s="16" t="str">
        <f>IFERROR(VLOOKUP(G86,Proveedores!B:C,2,0)," ")</f>
        <v xml:space="preserve"> </v>
      </c>
      <c r="J86" s="745">
        <v>0</v>
      </c>
      <c r="K86" s="745" t="str">
        <f t="shared" si="56"/>
        <v>Not Found</v>
      </c>
      <c r="L86" s="16">
        <f>IF(K86="Importado",Fletes!$B$66,0%)</f>
        <v>0</v>
      </c>
      <c r="M86" s="745">
        <f t="shared" ref="M86:M117" si="69">IF(K86="Importado",J86*(1+L86),J86*(1+L86))</f>
        <v>0</v>
      </c>
      <c r="N86" s="16">
        <f>IF(K86&lt;&gt;"Importado",0%,IF(Fletes!$B$67&lt;10,15%,IF(Fletes!$B$67&lt;20,10%,5%)))</f>
        <v>0</v>
      </c>
      <c r="O86" s="745" t="str">
        <f>IFERROR(IF(OR(F86="Offiho",F86="Lauco Sofas",F86="Requiez",F86="Labenze",F86="Sunon Mty",F86="Sonara"),(M86*(1-_xlfn.XLOOKUP(F86,Proveedores!A:A,Proveedores!I:I)))*(1+N86),((M86*(1-_xlfn.XLOOKUP(F86,Proveedores!A:A,Proveedores!I:I)))*(1+N86))+U86),"")</f>
        <v/>
      </c>
      <c r="P86" s="1031"/>
      <c r="Q86" s="1133">
        <f>IF(K86&lt;&gt;"Importado",0,IF(P86&gt;0,P86*H86,IFERROR(_xlfn.XLOOKUP(F86,Proveedores!A:A,Proveedores!F:F,0)*H86,0)))</f>
        <v>0</v>
      </c>
      <c r="R86" s="1134" t="e">
        <f t="shared" ref="R86:R117" si="70">O86*H86</f>
        <v>#VALUE!</v>
      </c>
      <c r="S86" s="743"/>
      <c r="T86" s="1034" t="e">
        <f t="shared" si="57"/>
        <v>#N/A</v>
      </c>
      <c r="U86" s="1034" t="e">
        <f t="shared" ref="U86:U117" si="71">X86/V86</f>
        <v>#N/A</v>
      </c>
      <c r="V86" s="1165" t="e">
        <f t="shared" si="58"/>
        <v>#N/A</v>
      </c>
      <c r="W86" s="1034" t="e">
        <f t="shared" ref="W86:W117" si="72">T86*V86</f>
        <v>#N/A</v>
      </c>
      <c r="X86" s="1034" t="b">
        <f t="shared" ref="X86:X117" si="73">IF(S86="Occidente",W86,IF(S86="Norte",W86*1.5,IF(S86="Centro",W86*1.2,IF(S86="Sur",W86*1.7))))</f>
        <v>0</v>
      </c>
      <c r="Y86" s="1034">
        <f t="shared" ref="Y86:Y117" si="74">ROUNDUP(IF(OR(F86="Offiho",F86="Lauco Sofas",F86="Requiez",F86="Labenze",F86="Sunon Mty",F86="Sonara",F86="Santeco"),J86,IF(K86="Nacional",O86/(1-30%),IF(K86="Importado",O86/(1-40%),IF(OR(F86="Lumbro",F86="Idelika"),O86/(1-20%))))),0)</f>
        <v>0</v>
      </c>
      <c r="Z86" s="1034">
        <f t="shared" ref="Z86:Z117" si="75">ROUNDUP(IF(OR(F86="Offiho",F86="Lauco Sofas",F86="Requiez",F86="Labenze",F86="Sunon Mty",F86="Sonara",F86="Sonara"),Y86,IF($P$10="MIXTO",IF(K86="Nacional",Y86/(1-50%),Y86/(1-50%)),IF($P$10="IMPORTADO",Y86/(1-50%),IF($P$10="NACIONAL",Y86/(1-20%),Y86/(1-20%))))),0)</f>
        <v>0</v>
      </c>
      <c r="AA86" s="1034">
        <f t="shared" si="59"/>
        <v>0</v>
      </c>
      <c r="AB86" s="1034">
        <f t="shared" si="60"/>
        <v>0</v>
      </c>
      <c r="AC86" s="1033">
        <f t="shared" ref="AC86:AC117" si="76">IF($P$10="IMPORTADO",50%,IF($P$10="NACIONAL",20%,IF($P$10="MIXTO",50%,0%)))</f>
        <v>0</v>
      </c>
      <c r="AD86" s="1266">
        <f t="shared" si="61"/>
        <v>0</v>
      </c>
      <c r="AE86" s="1093">
        <f t="shared" ref="AE86:AE117" si="77">IFERROR(AA86*AD86,0)</f>
        <v>0</v>
      </c>
      <c r="AF86" s="1093">
        <f t="shared" ref="AF86:AF117" si="78">IF($E$5&gt;$E$6,"ERROR",AA86-AE86)</f>
        <v>0</v>
      </c>
      <c r="AG86" s="1093">
        <f t="shared" si="62"/>
        <v>0</v>
      </c>
      <c r="AH86" s="1033" t="e">
        <f t="shared" si="63"/>
        <v>#DIV/0!</v>
      </c>
      <c r="AI86" s="1091">
        <f t="shared" si="64"/>
        <v>0</v>
      </c>
      <c r="AJ86" s="1094">
        <f t="shared" si="65"/>
        <v>0</v>
      </c>
      <c r="AK86" s="1053" t="str">
        <f t="shared" si="66"/>
        <v/>
      </c>
      <c r="AL86" s="1053"/>
      <c r="AM86" s="1290">
        <f>_xlfn.XLOOKUP(F86,Proveedores!A:A,Proveedores!G:G)</f>
        <v>0</v>
      </c>
      <c r="AN86" s="1095" t="str">
        <f t="shared" ref="AN86:AN117" si="79">IF(AK86&lt;AM86,"ERROR","OK")</f>
        <v>OK</v>
      </c>
    </row>
    <row r="87" spans="1:40" ht="15.95">
      <c r="A87" s="1090" t="b">
        <f t="shared" si="54"/>
        <v>1</v>
      </c>
      <c r="B87" s="1091" t="b">
        <f t="shared" si="67"/>
        <v>1</v>
      </c>
      <c r="C87" s="1092" t="str">
        <f t="shared" si="68"/>
        <v>Dólares</v>
      </c>
      <c r="D87" s="11"/>
      <c r="E87" s="743"/>
      <c r="F87" s="17"/>
      <c r="G87" s="17" t="str">
        <f t="shared" si="55"/>
        <v xml:space="preserve"> </v>
      </c>
      <c r="H87" s="12">
        <v>0</v>
      </c>
      <c r="I87" s="16" t="str">
        <f>IFERROR(VLOOKUP(G87,Proveedores!B:C,2,0)," ")</f>
        <v xml:space="preserve"> </v>
      </c>
      <c r="J87" s="745">
        <v>0</v>
      </c>
      <c r="K87" s="745" t="str">
        <f t="shared" si="56"/>
        <v>Not Found</v>
      </c>
      <c r="L87" s="16">
        <f>IF(K87="Importado",Fletes!$B$66,0%)</f>
        <v>0</v>
      </c>
      <c r="M87" s="745">
        <f t="shared" si="69"/>
        <v>0</v>
      </c>
      <c r="N87" s="16">
        <f>IF(K87&lt;&gt;"Importado",0%,IF(Fletes!$B$67&lt;10,15%,IF(Fletes!$B$67&lt;20,10%,5%)))</f>
        <v>0</v>
      </c>
      <c r="O87" s="745" t="str">
        <f>IFERROR(IF(OR(F87="Offiho",F87="Lauco Sofas",F87="Requiez",F87="Labenze",F87="Sunon Mty",F87="Sonara"),(M87*(1-_xlfn.XLOOKUP(F87,Proveedores!A:A,Proveedores!I:I)))*(1+N87),((M87*(1-_xlfn.XLOOKUP(F87,Proveedores!A:A,Proveedores!I:I)))*(1+N87))+U87),"")</f>
        <v/>
      </c>
      <c r="P87" s="1031"/>
      <c r="Q87" s="1133">
        <f>IF(K87&lt;&gt;"Importado",0,IF(P87&gt;0,P87*H87,IFERROR(_xlfn.XLOOKUP(F87,Proveedores!A:A,Proveedores!F:F,0)*H87,0)))</f>
        <v>0</v>
      </c>
      <c r="R87" s="1134" t="e">
        <f t="shared" si="70"/>
        <v>#VALUE!</v>
      </c>
      <c r="S87" s="743"/>
      <c r="T87" s="1034" t="e">
        <f t="shared" si="57"/>
        <v>#N/A</v>
      </c>
      <c r="U87" s="1034" t="e">
        <f t="shared" si="71"/>
        <v>#N/A</v>
      </c>
      <c r="V87" s="1165" t="e">
        <f t="shared" si="58"/>
        <v>#N/A</v>
      </c>
      <c r="W87" s="1034" t="e">
        <f t="shared" si="72"/>
        <v>#N/A</v>
      </c>
      <c r="X87" s="1034" t="b">
        <f t="shared" si="73"/>
        <v>0</v>
      </c>
      <c r="Y87" s="1034">
        <f t="shared" si="74"/>
        <v>0</v>
      </c>
      <c r="Z87" s="1034">
        <f t="shared" si="75"/>
        <v>0</v>
      </c>
      <c r="AA87" s="1034">
        <f t="shared" si="59"/>
        <v>0</v>
      </c>
      <c r="AB87" s="1034">
        <f t="shared" si="60"/>
        <v>0</v>
      </c>
      <c r="AC87" s="1033">
        <f t="shared" si="76"/>
        <v>0</v>
      </c>
      <c r="AD87" s="1266">
        <f t="shared" si="61"/>
        <v>0</v>
      </c>
      <c r="AE87" s="1093">
        <f t="shared" si="77"/>
        <v>0</v>
      </c>
      <c r="AF87" s="1093">
        <f t="shared" si="78"/>
        <v>0</v>
      </c>
      <c r="AG87" s="1093">
        <f t="shared" si="62"/>
        <v>0</v>
      </c>
      <c r="AH87" s="1033" t="e">
        <f t="shared" si="63"/>
        <v>#DIV/0!</v>
      </c>
      <c r="AI87" s="1091">
        <f t="shared" si="64"/>
        <v>0</v>
      </c>
      <c r="AJ87" s="1094">
        <f t="shared" si="65"/>
        <v>0</v>
      </c>
      <c r="AK87" s="1053" t="str">
        <f t="shared" si="66"/>
        <v/>
      </c>
      <c r="AL87" s="1053"/>
      <c r="AM87" s="1290">
        <f>_xlfn.XLOOKUP(F87,Proveedores!A:A,Proveedores!G:G)</f>
        <v>0</v>
      </c>
      <c r="AN87" s="1095" t="str">
        <f t="shared" si="79"/>
        <v>OK</v>
      </c>
    </row>
    <row r="88" spans="1:40" ht="15.95">
      <c r="A88" s="1090" t="b">
        <f t="shared" si="54"/>
        <v>1</v>
      </c>
      <c r="B88" s="1091" t="b">
        <f t="shared" si="67"/>
        <v>1</v>
      </c>
      <c r="C88" s="1092" t="str">
        <f t="shared" si="68"/>
        <v>Dólares</v>
      </c>
      <c r="D88" s="11"/>
      <c r="E88" s="743"/>
      <c r="F88" s="17"/>
      <c r="G88" s="17" t="str">
        <f t="shared" si="55"/>
        <v xml:space="preserve"> </v>
      </c>
      <c r="H88" s="12">
        <v>0</v>
      </c>
      <c r="I88" s="16" t="str">
        <f>IFERROR(VLOOKUP(G88,Proveedores!B:C,2,0)," ")</f>
        <v xml:space="preserve"> </v>
      </c>
      <c r="J88" s="745">
        <v>0</v>
      </c>
      <c r="K88" s="745" t="str">
        <f t="shared" si="56"/>
        <v>Not Found</v>
      </c>
      <c r="L88" s="16">
        <f>IF(K88="Importado",Fletes!$B$66,0%)</f>
        <v>0</v>
      </c>
      <c r="M88" s="745">
        <f t="shared" si="69"/>
        <v>0</v>
      </c>
      <c r="N88" s="16">
        <f>IF(K88&lt;&gt;"Importado",0%,IF(Fletes!$B$67&lt;10,15%,IF(Fletes!$B$67&lt;20,10%,5%)))</f>
        <v>0</v>
      </c>
      <c r="O88" s="745" t="str">
        <f>IFERROR(IF(OR(F88="Offiho",F88="Lauco Sofas",F88="Requiez",F88="Labenze",F88="Sunon Mty",F88="Sonara"),(M88*(1-_xlfn.XLOOKUP(F88,Proveedores!A:A,Proveedores!I:I)))*(1+N88),((M88*(1-_xlfn.XLOOKUP(F88,Proveedores!A:A,Proveedores!I:I)))*(1+N88))+U88),"")</f>
        <v/>
      </c>
      <c r="P88" s="1031"/>
      <c r="Q88" s="1133">
        <f>IF(K88&lt;&gt;"Importado",0,IF(P88&gt;0,P88*H88,IFERROR(_xlfn.XLOOKUP(F88,Proveedores!A:A,Proveedores!F:F,0)*H88,0)))</f>
        <v>0</v>
      </c>
      <c r="R88" s="1134" t="e">
        <f t="shared" si="70"/>
        <v>#VALUE!</v>
      </c>
      <c r="S88" s="743"/>
      <c r="T88" s="1034" t="e">
        <f t="shared" si="57"/>
        <v>#N/A</v>
      </c>
      <c r="U88" s="1034" t="e">
        <f t="shared" si="71"/>
        <v>#N/A</v>
      </c>
      <c r="V88" s="1165" t="e">
        <f t="shared" si="58"/>
        <v>#N/A</v>
      </c>
      <c r="W88" s="1034" t="e">
        <f t="shared" si="72"/>
        <v>#N/A</v>
      </c>
      <c r="X88" s="1034" t="b">
        <f t="shared" si="73"/>
        <v>0</v>
      </c>
      <c r="Y88" s="1034">
        <f t="shared" si="74"/>
        <v>0</v>
      </c>
      <c r="Z88" s="1034">
        <f t="shared" si="75"/>
        <v>0</v>
      </c>
      <c r="AA88" s="1034">
        <f t="shared" si="59"/>
        <v>0</v>
      </c>
      <c r="AB88" s="1034">
        <f t="shared" si="60"/>
        <v>0</v>
      </c>
      <c r="AC88" s="1033">
        <f t="shared" si="76"/>
        <v>0</v>
      </c>
      <c r="AD88" s="1266">
        <f t="shared" si="61"/>
        <v>0</v>
      </c>
      <c r="AE88" s="1093">
        <f t="shared" si="77"/>
        <v>0</v>
      </c>
      <c r="AF88" s="1093">
        <f t="shared" si="78"/>
        <v>0</v>
      </c>
      <c r="AG88" s="1093">
        <f t="shared" si="62"/>
        <v>0</v>
      </c>
      <c r="AH88" s="1033" t="e">
        <f t="shared" si="63"/>
        <v>#DIV/0!</v>
      </c>
      <c r="AI88" s="1091">
        <f t="shared" si="64"/>
        <v>0</v>
      </c>
      <c r="AJ88" s="1094">
        <f t="shared" si="65"/>
        <v>0</v>
      </c>
      <c r="AK88" s="1053" t="str">
        <f t="shared" si="66"/>
        <v/>
      </c>
      <c r="AL88" s="1053"/>
      <c r="AM88" s="1290">
        <f>_xlfn.XLOOKUP(F88,Proveedores!A:A,Proveedores!G:G)</f>
        <v>0</v>
      </c>
      <c r="AN88" s="1095" t="str">
        <f t="shared" si="79"/>
        <v>OK</v>
      </c>
    </row>
    <row r="89" spans="1:40" ht="15.95">
      <c r="A89" s="1090" t="b">
        <f t="shared" si="54"/>
        <v>1</v>
      </c>
      <c r="B89" s="1091" t="b">
        <f t="shared" si="67"/>
        <v>1</v>
      </c>
      <c r="C89" s="1092" t="str">
        <f t="shared" si="68"/>
        <v>Dólares</v>
      </c>
      <c r="D89" s="11"/>
      <c r="E89" s="743"/>
      <c r="F89" s="17"/>
      <c r="G89" s="17" t="str">
        <f t="shared" si="55"/>
        <v xml:space="preserve"> </v>
      </c>
      <c r="H89" s="12">
        <v>0</v>
      </c>
      <c r="I89" s="16" t="str">
        <f>IFERROR(VLOOKUP(G89,Proveedores!B:C,2,0)," ")</f>
        <v xml:space="preserve"> </v>
      </c>
      <c r="J89" s="745">
        <v>0</v>
      </c>
      <c r="K89" s="745" t="str">
        <f t="shared" si="56"/>
        <v>Not Found</v>
      </c>
      <c r="L89" s="16">
        <f>IF(K89="Importado",Fletes!$B$66,0%)</f>
        <v>0</v>
      </c>
      <c r="M89" s="745">
        <f t="shared" si="69"/>
        <v>0</v>
      </c>
      <c r="N89" s="16">
        <f>IF(K89&lt;&gt;"Importado",0%,IF(Fletes!$B$67&lt;10,15%,IF(Fletes!$B$67&lt;20,10%,5%)))</f>
        <v>0</v>
      </c>
      <c r="O89" s="745" t="str">
        <f>IFERROR(IF(OR(F89="Offiho",F89="Lauco Sofas",F89="Requiez",F89="Labenze",F89="Sunon Mty",F89="Sonara"),(M89*(1-_xlfn.XLOOKUP(F89,Proveedores!A:A,Proveedores!I:I)))*(1+N89),((M89*(1-_xlfn.XLOOKUP(F89,Proveedores!A:A,Proveedores!I:I)))*(1+N89))+U89),"")</f>
        <v/>
      </c>
      <c r="P89" s="1031"/>
      <c r="Q89" s="1133">
        <f>IF(K89&lt;&gt;"Importado",0,IF(P89&gt;0,P89*H89,IFERROR(_xlfn.XLOOKUP(F89,Proveedores!A:A,Proveedores!F:F,0)*H89,0)))</f>
        <v>0</v>
      </c>
      <c r="R89" s="1134" t="e">
        <f t="shared" si="70"/>
        <v>#VALUE!</v>
      </c>
      <c r="S89" s="743"/>
      <c r="T89" s="1034" t="e">
        <f t="shared" si="57"/>
        <v>#N/A</v>
      </c>
      <c r="U89" s="1034" t="e">
        <f t="shared" si="71"/>
        <v>#N/A</v>
      </c>
      <c r="V89" s="1165" t="e">
        <f t="shared" si="58"/>
        <v>#N/A</v>
      </c>
      <c r="W89" s="1034" t="e">
        <f t="shared" si="72"/>
        <v>#N/A</v>
      </c>
      <c r="X89" s="1034" t="b">
        <f t="shared" si="73"/>
        <v>0</v>
      </c>
      <c r="Y89" s="1034">
        <f t="shared" si="74"/>
        <v>0</v>
      </c>
      <c r="Z89" s="1034">
        <f t="shared" si="75"/>
        <v>0</v>
      </c>
      <c r="AA89" s="1034">
        <f t="shared" si="59"/>
        <v>0</v>
      </c>
      <c r="AB89" s="1034">
        <f t="shared" si="60"/>
        <v>0</v>
      </c>
      <c r="AC89" s="1033">
        <f t="shared" si="76"/>
        <v>0</v>
      </c>
      <c r="AD89" s="1266">
        <f t="shared" si="61"/>
        <v>0</v>
      </c>
      <c r="AE89" s="1093">
        <f t="shared" si="77"/>
        <v>0</v>
      </c>
      <c r="AF89" s="1093">
        <f t="shared" si="78"/>
        <v>0</v>
      </c>
      <c r="AG89" s="1093">
        <f t="shared" si="62"/>
        <v>0</v>
      </c>
      <c r="AH89" s="1033" t="e">
        <f t="shared" si="63"/>
        <v>#DIV/0!</v>
      </c>
      <c r="AI89" s="1091">
        <f t="shared" si="64"/>
        <v>0</v>
      </c>
      <c r="AJ89" s="1094">
        <f t="shared" si="65"/>
        <v>0</v>
      </c>
      <c r="AK89" s="1053" t="str">
        <f t="shared" si="66"/>
        <v/>
      </c>
      <c r="AL89" s="1053"/>
      <c r="AM89" s="1290">
        <f>_xlfn.XLOOKUP(F89,Proveedores!A:A,Proveedores!G:G)</f>
        <v>0</v>
      </c>
      <c r="AN89" s="1095" t="str">
        <f t="shared" si="79"/>
        <v>OK</v>
      </c>
    </row>
    <row r="90" spans="1:40" ht="15.95">
      <c r="A90" s="1090" t="b">
        <f t="shared" si="54"/>
        <v>1</v>
      </c>
      <c r="B90" s="1091" t="b">
        <f t="shared" si="67"/>
        <v>1</v>
      </c>
      <c r="C90" s="1092" t="str">
        <f t="shared" si="68"/>
        <v>Dólares</v>
      </c>
      <c r="D90" s="11"/>
      <c r="E90" s="743"/>
      <c r="F90" s="17"/>
      <c r="G90" s="17" t="str">
        <f t="shared" si="55"/>
        <v xml:space="preserve"> </v>
      </c>
      <c r="H90" s="12">
        <v>0</v>
      </c>
      <c r="I90" s="16" t="str">
        <f>IFERROR(VLOOKUP(G90,Proveedores!B:C,2,0)," ")</f>
        <v xml:space="preserve"> </v>
      </c>
      <c r="J90" s="745">
        <v>0</v>
      </c>
      <c r="K90" s="745" t="str">
        <f t="shared" si="56"/>
        <v>Not Found</v>
      </c>
      <c r="L90" s="16">
        <f>IF(K90="Importado",Fletes!$B$66,0%)</f>
        <v>0</v>
      </c>
      <c r="M90" s="745">
        <f t="shared" si="69"/>
        <v>0</v>
      </c>
      <c r="N90" s="16">
        <f>IF(K90&lt;&gt;"Importado",0%,IF(Fletes!$B$67&lt;10,15%,IF(Fletes!$B$67&lt;20,10%,5%)))</f>
        <v>0</v>
      </c>
      <c r="O90" s="745" t="str">
        <f>IFERROR(IF(OR(F90="Offiho",F90="Lauco Sofas",F90="Requiez",F90="Labenze",F90="Sunon Mty",F90="Sonara"),(M90*(1-_xlfn.XLOOKUP(F90,Proveedores!A:A,Proveedores!I:I)))*(1+N90),((M90*(1-_xlfn.XLOOKUP(F90,Proveedores!A:A,Proveedores!I:I)))*(1+N90))+U90),"")</f>
        <v/>
      </c>
      <c r="P90" s="1031"/>
      <c r="Q90" s="1133">
        <f>IF(K90&lt;&gt;"Importado",0,IF(P90&gt;0,P90*H90,IFERROR(_xlfn.XLOOKUP(F90,Proveedores!A:A,Proveedores!F:F,0)*H90,0)))</f>
        <v>0</v>
      </c>
      <c r="R90" s="1134" t="e">
        <f t="shared" si="70"/>
        <v>#VALUE!</v>
      </c>
      <c r="S90" s="743"/>
      <c r="T90" s="1034" t="e">
        <f t="shared" si="57"/>
        <v>#N/A</v>
      </c>
      <c r="U90" s="1034" t="e">
        <f t="shared" si="71"/>
        <v>#N/A</v>
      </c>
      <c r="V90" s="1165" t="e">
        <f t="shared" si="58"/>
        <v>#N/A</v>
      </c>
      <c r="W90" s="1034" t="e">
        <f t="shared" si="72"/>
        <v>#N/A</v>
      </c>
      <c r="X90" s="1034" t="b">
        <f t="shared" si="73"/>
        <v>0</v>
      </c>
      <c r="Y90" s="1034">
        <f t="shared" si="74"/>
        <v>0</v>
      </c>
      <c r="Z90" s="1034">
        <f t="shared" si="75"/>
        <v>0</v>
      </c>
      <c r="AA90" s="1034">
        <f t="shared" si="59"/>
        <v>0</v>
      </c>
      <c r="AB90" s="1034">
        <f t="shared" si="60"/>
        <v>0</v>
      </c>
      <c r="AC90" s="1033">
        <f t="shared" si="76"/>
        <v>0</v>
      </c>
      <c r="AD90" s="1266">
        <f t="shared" si="61"/>
        <v>0</v>
      </c>
      <c r="AE90" s="1093">
        <f t="shared" si="77"/>
        <v>0</v>
      </c>
      <c r="AF90" s="1093">
        <f t="shared" si="78"/>
        <v>0</v>
      </c>
      <c r="AG90" s="1093">
        <f t="shared" si="62"/>
        <v>0</v>
      </c>
      <c r="AH90" s="1033" t="e">
        <f t="shared" si="63"/>
        <v>#DIV/0!</v>
      </c>
      <c r="AI90" s="1091">
        <f t="shared" si="64"/>
        <v>0</v>
      </c>
      <c r="AJ90" s="1094">
        <f t="shared" si="65"/>
        <v>0</v>
      </c>
      <c r="AK90" s="1053" t="str">
        <f t="shared" si="66"/>
        <v/>
      </c>
      <c r="AL90" s="1053"/>
      <c r="AM90" s="1290">
        <f>_xlfn.XLOOKUP(F90,Proveedores!A:A,Proveedores!G:G)</f>
        <v>0</v>
      </c>
      <c r="AN90" s="1095" t="str">
        <f t="shared" si="79"/>
        <v>OK</v>
      </c>
    </row>
    <row r="91" spans="1:40" ht="15.95">
      <c r="A91" s="1090" t="b">
        <f t="shared" si="54"/>
        <v>1</v>
      </c>
      <c r="B91" s="1091" t="b">
        <f t="shared" si="67"/>
        <v>1</v>
      </c>
      <c r="C91" s="1092" t="str">
        <f t="shared" si="68"/>
        <v>Dólares</v>
      </c>
      <c r="D91" s="11"/>
      <c r="E91" s="743"/>
      <c r="F91" s="17"/>
      <c r="G91" s="17" t="str">
        <f t="shared" si="55"/>
        <v xml:space="preserve"> </v>
      </c>
      <c r="H91" s="12">
        <v>0</v>
      </c>
      <c r="I91" s="16" t="str">
        <f>IFERROR(VLOOKUP(G91,Proveedores!B:C,2,0)," ")</f>
        <v xml:space="preserve"> </v>
      </c>
      <c r="J91" s="745">
        <v>0</v>
      </c>
      <c r="K91" s="745" t="str">
        <f t="shared" si="56"/>
        <v>Not Found</v>
      </c>
      <c r="L91" s="16">
        <f>IF(K91="Importado",Fletes!$B$66,0%)</f>
        <v>0</v>
      </c>
      <c r="M91" s="745">
        <f t="shared" si="69"/>
        <v>0</v>
      </c>
      <c r="N91" s="16">
        <f>IF(K91&lt;&gt;"Importado",0%,IF(Fletes!$B$67&lt;10,15%,IF(Fletes!$B$67&lt;20,10%,5%)))</f>
        <v>0</v>
      </c>
      <c r="O91" s="745" t="str">
        <f>IFERROR(IF(OR(F91="Offiho",F91="Lauco Sofas",F91="Requiez",F91="Labenze",F91="Sunon Mty",F91="Sonara"),(M91*(1-_xlfn.XLOOKUP(F91,Proveedores!A:A,Proveedores!I:I)))*(1+N91),((M91*(1-_xlfn.XLOOKUP(F91,Proveedores!A:A,Proveedores!I:I)))*(1+N91))+U91),"")</f>
        <v/>
      </c>
      <c r="P91" s="1031"/>
      <c r="Q91" s="1133">
        <f>IF(K91&lt;&gt;"Importado",0,IF(P91&gt;0,P91*H91,IFERROR(_xlfn.XLOOKUP(F91,Proveedores!A:A,Proveedores!F:F,0)*H91,0)))</f>
        <v>0</v>
      </c>
      <c r="R91" s="1134" t="e">
        <f t="shared" si="70"/>
        <v>#VALUE!</v>
      </c>
      <c r="S91" s="743"/>
      <c r="T91" s="1034" t="e">
        <f t="shared" si="57"/>
        <v>#N/A</v>
      </c>
      <c r="U91" s="1034" t="e">
        <f t="shared" si="71"/>
        <v>#N/A</v>
      </c>
      <c r="V91" s="1165" t="e">
        <f t="shared" si="58"/>
        <v>#N/A</v>
      </c>
      <c r="W91" s="1034" t="e">
        <f t="shared" si="72"/>
        <v>#N/A</v>
      </c>
      <c r="X91" s="1034" t="b">
        <f t="shared" si="73"/>
        <v>0</v>
      </c>
      <c r="Y91" s="1034">
        <f t="shared" si="74"/>
        <v>0</v>
      </c>
      <c r="Z91" s="1034">
        <f t="shared" si="75"/>
        <v>0</v>
      </c>
      <c r="AA91" s="1034">
        <f t="shared" si="59"/>
        <v>0</v>
      </c>
      <c r="AB91" s="1034">
        <f t="shared" si="60"/>
        <v>0</v>
      </c>
      <c r="AC91" s="1033">
        <f t="shared" si="76"/>
        <v>0</v>
      </c>
      <c r="AD91" s="1266">
        <f t="shared" si="61"/>
        <v>0</v>
      </c>
      <c r="AE91" s="1093">
        <f t="shared" si="77"/>
        <v>0</v>
      </c>
      <c r="AF91" s="1093">
        <f t="shared" si="78"/>
        <v>0</v>
      </c>
      <c r="AG91" s="1093">
        <f t="shared" si="62"/>
        <v>0</v>
      </c>
      <c r="AH91" s="1033" t="e">
        <f t="shared" si="63"/>
        <v>#DIV/0!</v>
      </c>
      <c r="AI91" s="1091">
        <f t="shared" si="64"/>
        <v>0</v>
      </c>
      <c r="AJ91" s="1094">
        <f t="shared" si="65"/>
        <v>0</v>
      </c>
      <c r="AK91" s="1053" t="str">
        <f t="shared" si="66"/>
        <v/>
      </c>
      <c r="AL91" s="1053"/>
      <c r="AM91" s="1290">
        <f>_xlfn.XLOOKUP(F91,Proveedores!A:A,Proveedores!G:G)</f>
        <v>0</v>
      </c>
      <c r="AN91" s="1095" t="str">
        <f t="shared" si="79"/>
        <v>OK</v>
      </c>
    </row>
    <row r="92" spans="1:40" ht="15.95">
      <c r="A92" s="1090" t="b">
        <f t="shared" si="54"/>
        <v>1</v>
      </c>
      <c r="B92" s="1091" t="b">
        <f t="shared" si="67"/>
        <v>1</v>
      </c>
      <c r="C92" s="1092" t="str">
        <f t="shared" si="68"/>
        <v>Dólares</v>
      </c>
      <c r="D92" s="11"/>
      <c r="E92" s="743"/>
      <c r="F92" s="17"/>
      <c r="G92" s="17" t="str">
        <f t="shared" si="55"/>
        <v xml:space="preserve"> </v>
      </c>
      <c r="H92" s="12">
        <v>0</v>
      </c>
      <c r="I92" s="16" t="str">
        <f>IFERROR(VLOOKUP(G92,Proveedores!B:C,2,0)," ")</f>
        <v xml:space="preserve"> </v>
      </c>
      <c r="J92" s="745">
        <v>0</v>
      </c>
      <c r="K92" s="745" t="str">
        <f t="shared" si="56"/>
        <v>Not Found</v>
      </c>
      <c r="L92" s="16">
        <f>IF(K92="Importado",Fletes!$B$66,0%)</f>
        <v>0</v>
      </c>
      <c r="M92" s="745">
        <f t="shared" si="69"/>
        <v>0</v>
      </c>
      <c r="N92" s="16">
        <f>IF(K92&lt;&gt;"Importado",0%,IF(Fletes!$B$67&lt;10,15%,IF(Fletes!$B$67&lt;20,10%,5%)))</f>
        <v>0</v>
      </c>
      <c r="O92" s="745" t="str">
        <f>IFERROR(IF(OR(F92="Offiho",F92="Lauco Sofas",F92="Requiez",F92="Labenze",F92="Sunon Mty",F92="Sonara"),(M92*(1-_xlfn.XLOOKUP(F92,Proveedores!A:A,Proveedores!I:I)))*(1+N92),((M92*(1-_xlfn.XLOOKUP(F92,Proveedores!A:A,Proveedores!I:I)))*(1+N92))+U92),"")</f>
        <v/>
      </c>
      <c r="P92" s="1031"/>
      <c r="Q92" s="1133">
        <f>IF(K92&lt;&gt;"Importado",0,IF(P92&gt;0,P92*H92,IFERROR(_xlfn.XLOOKUP(F92,Proveedores!A:A,Proveedores!F:F,0)*H92,0)))</f>
        <v>0</v>
      </c>
      <c r="R92" s="1134" t="e">
        <f t="shared" si="70"/>
        <v>#VALUE!</v>
      </c>
      <c r="S92" s="743"/>
      <c r="T92" s="1034" t="e">
        <f t="shared" si="57"/>
        <v>#N/A</v>
      </c>
      <c r="U92" s="1034" t="e">
        <f t="shared" si="71"/>
        <v>#N/A</v>
      </c>
      <c r="V92" s="1165" t="e">
        <f t="shared" si="58"/>
        <v>#N/A</v>
      </c>
      <c r="W92" s="1034" t="e">
        <f t="shared" si="72"/>
        <v>#N/A</v>
      </c>
      <c r="X92" s="1034" t="b">
        <f t="shared" si="73"/>
        <v>0</v>
      </c>
      <c r="Y92" s="1034">
        <f t="shared" si="74"/>
        <v>0</v>
      </c>
      <c r="Z92" s="1034">
        <f t="shared" si="75"/>
        <v>0</v>
      </c>
      <c r="AA92" s="1034">
        <f t="shared" si="59"/>
        <v>0</v>
      </c>
      <c r="AB92" s="1034">
        <f t="shared" si="60"/>
        <v>0</v>
      </c>
      <c r="AC92" s="1033">
        <f t="shared" si="76"/>
        <v>0</v>
      </c>
      <c r="AD92" s="1266">
        <f t="shared" si="61"/>
        <v>0</v>
      </c>
      <c r="AE92" s="1093">
        <f t="shared" si="77"/>
        <v>0</v>
      </c>
      <c r="AF92" s="1093">
        <f t="shared" si="78"/>
        <v>0</v>
      </c>
      <c r="AG92" s="1093">
        <f t="shared" si="62"/>
        <v>0</v>
      </c>
      <c r="AH92" s="1033" t="e">
        <f t="shared" si="63"/>
        <v>#DIV/0!</v>
      </c>
      <c r="AI92" s="1091">
        <f t="shared" si="64"/>
        <v>0</v>
      </c>
      <c r="AJ92" s="1094">
        <f t="shared" si="65"/>
        <v>0</v>
      </c>
      <c r="AK92" s="1053" t="str">
        <f t="shared" si="66"/>
        <v/>
      </c>
      <c r="AL92" s="1053"/>
      <c r="AM92" s="1290">
        <f>_xlfn.XLOOKUP(F92,Proveedores!A:A,Proveedores!G:G)</f>
        <v>0</v>
      </c>
      <c r="AN92" s="1095" t="str">
        <f t="shared" si="79"/>
        <v>OK</v>
      </c>
    </row>
    <row r="93" spans="1:40" ht="15.95">
      <c r="A93" s="1090" t="b">
        <f t="shared" si="54"/>
        <v>1</v>
      </c>
      <c r="B93" s="1091" t="b">
        <f t="shared" si="67"/>
        <v>1</v>
      </c>
      <c r="C93" s="1092" t="str">
        <f t="shared" si="68"/>
        <v>Dólares</v>
      </c>
      <c r="D93" s="11"/>
      <c r="E93" s="743"/>
      <c r="F93" s="17"/>
      <c r="G93" s="17" t="str">
        <f t="shared" si="55"/>
        <v xml:space="preserve"> </v>
      </c>
      <c r="H93" s="12">
        <v>0</v>
      </c>
      <c r="I93" s="16" t="str">
        <f>IFERROR(VLOOKUP(G93,Proveedores!B:C,2,0)," ")</f>
        <v xml:space="preserve"> </v>
      </c>
      <c r="J93" s="745">
        <v>0</v>
      </c>
      <c r="K93" s="745" t="str">
        <f t="shared" si="56"/>
        <v>Not Found</v>
      </c>
      <c r="L93" s="16">
        <f>IF(K93="Importado",Fletes!$B$66,0%)</f>
        <v>0</v>
      </c>
      <c r="M93" s="745">
        <f t="shared" si="69"/>
        <v>0</v>
      </c>
      <c r="N93" s="16">
        <f>IF(K93&lt;&gt;"Importado",0%,IF(Fletes!$B$67&lt;10,15%,IF(Fletes!$B$67&lt;20,10%,5%)))</f>
        <v>0</v>
      </c>
      <c r="O93" s="745" t="str">
        <f>IFERROR(IF(OR(F93="Offiho",F93="Lauco Sofas",F93="Requiez",F93="Labenze",F93="Sunon Mty",F93="Sonara"),(M93*(1-_xlfn.XLOOKUP(F93,Proveedores!A:A,Proveedores!I:I)))*(1+N93),((M93*(1-_xlfn.XLOOKUP(F93,Proveedores!A:A,Proveedores!I:I)))*(1+N93))+U93),"")</f>
        <v/>
      </c>
      <c r="P93" s="1031"/>
      <c r="Q93" s="1133">
        <f>IF(K93&lt;&gt;"Importado",0,IF(P93&gt;0,P93*H93,IFERROR(_xlfn.XLOOKUP(F93,Proveedores!A:A,Proveedores!F:F,0)*H93,0)))</f>
        <v>0</v>
      </c>
      <c r="R93" s="1134" t="e">
        <f t="shared" si="70"/>
        <v>#VALUE!</v>
      </c>
      <c r="S93" s="743"/>
      <c r="T93" s="1034" t="e">
        <f t="shared" si="57"/>
        <v>#N/A</v>
      </c>
      <c r="U93" s="1034" t="e">
        <f t="shared" si="71"/>
        <v>#N/A</v>
      </c>
      <c r="V93" s="1165" t="e">
        <f t="shared" si="58"/>
        <v>#N/A</v>
      </c>
      <c r="W93" s="1034" t="e">
        <f t="shared" si="72"/>
        <v>#N/A</v>
      </c>
      <c r="X93" s="1034" t="b">
        <f t="shared" si="73"/>
        <v>0</v>
      </c>
      <c r="Y93" s="1034">
        <f t="shared" si="74"/>
        <v>0</v>
      </c>
      <c r="Z93" s="1034">
        <f t="shared" si="75"/>
        <v>0</v>
      </c>
      <c r="AA93" s="1034">
        <f t="shared" si="59"/>
        <v>0</v>
      </c>
      <c r="AB93" s="1034">
        <f t="shared" si="60"/>
        <v>0</v>
      </c>
      <c r="AC93" s="1033">
        <f t="shared" si="76"/>
        <v>0</v>
      </c>
      <c r="AD93" s="1266">
        <f t="shared" si="61"/>
        <v>0</v>
      </c>
      <c r="AE93" s="1093">
        <f t="shared" si="77"/>
        <v>0</v>
      </c>
      <c r="AF93" s="1093">
        <f t="shared" si="78"/>
        <v>0</v>
      </c>
      <c r="AG93" s="1093">
        <f t="shared" si="62"/>
        <v>0</v>
      </c>
      <c r="AH93" s="1033" t="e">
        <f t="shared" si="63"/>
        <v>#DIV/0!</v>
      </c>
      <c r="AI93" s="1091">
        <f t="shared" si="64"/>
        <v>0</v>
      </c>
      <c r="AJ93" s="1094">
        <f t="shared" si="65"/>
        <v>0</v>
      </c>
      <c r="AK93" s="1053" t="str">
        <f t="shared" si="66"/>
        <v/>
      </c>
      <c r="AL93" s="1053"/>
      <c r="AM93" s="1290">
        <f>_xlfn.XLOOKUP(F93,Proveedores!A:A,Proveedores!G:G)</f>
        <v>0</v>
      </c>
      <c r="AN93" s="1095" t="str">
        <f t="shared" si="79"/>
        <v>OK</v>
      </c>
    </row>
    <row r="94" spans="1:40" ht="15.95">
      <c r="A94" s="1090" t="b">
        <f t="shared" si="54"/>
        <v>1</v>
      </c>
      <c r="B94" s="1091" t="b">
        <f t="shared" si="67"/>
        <v>1</v>
      </c>
      <c r="C94" s="1092" t="str">
        <f t="shared" si="68"/>
        <v>Dólares</v>
      </c>
      <c r="D94" s="11"/>
      <c r="E94" s="743"/>
      <c r="F94" s="17"/>
      <c r="G94" s="17" t="str">
        <f t="shared" si="55"/>
        <v xml:space="preserve"> </v>
      </c>
      <c r="H94" s="12">
        <v>0</v>
      </c>
      <c r="I94" s="16" t="str">
        <f>IFERROR(VLOOKUP(G94,Proveedores!B:C,2,0)," ")</f>
        <v xml:space="preserve"> </v>
      </c>
      <c r="J94" s="745">
        <v>0</v>
      </c>
      <c r="K94" s="745" t="str">
        <f t="shared" si="56"/>
        <v>Not Found</v>
      </c>
      <c r="L94" s="16">
        <f>IF(K94="Importado",Fletes!$B$66,0%)</f>
        <v>0</v>
      </c>
      <c r="M94" s="745">
        <f t="shared" si="69"/>
        <v>0</v>
      </c>
      <c r="N94" s="16">
        <f>IF(K94&lt;&gt;"Importado",0%,IF(Fletes!$B$67&lt;10,15%,IF(Fletes!$B$67&lt;20,10%,5%)))</f>
        <v>0</v>
      </c>
      <c r="O94" s="745" t="str">
        <f>IFERROR(IF(OR(F94="Offiho",F94="Lauco Sofas",F94="Requiez",F94="Labenze",F94="Sunon Mty",F94="Sonara"),(M94*(1-_xlfn.XLOOKUP(F94,Proveedores!A:A,Proveedores!I:I)))*(1+N94),((M94*(1-_xlfn.XLOOKUP(F94,Proveedores!A:A,Proveedores!I:I)))*(1+N94))+U94),"")</f>
        <v/>
      </c>
      <c r="P94" s="1031"/>
      <c r="Q94" s="1133">
        <f>IF(K94&lt;&gt;"Importado",0,IF(P94&gt;0,P94*H94,IFERROR(_xlfn.XLOOKUP(F94,Proveedores!A:A,Proveedores!F:F,0)*H94,0)))</f>
        <v>0</v>
      </c>
      <c r="R94" s="1134" t="e">
        <f t="shared" si="70"/>
        <v>#VALUE!</v>
      </c>
      <c r="S94" s="743"/>
      <c r="T94" s="1034" t="e">
        <f t="shared" si="57"/>
        <v>#N/A</v>
      </c>
      <c r="U94" s="1034" t="e">
        <f t="shared" si="71"/>
        <v>#N/A</v>
      </c>
      <c r="V94" s="1165" t="e">
        <f t="shared" si="58"/>
        <v>#N/A</v>
      </c>
      <c r="W94" s="1034" t="e">
        <f t="shared" si="72"/>
        <v>#N/A</v>
      </c>
      <c r="X94" s="1034" t="b">
        <f t="shared" si="73"/>
        <v>0</v>
      </c>
      <c r="Y94" s="1034">
        <f t="shared" si="74"/>
        <v>0</v>
      </c>
      <c r="Z94" s="1034">
        <f t="shared" si="75"/>
        <v>0</v>
      </c>
      <c r="AA94" s="1034">
        <f t="shared" si="59"/>
        <v>0</v>
      </c>
      <c r="AB94" s="1034">
        <f t="shared" si="60"/>
        <v>0</v>
      </c>
      <c r="AC94" s="1033">
        <f t="shared" si="76"/>
        <v>0</v>
      </c>
      <c r="AD94" s="1266">
        <f t="shared" si="61"/>
        <v>0</v>
      </c>
      <c r="AE94" s="1093">
        <f t="shared" si="77"/>
        <v>0</v>
      </c>
      <c r="AF94" s="1093">
        <f t="shared" si="78"/>
        <v>0</v>
      </c>
      <c r="AG94" s="1093">
        <f t="shared" si="62"/>
        <v>0</v>
      </c>
      <c r="AH94" s="1033" t="e">
        <f t="shared" si="63"/>
        <v>#DIV/0!</v>
      </c>
      <c r="AI94" s="1091">
        <f t="shared" si="64"/>
        <v>0</v>
      </c>
      <c r="AJ94" s="1094">
        <f t="shared" si="65"/>
        <v>0</v>
      </c>
      <c r="AK94" s="1053" t="str">
        <f t="shared" si="66"/>
        <v/>
      </c>
      <c r="AL94" s="1053"/>
      <c r="AM94" s="1290">
        <f>_xlfn.XLOOKUP(F94,Proveedores!A:A,Proveedores!G:G)</f>
        <v>0</v>
      </c>
      <c r="AN94" s="1095" t="str">
        <f t="shared" si="79"/>
        <v>OK</v>
      </c>
    </row>
    <row r="95" spans="1:40" ht="15.95">
      <c r="A95" s="1090" t="b">
        <f t="shared" si="54"/>
        <v>1</v>
      </c>
      <c r="B95" s="1091" t="b">
        <f t="shared" si="67"/>
        <v>1</v>
      </c>
      <c r="C95" s="1092" t="str">
        <f t="shared" si="68"/>
        <v>Dólares</v>
      </c>
      <c r="D95" s="13"/>
      <c r="E95" s="743"/>
      <c r="F95" s="17"/>
      <c r="G95" s="17" t="str">
        <f t="shared" si="55"/>
        <v xml:space="preserve"> </v>
      </c>
      <c r="H95" s="12">
        <v>0</v>
      </c>
      <c r="I95" s="16" t="str">
        <f>IFERROR(VLOOKUP(G95,Proveedores!B:C,2,0)," ")</f>
        <v xml:space="preserve"> </v>
      </c>
      <c r="J95" s="745">
        <v>0</v>
      </c>
      <c r="K95" s="745" t="str">
        <f t="shared" si="56"/>
        <v>Not Found</v>
      </c>
      <c r="L95" s="16">
        <f>IF(K95="Importado",Fletes!$B$66,0%)</f>
        <v>0</v>
      </c>
      <c r="M95" s="745">
        <f t="shared" si="69"/>
        <v>0</v>
      </c>
      <c r="N95" s="16">
        <f>IF(K95&lt;&gt;"Importado",0%,IF(Fletes!$B$67&lt;10,15%,IF(Fletes!$B$67&lt;20,10%,5%)))</f>
        <v>0</v>
      </c>
      <c r="O95" s="745" t="str">
        <f>IFERROR(IF(OR(F95="Offiho",F95="Lauco Sofas",F95="Requiez",F95="Labenze",F95="Sunon Mty",F95="Sonara"),(M95*(1-_xlfn.XLOOKUP(F95,Proveedores!A:A,Proveedores!I:I)))*(1+N95),((M95*(1-_xlfn.XLOOKUP(F95,Proveedores!A:A,Proveedores!I:I)))*(1+N95))+U95),"")</f>
        <v/>
      </c>
      <c r="P95" s="1031"/>
      <c r="Q95" s="1133">
        <f>IF(K95&lt;&gt;"Importado",0,IF(P95&gt;0,P95*H95,IFERROR(_xlfn.XLOOKUP(F95,Proveedores!A:A,Proveedores!F:F,0)*H95,0)))</f>
        <v>0</v>
      </c>
      <c r="R95" s="1134" t="e">
        <f t="shared" si="70"/>
        <v>#VALUE!</v>
      </c>
      <c r="S95" s="743"/>
      <c r="T95" s="1034" t="e">
        <f t="shared" si="57"/>
        <v>#N/A</v>
      </c>
      <c r="U95" s="1034" t="e">
        <f t="shared" si="71"/>
        <v>#N/A</v>
      </c>
      <c r="V95" s="1165" t="e">
        <f t="shared" si="58"/>
        <v>#N/A</v>
      </c>
      <c r="W95" s="1034" t="e">
        <f t="shared" si="72"/>
        <v>#N/A</v>
      </c>
      <c r="X95" s="1034" t="b">
        <f t="shared" si="73"/>
        <v>0</v>
      </c>
      <c r="Y95" s="1034">
        <f t="shared" si="74"/>
        <v>0</v>
      </c>
      <c r="Z95" s="1034">
        <f t="shared" si="75"/>
        <v>0</v>
      </c>
      <c r="AA95" s="1034">
        <f t="shared" si="59"/>
        <v>0</v>
      </c>
      <c r="AB95" s="1034">
        <f t="shared" si="60"/>
        <v>0</v>
      </c>
      <c r="AC95" s="1033">
        <f t="shared" si="76"/>
        <v>0</v>
      </c>
      <c r="AD95" s="1266">
        <f t="shared" si="61"/>
        <v>0</v>
      </c>
      <c r="AE95" s="1093">
        <f t="shared" si="77"/>
        <v>0</v>
      </c>
      <c r="AF95" s="1093">
        <f t="shared" si="78"/>
        <v>0</v>
      </c>
      <c r="AG95" s="1093">
        <f t="shared" si="62"/>
        <v>0</v>
      </c>
      <c r="AH95" s="1033" t="e">
        <f t="shared" si="63"/>
        <v>#DIV/0!</v>
      </c>
      <c r="AI95" s="1091">
        <f t="shared" si="64"/>
        <v>0</v>
      </c>
      <c r="AJ95" s="1094">
        <f t="shared" si="65"/>
        <v>0</v>
      </c>
      <c r="AK95" s="1053" t="str">
        <f t="shared" si="66"/>
        <v/>
      </c>
      <c r="AL95" s="1053"/>
      <c r="AM95" s="1290">
        <f>_xlfn.XLOOKUP(F95,Proveedores!A:A,Proveedores!G:G)</f>
        <v>0</v>
      </c>
      <c r="AN95" s="1095" t="str">
        <f t="shared" si="79"/>
        <v>OK</v>
      </c>
    </row>
    <row r="96" spans="1:40" ht="15.95">
      <c r="A96" s="1090" t="b">
        <f t="shared" si="54"/>
        <v>1</v>
      </c>
      <c r="B96" s="1091" t="b">
        <f t="shared" si="67"/>
        <v>1</v>
      </c>
      <c r="C96" s="1092" t="str">
        <f t="shared" si="68"/>
        <v>Dólares</v>
      </c>
      <c r="D96" s="13"/>
      <c r="E96" s="743"/>
      <c r="F96" s="17"/>
      <c r="G96" s="17" t="str">
        <f t="shared" si="55"/>
        <v xml:space="preserve"> </v>
      </c>
      <c r="H96" s="12">
        <v>0</v>
      </c>
      <c r="I96" s="16" t="str">
        <f>IFERROR(VLOOKUP(G96,Proveedores!B:C,2,0)," ")</f>
        <v xml:space="preserve"> </v>
      </c>
      <c r="J96" s="745">
        <v>0</v>
      </c>
      <c r="K96" s="745" t="str">
        <f t="shared" si="56"/>
        <v>Not Found</v>
      </c>
      <c r="L96" s="16">
        <f>IF(K96="Importado",Fletes!$B$66,0%)</f>
        <v>0</v>
      </c>
      <c r="M96" s="745">
        <f t="shared" si="69"/>
        <v>0</v>
      </c>
      <c r="N96" s="16">
        <f>IF(K96&lt;&gt;"Importado",0%,IF(Fletes!$B$67&lt;10,15%,IF(Fletes!$B$67&lt;20,10%,5%)))</f>
        <v>0</v>
      </c>
      <c r="O96" s="745" t="str">
        <f>IFERROR(IF(OR(F96="Offiho",F96="Lauco Sofas",F96="Requiez",F96="Labenze",F96="Sunon Mty",F96="Sonara"),(M96*(1-_xlfn.XLOOKUP(F96,Proveedores!A:A,Proveedores!I:I)))*(1+N96),((M96*(1-_xlfn.XLOOKUP(F96,Proveedores!A:A,Proveedores!I:I)))*(1+N96))+U96),"")</f>
        <v/>
      </c>
      <c r="P96" s="1031"/>
      <c r="Q96" s="1133">
        <f>IF(K96&lt;&gt;"Importado",0,IF(P96&gt;0,P96*H96,IFERROR(_xlfn.XLOOKUP(F96,Proveedores!A:A,Proveedores!F:F,0)*H96,0)))</f>
        <v>0</v>
      </c>
      <c r="R96" s="1134" t="e">
        <f t="shared" si="70"/>
        <v>#VALUE!</v>
      </c>
      <c r="S96" s="743"/>
      <c r="T96" s="1034" t="e">
        <f t="shared" si="57"/>
        <v>#N/A</v>
      </c>
      <c r="U96" s="1034" t="e">
        <f t="shared" si="71"/>
        <v>#N/A</v>
      </c>
      <c r="V96" s="1165" t="e">
        <f t="shared" si="58"/>
        <v>#N/A</v>
      </c>
      <c r="W96" s="1034" t="e">
        <f t="shared" si="72"/>
        <v>#N/A</v>
      </c>
      <c r="X96" s="1034" t="b">
        <f t="shared" si="73"/>
        <v>0</v>
      </c>
      <c r="Y96" s="1034">
        <f t="shared" si="74"/>
        <v>0</v>
      </c>
      <c r="Z96" s="1034">
        <f t="shared" si="75"/>
        <v>0</v>
      </c>
      <c r="AA96" s="1034">
        <f t="shared" si="59"/>
        <v>0</v>
      </c>
      <c r="AB96" s="1034">
        <f t="shared" si="60"/>
        <v>0</v>
      </c>
      <c r="AC96" s="1033">
        <f t="shared" si="76"/>
        <v>0</v>
      </c>
      <c r="AD96" s="1266">
        <f t="shared" si="61"/>
        <v>0</v>
      </c>
      <c r="AE96" s="1093">
        <f t="shared" si="77"/>
        <v>0</v>
      </c>
      <c r="AF96" s="1093">
        <f t="shared" si="78"/>
        <v>0</v>
      </c>
      <c r="AG96" s="1093">
        <f t="shared" si="62"/>
        <v>0</v>
      </c>
      <c r="AH96" s="1033" t="e">
        <f t="shared" si="63"/>
        <v>#DIV/0!</v>
      </c>
      <c r="AI96" s="1091">
        <f t="shared" si="64"/>
        <v>0</v>
      </c>
      <c r="AJ96" s="1094">
        <f t="shared" si="65"/>
        <v>0</v>
      </c>
      <c r="AK96" s="1053" t="str">
        <f t="shared" si="66"/>
        <v/>
      </c>
      <c r="AL96" s="1053"/>
      <c r="AM96" s="1290">
        <f>_xlfn.XLOOKUP(F96,Proveedores!A:A,Proveedores!G:G)</f>
        <v>0</v>
      </c>
      <c r="AN96" s="1095" t="str">
        <f t="shared" si="79"/>
        <v>OK</v>
      </c>
    </row>
    <row r="97" spans="1:40" ht="15.95">
      <c r="A97" s="1090" t="b">
        <f t="shared" si="54"/>
        <v>1</v>
      </c>
      <c r="B97" s="1091" t="b">
        <f t="shared" si="67"/>
        <v>1</v>
      </c>
      <c r="C97" s="1092" t="str">
        <f t="shared" si="68"/>
        <v>Dólares</v>
      </c>
      <c r="D97" s="13"/>
      <c r="E97" s="743"/>
      <c r="F97" s="17"/>
      <c r="G97" s="17" t="str">
        <f t="shared" si="55"/>
        <v xml:space="preserve"> </v>
      </c>
      <c r="H97" s="12">
        <v>0</v>
      </c>
      <c r="I97" s="16" t="str">
        <f>IFERROR(VLOOKUP(G97,Proveedores!B:C,2,0)," ")</f>
        <v xml:space="preserve"> </v>
      </c>
      <c r="J97" s="745">
        <v>0</v>
      </c>
      <c r="K97" s="745" t="str">
        <f t="shared" si="56"/>
        <v>Not Found</v>
      </c>
      <c r="L97" s="16">
        <f>IF(K97="Importado",Fletes!$B$66,0%)</f>
        <v>0</v>
      </c>
      <c r="M97" s="745">
        <f t="shared" si="69"/>
        <v>0</v>
      </c>
      <c r="N97" s="16">
        <f>IF(K97&lt;&gt;"Importado",0%,IF(Fletes!$B$67&lt;10,15%,IF(Fletes!$B$67&lt;20,10%,5%)))</f>
        <v>0</v>
      </c>
      <c r="O97" s="745" t="str">
        <f>IFERROR(IF(OR(F97="Offiho",F97="Lauco Sofas",F97="Requiez",F97="Labenze",F97="Sunon Mty",F97="Sonara"),(M97*(1-_xlfn.XLOOKUP(F97,Proveedores!A:A,Proveedores!I:I)))*(1+N97),((M97*(1-_xlfn.XLOOKUP(F97,Proveedores!A:A,Proveedores!I:I)))*(1+N97))+U97),"")</f>
        <v/>
      </c>
      <c r="P97" s="1031"/>
      <c r="Q97" s="1133">
        <f>IF(K97&lt;&gt;"Importado",0,IF(P97&gt;0,P97*H97,IFERROR(_xlfn.XLOOKUP(F97,Proveedores!A:A,Proveedores!F:F,0)*H97,0)))</f>
        <v>0</v>
      </c>
      <c r="R97" s="1134" t="e">
        <f t="shared" si="70"/>
        <v>#VALUE!</v>
      </c>
      <c r="S97" s="743"/>
      <c r="T97" s="1034" t="e">
        <f t="shared" si="57"/>
        <v>#N/A</v>
      </c>
      <c r="U97" s="1034" t="e">
        <f t="shared" si="71"/>
        <v>#N/A</v>
      </c>
      <c r="V97" s="1165" t="e">
        <f t="shared" si="58"/>
        <v>#N/A</v>
      </c>
      <c r="W97" s="1034" t="e">
        <f t="shared" si="72"/>
        <v>#N/A</v>
      </c>
      <c r="X97" s="1034" t="b">
        <f t="shared" si="73"/>
        <v>0</v>
      </c>
      <c r="Y97" s="1034">
        <f t="shared" si="74"/>
        <v>0</v>
      </c>
      <c r="Z97" s="1034">
        <f t="shared" si="75"/>
        <v>0</v>
      </c>
      <c r="AA97" s="1034">
        <f t="shared" si="59"/>
        <v>0</v>
      </c>
      <c r="AB97" s="1034">
        <f t="shared" si="60"/>
        <v>0</v>
      </c>
      <c r="AC97" s="1033">
        <f t="shared" si="76"/>
        <v>0</v>
      </c>
      <c r="AD97" s="1266">
        <f t="shared" si="61"/>
        <v>0</v>
      </c>
      <c r="AE97" s="1093">
        <f t="shared" si="77"/>
        <v>0</v>
      </c>
      <c r="AF97" s="1093">
        <f t="shared" si="78"/>
        <v>0</v>
      </c>
      <c r="AG97" s="1093">
        <f t="shared" si="62"/>
        <v>0</v>
      </c>
      <c r="AH97" s="1033" t="e">
        <f t="shared" si="63"/>
        <v>#DIV/0!</v>
      </c>
      <c r="AI97" s="1091">
        <f t="shared" si="64"/>
        <v>0</v>
      </c>
      <c r="AJ97" s="1094">
        <f t="shared" si="65"/>
        <v>0</v>
      </c>
      <c r="AK97" s="1053" t="str">
        <f t="shared" si="66"/>
        <v/>
      </c>
      <c r="AL97" s="1053"/>
      <c r="AM97" s="1290">
        <f>_xlfn.XLOOKUP(F97,Proveedores!A:A,Proveedores!G:G)</f>
        <v>0</v>
      </c>
      <c r="AN97" s="1095" t="str">
        <f t="shared" si="79"/>
        <v>OK</v>
      </c>
    </row>
    <row r="98" spans="1:40" ht="15.95">
      <c r="A98" s="1090" t="b">
        <f t="shared" si="54"/>
        <v>1</v>
      </c>
      <c r="B98" s="1091" t="b">
        <f t="shared" si="67"/>
        <v>1</v>
      </c>
      <c r="C98" s="1092" t="str">
        <f t="shared" si="68"/>
        <v>Dólares</v>
      </c>
      <c r="D98" s="13"/>
      <c r="E98" s="743"/>
      <c r="F98" s="17"/>
      <c r="G98" s="17" t="str">
        <f t="shared" si="55"/>
        <v xml:space="preserve"> </v>
      </c>
      <c r="H98" s="12">
        <v>0</v>
      </c>
      <c r="I98" s="16" t="str">
        <f>IFERROR(VLOOKUP(G98,Proveedores!B:C,2,0)," ")</f>
        <v xml:space="preserve"> </v>
      </c>
      <c r="J98" s="745">
        <v>0</v>
      </c>
      <c r="K98" s="745" t="str">
        <f t="shared" si="56"/>
        <v>Not Found</v>
      </c>
      <c r="L98" s="16">
        <f>IF(K98="Importado",Fletes!$B$66,0%)</f>
        <v>0</v>
      </c>
      <c r="M98" s="745">
        <f t="shared" si="69"/>
        <v>0</v>
      </c>
      <c r="N98" s="16">
        <f>IF(K98&lt;&gt;"Importado",0%,IF(Fletes!$B$67&lt;10,15%,IF(Fletes!$B$67&lt;20,10%,5%)))</f>
        <v>0</v>
      </c>
      <c r="O98" s="745" t="str">
        <f>IFERROR(IF(OR(F98="Offiho",F98="Lauco Sofas",F98="Requiez",F98="Labenze",F98="Sunon Mty",F98="Sonara"),(M98*(1-_xlfn.XLOOKUP(F98,Proveedores!A:A,Proveedores!I:I)))*(1+N98),((M98*(1-_xlfn.XLOOKUP(F98,Proveedores!A:A,Proveedores!I:I)))*(1+N98))+U98),"")</f>
        <v/>
      </c>
      <c r="P98" s="1031"/>
      <c r="Q98" s="1133">
        <f>IF(K98&lt;&gt;"Importado",0,IF(P98&gt;0,P98*H98,IFERROR(_xlfn.XLOOKUP(F98,Proveedores!A:A,Proveedores!F:F,0)*H98,0)))</f>
        <v>0</v>
      </c>
      <c r="R98" s="1134" t="e">
        <f t="shared" si="70"/>
        <v>#VALUE!</v>
      </c>
      <c r="S98" s="743"/>
      <c r="T98" s="1034" t="e">
        <f t="shared" si="57"/>
        <v>#N/A</v>
      </c>
      <c r="U98" s="1034" t="e">
        <f t="shared" si="71"/>
        <v>#N/A</v>
      </c>
      <c r="V98" s="1165" t="e">
        <f t="shared" si="58"/>
        <v>#N/A</v>
      </c>
      <c r="W98" s="1034" t="e">
        <f t="shared" si="72"/>
        <v>#N/A</v>
      </c>
      <c r="X98" s="1034" t="b">
        <f t="shared" si="73"/>
        <v>0</v>
      </c>
      <c r="Y98" s="1034">
        <f t="shared" si="74"/>
        <v>0</v>
      </c>
      <c r="Z98" s="1034">
        <f t="shared" si="75"/>
        <v>0</v>
      </c>
      <c r="AA98" s="1034">
        <f t="shared" si="59"/>
        <v>0</v>
      </c>
      <c r="AB98" s="1034">
        <f t="shared" si="60"/>
        <v>0</v>
      </c>
      <c r="AC98" s="1033">
        <f t="shared" si="76"/>
        <v>0</v>
      </c>
      <c r="AD98" s="1266">
        <f t="shared" si="61"/>
        <v>0</v>
      </c>
      <c r="AE98" s="1093">
        <f t="shared" si="77"/>
        <v>0</v>
      </c>
      <c r="AF98" s="1093">
        <f t="shared" si="78"/>
        <v>0</v>
      </c>
      <c r="AG98" s="1093">
        <f t="shared" si="62"/>
        <v>0</v>
      </c>
      <c r="AH98" s="1033" t="e">
        <f t="shared" si="63"/>
        <v>#DIV/0!</v>
      </c>
      <c r="AI98" s="1091">
        <f t="shared" si="64"/>
        <v>0</v>
      </c>
      <c r="AJ98" s="1094">
        <f t="shared" si="65"/>
        <v>0</v>
      </c>
      <c r="AK98" s="1053" t="str">
        <f t="shared" si="66"/>
        <v/>
      </c>
      <c r="AL98" s="1053"/>
      <c r="AM98" s="1290">
        <f>_xlfn.XLOOKUP(F98,Proveedores!A:A,Proveedores!G:G)</f>
        <v>0</v>
      </c>
      <c r="AN98" s="1095" t="str">
        <f t="shared" si="79"/>
        <v>OK</v>
      </c>
    </row>
    <row r="99" spans="1:40" ht="15.95">
      <c r="A99" s="1090" t="b">
        <f t="shared" si="54"/>
        <v>1</v>
      </c>
      <c r="B99" s="1091" t="b">
        <f t="shared" si="67"/>
        <v>1</v>
      </c>
      <c r="C99" s="1092" t="str">
        <f t="shared" si="68"/>
        <v>Dólares</v>
      </c>
      <c r="D99" s="13"/>
      <c r="E99" s="743"/>
      <c r="F99" s="17"/>
      <c r="G99" s="17" t="str">
        <f t="shared" si="55"/>
        <v xml:space="preserve"> </v>
      </c>
      <c r="H99" s="12">
        <v>0</v>
      </c>
      <c r="I99" s="16" t="str">
        <f>IFERROR(VLOOKUP(G99,Proveedores!B:C,2,0)," ")</f>
        <v xml:space="preserve"> </v>
      </c>
      <c r="J99" s="745">
        <v>0</v>
      </c>
      <c r="K99" s="745" t="str">
        <f t="shared" si="56"/>
        <v>Not Found</v>
      </c>
      <c r="L99" s="16">
        <f>IF(K99="Importado",Fletes!$B$66,0%)</f>
        <v>0</v>
      </c>
      <c r="M99" s="745">
        <f t="shared" si="69"/>
        <v>0</v>
      </c>
      <c r="N99" s="16">
        <f>IF(K99&lt;&gt;"Importado",0%,IF(Fletes!$B$67&lt;10,15%,IF(Fletes!$B$67&lt;20,10%,5%)))</f>
        <v>0</v>
      </c>
      <c r="O99" s="745" t="str">
        <f>IFERROR(IF(OR(F99="Offiho",F99="Lauco Sofas",F99="Requiez",F99="Labenze",F99="Sunon Mty",F99="Sonara"),(M99*(1-_xlfn.XLOOKUP(F99,Proveedores!A:A,Proveedores!I:I)))*(1+N99),((M99*(1-_xlfn.XLOOKUP(F99,Proveedores!A:A,Proveedores!I:I)))*(1+N99))+U99),"")</f>
        <v/>
      </c>
      <c r="P99" s="1031"/>
      <c r="Q99" s="1133">
        <f>IF(K99&lt;&gt;"Importado",0,IF(P99&gt;0,P99*H99,IFERROR(_xlfn.XLOOKUP(F99,Proveedores!A:A,Proveedores!F:F,0)*H99,0)))</f>
        <v>0</v>
      </c>
      <c r="R99" s="1134" t="e">
        <f t="shared" si="70"/>
        <v>#VALUE!</v>
      </c>
      <c r="S99" s="743"/>
      <c r="T99" s="1034" t="e">
        <f t="shared" si="57"/>
        <v>#N/A</v>
      </c>
      <c r="U99" s="1034" t="e">
        <f t="shared" si="71"/>
        <v>#N/A</v>
      </c>
      <c r="V99" s="1165" t="e">
        <f t="shared" si="58"/>
        <v>#N/A</v>
      </c>
      <c r="W99" s="1034" t="e">
        <f t="shared" si="72"/>
        <v>#N/A</v>
      </c>
      <c r="X99" s="1034" t="b">
        <f t="shared" si="73"/>
        <v>0</v>
      </c>
      <c r="Y99" s="1034">
        <f t="shared" si="74"/>
        <v>0</v>
      </c>
      <c r="Z99" s="1034">
        <f t="shared" si="75"/>
        <v>0</v>
      </c>
      <c r="AA99" s="1034">
        <f t="shared" si="59"/>
        <v>0</v>
      </c>
      <c r="AB99" s="1034">
        <f t="shared" si="60"/>
        <v>0</v>
      </c>
      <c r="AC99" s="1033">
        <f t="shared" si="76"/>
        <v>0</v>
      </c>
      <c r="AD99" s="1266">
        <f t="shared" si="61"/>
        <v>0</v>
      </c>
      <c r="AE99" s="1093">
        <f t="shared" si="77"/>
        <v>0</v>
      </c>
      <c r="AF99" s="1093">
        <f t="shared" si="78"/>
        <v>0</v>
      </c>
      <c r="AG99" s="1093">
        <f t="shared" si="62"/>
        <v>0</v>
      </c>
      <c r="AH99" s="1033" t="e">
        <f t="shared" si="63"/>
        <v>#DIV/0!</v>
      </c>
      <c r="AI99" s="1091">
        <f t="shared" si="64"/>
        <v>0</v>
      </c>
      <c r="AJ99" s="1094">
        <f t="shared" si="65"/>
        <v>0</v>
      </c>
      <c r="AK99" s="1053" t="str">
        <f t="shared" si="66"/>
        <v/>
      </c>
      <c r="AL99" s="1053"/>
      <c r="AM99" s="1290">
        <f>_xlfn.XLOOKUP(F99,Proveedores!A:A,Proveedores!G:G)</f>
        <v>0</v>
      </c>
      <c r="AN99" s="1095" t="str">
        <f t="shared" si="79"/>
        <v>OK</v>
      </c>
    </row>
    <row r="100" spans="1:40" ht="15.95">
      <c r="A100" s="1090" t="b">
        <f t="shared" si="54"/>
        <v>1</v>
      </c>
      <c r="B100" s="1091" t="b">
        <f t="shared" si="67"/>
        <v>1</v>
      </c>
      <c r="C100" s="1092" t="str">
        <f t="shared" si="68"/>
        <v>Dólares</v>
      </c>
      <c r="D100" s="13"/>
      <c r="E100" s="743"/>
      <c r="F100" s="17"/>
      <c r="G100" s="17" t="str">
        <f t="shared" si="55"/>
        <v xml:space="preserve"> </v>
      </c>
      <c r="H100" s="12">
        <v>0</v>
      </c>
      <c r="I100" s="16" t="str">
        <f>IFERROR(VLOOKUP(G100,Proveedores!B:C,2,0)," ")</f>
        <v xml:space="preserve"> </v>
      </c>
      <c r="J100" s="745">
        <v>0</v>
      </c>
      <c r="K100" s="745" t="str">
        <f t="shared" si="56"/>
        <v>Not Found</v>
      </c>
      <c r="L100" s="16">
        <f>IF(K100="Importado",Fletes!$B$66,0%)</f>
        <v>0</v>
      </c>
      <c r="M100" s="745">
        <f t="shared" si="69"/>
        <v>0</v>
      </c>
      <c r="N100" s="16">
        <f>IF(K100&lt;&gt;"Importado",0%,IF(Fletes!$B$67&lt;10,15%,IF(Fletes!$B$67&lt;20,10%,5%)))</f>
        <v>0</v>
      </c>
      <c r="O100" s="745" t="str">
        <f>IFERROR(IF(OR(F100="Offiho",F100="Lauco Sofas",F100="Requiez",F100="Labenze",F100="Sunon Mty",F100="Sonara"),(M100*(1-_xlfn.XLOOKUP(F100,Proveedores!A:A,Proveedores!I:I)))*(1+N100),((M100*(1-_xlfn.XLOOKUP(F100,Proveedores!A:A,Proveedores!I:I)))*(1+N100))+U100),"")</f>
        <v/>
      </c>
      <c r="P100" s="1031"/>
      <c r="Q100" s="1133">
        <f>IF(K100&lt;&gt;"Importado",0,IF(P100&gt;0,P100*H100,IFERROR(_xlfn.XLOOKUP(F100,Proveedores!A:A,Proveedores!F:F,0)*H100,0)))</f>
        <v>0</v>
      </c>
      <c r="R100" s="1134" t="e">
        <f t="shared" si="70"/>
        <v>#VALUE!</v>
      </c>
      <c r="S100" s="743"/>
      <c r="T100" s="1034" t="e">
        <f t="shared" si="57"/>
        <v>#N/A</v>
      </c>
      <c r="U100" s="1034" t="e">
        <f t="shared" si="71"/>
        <v>#N/A</v>
      </c>
      <c r="V100" s="1165" t="e">
        <f t="shared" si="58"/>
        <v>#N/A</v>
      </c>
      <c r="W100" s="1034" t="e">
        <f t="shared" si="72"/>
        <v>#N/A</v>
      </c>
      <c r="X100" s="1034" t="b">
        <f t="shared" si="73"/>
        <v>0</v>
      </c>
      <c r="Y100" s="1034">
        <f t="shared" si="74"/>
        <v>0</v>
      </c>
      <c r="Z100" s="1034">
        <f t="shared" si="75"/>
        <v>0</v>
      </c>
      <c r="AA100" s="1034">
        <f t="shared" si="59"/>
        <v>0</v>
      </c>
      <c r="AB100" s="1034">
        <f t="shared" si="60"/>
        <v>0</v>
      </c>
      <c r="AC100" s="1033">
        <f t="shared" si="76"/>
        <v>0</v>
      </c>
      <c r="AD100" s="1266">
        <f t="shared" si="61"/>
        <v>0</v>
      </c>
      <c r="AE100" s="1093">
        <f t="shared" si="77"/>
        <v>0</v>
      </c>
      <c r="AF100" s="1093">
        <f t="shared" si="78"/>
        <v>0</v>
      </c>
      <c r="AG100" s="1093">
        <f t="shared" si="62"/>
        <v>0</v>
      </c>
      <c r="AH100" s="1033" t="e">
        <f t="shared" si="63"/>
        <v>#DIV/0!</v>
      </c>
      <c r="AI100" s="1091">
        <f t="shared" si="64"/>
        <v>0</v>
      </c>
      <c r="AJ100" s="1094">
        <f t="shared" si="65"/>
        <v>0</v>
      </c>
      <c r="AK100" s="1053" t="str">
        <f t="shared" si="66"/>
        <v/>
      </c>
      <c r="AL100" s="1053"/>
      <c r="AM100" s="1290">
        <f>_xlfn.XLOOKUP(F100,Proveedores!A:A,Proveedores!G:G)</f>
        <v>0</v>
      </c>
      <c r="AN100" s="1095" t="str">
        <f t="shared" si="79"/>
        <v>OK</v>
      </c>
    </row>
    <row r="101" spans="1:40" ht="15.95">
      <c r="A101" s="1090" t="b">
        <f t="shared" si="54"/>
        <v>1</v>
      </c>
      <c r="B101" s="1091" t="b">
        <f t="shared" si="67"/>
        <v>1</v>
      </c>
      <c r="C101" s="1092" t="str">
        <f t="shared" si="68"/>
        <v>Dólares</v>
      </c>
      <c r="D101" s="13"/>
      <c r="E101" s="743"/>
      <c r="F101" s="17"/>
      <c r="G101" s="17" t="str">
        <f t="shared" si="55"/>
        <v xml:space="preserve"> </v>
      </c>
      <c r="H101" s="12">
        <v>0</v>
      </c>
      <c r="I101" s="16" t="str">
        <f>IFERROR(VLOOKUP(G101,Proveedores!B:C,2,0)," ")</f>
        <v xml:space="preserve"> </v>
      </c>
      <c r="J101" s="745">
        <v>0</v>
      </c>
      <c r="K101" s="745" t="str">
        <f t="shared" si="56"/>
        <v>Not Found</v>
      </c>
      <c r="L101" s="16">
        <f>IF(K101="Importado",Fletes!$B$66,0%)</f>
        <v>0</v>
      </c>
      <c r="M101" s="745">
        <f t="shared" si="69"/>
        <v>0</v>
      </c>
      <c r="N101" s="16">
        <f>IF(K101&lt;&gt;"Importado",0%,IF(Fletes!$B$67&lt;10,15%,IF(Fletes!$B$67&lt;20,10%,5%)))</f>
        <v>0</v>
      </c>
      <c r="O101" s="745" t="str">
        <f>IFERROR(IF(OR(F101="Offiho",F101="Lauco Sofas",F101="Requiez",F101="Labenze",F101="Sunon Mty",F101="Sonara"),(M101*(1-_xlfn.XLOOKUP(F101,Proveedores!A:A,Proveedores!I:I)))*(1+N101),((M101*(1-_xlfn.XLOOKUP(F101,Proveedores!A:A,Proveedores!I:I)))*(1+N101))+U101),"")</f>
        <v/>
      </c>
      <c r="P101" s="1031"/>
      <c r="Q101" s="1133">
        <f>IF(K101&lt;&gt;"Importado",0,IF(P101&gt;0,P101*H101,IFERROR(_xlfn.XLOOKUP(F101,Proveedores!A:A,Proveedores!F:F,0)*H101,0)))</f>
        <v>0</v>
      </c>
      <c r="R101" s="1134" t="e">
        <f t="shared" si="70"/>
        <v>#VALUE!</v>
      </c>
      <c r="S101" s="743"/>
      <c r="T101" s="1034" t="e">
        <f t="shared" si="57"/>
        <v>#N/A</v>
      </c>
      <c r="U101" s="1034" t="e">
        <f t="shared" si="71"/>
        <v>#N/A</v>
      </c>
      <c r="V101" s="1165" t="e">
        <f t="shared" si="58"/>
        <v>#N/A</v>
      </c>
      <c r="W101" s="1034" t="e">
        <f t="shared" si="72"/>
        <v>#N/A</v>
      </c>
      <c r="X101" s="1034" t="b">
        <f t="shared" si="73"/>
        <v>0</v>
      </c>
      <c r="Y101" s="1034">
        <f t="shared" si="74"/>
        <v>0</v>
      </c>
      <c r="Z101" s="1034">
        <f t="shared" si="75"/>
        <v>0</v>
      </c>
      <c r="AA101" s="1034">
        <f t="shared" si="59"/>
        <v>0</v>
      </c>
      <c r="AB101" s="1034">
        <f t="shared" si="60"/>
        <v>0</v>
      </c>
      <c r="AC101" s="1033">
        <f t="shared" si="76"/>
        <v>0</v>
      </c>
      <c r="AD101" s="1266">
        <f t="shared" si="61"/>
        <v>0</v>
      </c>
      <c r="AE101" s="1093">
        <f t="shared" si="77"/>
        <v>0</v>
      </c>
      <c r="AF101" s="1093">
        <f t="shared" si="78"/>
        <v>0</v>
      </c>
      <c r="AG101" s="1093">
        <f t="shared" si="62"/>
        <v>0</v>
      </c>
      <c r="AH101" s="1033" t="e">
        <f t="shared" si="63"/>
        <v>#DIV/0!</v>
      </c>
      <c r="AI101" s="1091">
        <f t="shared" si="64"/>
        <v>0</v>
      </c>
      <c r="AJ101" s="1094">
        <f t="shared" si="65"/>
        <v>0</v>
      </c>
      <c r="AK101" s="1053" t="str">
        <f t="shared" si="66"/>
        <v/>
      </c>
      <c r="AL101" s="1053"/>
      <c r="AM101" s="1290">
        <f>_xlfn.XLOOKUP(F101,Proveedores!A:A,Proveedores!G:G)</f>
        <v>0</v>
      </c>
      <c r="AN101" s="1095" t="str">
        <f t="shared" si="79"/>
        <v>OK</v>
      </c>
    </row>
    <row r="102" spans="1:40" ht="15.95">
      <c r="A102" s="1090" t="b">
        <f t="shared" si="54"/>
        <v>1</v>
      </c>
      <c r="B102" s="1091" t="b">
        <f t="shared" si="67"/>
        <v>1</v>
      </c>
      <c r="C102" s="1092" t="str">
        <f t="shared" si="68"/>
        <v>Dólares</v>
      </c>
      <c r="D102" s="14"/>
      <c r="E102" s="743"/>
      <c r="F102" s="17"/>
      <c r="G102" s="17" t="str">
        <f t="shared" si="55"/>
        <v xml:space="preserve"> </v>
      </c>
      <c r="H102" s="12">
        <v>0</v>
      </c>
      <c r="I102" s="16" t="str">
        <f>IFERROR(VLOOKUP(G102,Proveedores!B:C,2,0)," ")</f>
        <v xml:space="preserve"> </v>
      </c>
      <c r="J102" s="745">
        <v>0</v>
      </c>
      <c r="K102" s="745" t="str">
        <f t="shared" si="56"/>
        <v>Not Found</v>
      </c>
      <c r="L102" s="16">
        <f>IF(K102="Importado",Fletes!$B$66,0%)</f>
        <v>0</v>
      </c>
      <c r="M102" s="745">
        <f t="shared" si="69"/>
        <v>0</v>
      </c>
      <c r="N102" s="16">
        <f>IF(K102&lt;&gt;"Importado",0%,IF(Fletes!$B$67&lt;10,15%,IF(Fletes!$B$67&lt;20,10%,5%)))</f>
        <v>0</v>
      </c>
      <c r="O102" s="745" t="str">
        <f>IFERROR(IF(OR(F102="Offiho",F102="Lauco Sofas",F102="Requiez",F102="Labenze",F102="Sunon Mty",F102="Sonara"),(M102*(1-_xlfn.XLOOKUP(F102,Proveedores!A:A,Proveedores!I:I)))*(1+N102),((M102*(1-_xlfn.XLOOKUP(F102,Proveedores!A:A,Proveedores!I:I)))*(1+N102))+U102),"")</f>
        <v/>
      </c>
      <c r="P102" s="1031"/>
      <c r="Q102" s="1133">
        <f>IF(K102&lt;&gt;"Importado",0,IF(P102&gt;0,P102*H102,IFERROR(_xlfn.XLOOKUP(F102,Proveedores!A:A,Proveedores!F:F,0)*H102,0)))</f>
        <v>0</v>
      </c>
      <c r="R102" s="1134" t="e">
        <f t="shared" si="70"/>
        <v>#VALUE!</v>
      </c>
      <c r="S102" s="743"/>
      <c r="T102" s="1034" t="e">
        <f t="shared" si="57"/>
        <v>#N/A</v>
      </c>
      <c r="U102" s="1034" t="e">
        <f t="shared" si="71"/>
        <v>#N/A</v>
      </c>
      <c r="V102" s="1165" t="e">
        <f t="shared" si="58"/>
        <v>#N/A</v>
      </c>
      <c r="W102" s="1034" t="e">
        <f t="shared" si="72"/>
        <v>#N/A</v>
      </c>
      <c r="X102" s="1034" t="b">
        <f t="shared" si="73"/>
        <v>0</v>
      </c>
      <c r="Y102" s="1034">
        <f t="shared" si="74"/>
        <v>0</v>
      </c>
      <c r="Z102" s="1034">
        <f t="shared" si="75"/>
        <v>0</v>
      </c>
      <c r="AA102" s="1034">
        <f t="shared" si="59"/>
        <v>0</v>
      </c>
      <c r="AB102" s="1034">
        <f t="shared" si="60"/>
        <v>0</v>
      </c>
      <c r="AC102" s="1033">
        <f t="shared" si="76"/>
        <v>0</v>
      </c>
      <c r="AD102" s="1266">
        <f t="shared" si="61"/>
        <v>0</v>
      </c>
      <c r="AE102" s="1093">
        <f t="shared" si="77"/>
        <v>0</v>
      </c>
      <c r="AF102" s="1093">
        <f t="shared" si="78"/>
        <v>0</v>
      </c>
      <c r="AG102" s="1093">
        <f t="shared" si="62"/>
        <v>0</v>
      </c>
      <c r="AH102" s="1033" t="e">
        <f t="shared" si="63"/>
        <v>#DIV/0!</v>
      </c>
      <c r="AI102" s="1091">
        <f t="shared" si="64"/>
        <v>0</v>
      </c>
      <c r="AJ102" s="1094">
        <f t="shared" si="65"/>
        <v>0</v>
      </c>
      <c r="AK102" s="1053" t="str">
        <f t="shared" si="66"/>
        <v/>
      </c>
      <c r="AL102" s="1053"/>
      <c r="AM102" s="1290">
        <f>_xlfn.XLOOKUP(F102,Proveedores!A:A,Proveedores!G:G)</f>
        <v>0</v>
      </c>
      <c r="AN102" s="1095" t="str">
        <f t="shared" si="79"/>
        <v>OK</v>
      </c>
    </row>
    <row r="103" spans="1:40" ht="15.95">
      <c r="A103" s="1090" t="b">
        <f t="shared" si="54"/>
        <v>1</v>
      </c>
      <c r="B103" s="1091" t="b">
        <f t="shared" si="67"/>
        <v>1</v>
      </c>
      <c r="C103" s="1092" t="str">
        <f t="shared" si="68"/>
        <v>Dólares</v>
      </c>
      <c r="D103" s="15"/>
      <c r="E103" s="743"/>
      <c r="F103" s="17"/>
      <c r="G103" s="17" t="str">
        <f t="shared" si="55"/>
        <v xml:space="preserve"> </v>
      </c>
      <c r="H103" s="12">
        <v>0</v>
      </c>
      <c r="I103" s="16" t="str">
        <f>IFERROR(VLOOKUP(G103,Proveedores!B:C,2,0)," ")</f>
        <v xml:space="preserve"> </v>
      </c>
      <c r="J103" s="745">
        <v>0</v>
      </c>
      <c r="K103" s="745" t="str">
        <f t="shared" si="56"/>
        <v>Not Found</v>
      </c>
      <c r="L103" s="16">
        <f>IF(K103="Importado",Fletes!$B$66,0%)</f>
        <v>0</v>
      </c>
      <c r="M103" s="745">
        <f t="shared" si="69"/>
        <v>0</v>
      </c>
      <c r="N103" s="16">
        <f>IF(K103&lt;&gt;"Importado",0%,IF(Fletes!$B$67&lt;10,15%,IF(Fletes!$B$67&lt;20,10%,5%)))</f>
        <v>0</v>
      </c>
      <c r="O103" s="745" t="str">
        <f>IFERROR(IF(OR(F103="Offiho",F103="Lauco Sofas",F103="Requiez",F103="Labenze",F103="Sunon Mty",F103="Sonara"),(M103*(1-_xlfn.XLOOKUP(F103,Proveedores!A:A,Proveedores!I:I)))*(1+N103),((M103*(1-_xlfn.XLOOKUP(F103,Proveedores!A:A,Proveedores!I:I)))*(1+N103))+U103),"")</f>
        <v/>
      </c>
      <c r="P103" s="1031"/>
      <c r="Q103" s="1133">
        <f>IF(K103&lt;&gt;"Importado",0,IF(P103&gt;0,P103*H103,IFERROR(_xlfn.XLOOKUP(F103,Proveedores!A:A,Proveedores!F:F,0)*H103,0)))</f>
        <v>0</v>
      </c>
      <c r="R103" s="1134" t="e">
        <f t="shared" si="70"/>
        <v>#VALUE!</v>
      </c>
      <c r="S103" s="743"/>
      <c r="T103" s="1034" t="e">
        <f t="shared" si="57"/>
        <v>#N/A</v>
      </c>
      <c r="U103" s="1034" t="e">
        <f t="shared" si="71"/>
        <v>#N/A</v>
      </c>
      <c r="V103" s="1165" t="e">
        <f t="shared" si="58"/>
        <v>#N/A</v>
      </c>
      <c r="W103" s="1034" t="e">
        <f t="shared" si="72"/>
        <v>#N/A</v>
      </c>
      <c r="X103" s="1034" t="b">
        <f t="shared" si="73"/>
        <v>0</v>
      </c>
      <c r="Y103" s="1034">
        <f t="shared" si="74"/>
        <v>0</v>
      </c>
      <c r="Z103" s="1034">
        <f t="shared" si="75"/>
        <v>0</v>
      </c>
      <c r="AA103" s="1034">
        <f t="shared" si="59"/>
        <v>0</v>
      </c>
      <c r="AB103" s="1034">
        <f t="shared" si="60"/>
        <v>0</v>
      </c>
      <c r="AC103" s="1033">
        <f t="shared" si="76"/>
        <v>0</v>
      </c>
      <c r="AD103" s="1266">
        <f t="shared" si="61"/>
        <v>0</v>
      </c>
      <c r="AE103" s="1093">
        <f t="shared" si="77"/>
        <v>0</v>
      </c>
      <c r="AF103" s="1093">
        <f t="shared" si="78"/>
        <v>0</v>
      </c>
      <c r="AG103" s="1093">
        <f t="shared" si="62"/>
        <v>0</v>
      </c>
      <c r="AH103" s="1033" t="e">
        <f t="shared" si="63"/>
        <v>#DIV/0!</v>
      </c>
      <c r="AI103" s="1091">
        <f t="shared" si="64"/>
        <v>0</v>
      </c>
      <c r="AJ103" s="1094">
        <f t="shared" si="65"/>
        <v>0</v>
      </c>
      <c r="AK103" s="1053" t="str">
        <f t="shared" si="66"/>
        <v/>
      </c>
      <c r="AL103" s="1053"/>
      <c r="AM103" s="1290">
        <f>_xlfn.XLOOKUP(F103,Proveedores!A:A,Proveedores!G:G)</f>
        <v>0</v>
      </c>
      <c r="AN103" s="1095" t="str">
        <f t="shared" si="79"/>
        <v>OK</v>
      </c>
    </row>
    <row r="104" spans="1:40" ht="15.95">
      <c r="A104" s="1090" t="b">
        <f t="shared" si="54"/>
        <v>1</v>
      </c>
      <c r="B104" s="1091" t="b">
        <f t="shared" si="67"/>
        <v>1</v>
      </c>
      <c r="C104" s="1092" t="str">
        <f t="shared" si="68"/>
        <v>Dólares</v>
      </c>
      <c r="D104" s="15"/>
      <c r="E104" s="743"/>
      <c r="F104" s="17"/>
      <c r="G104" s="17" t="str">
        <f t="shared" si="55"/>
        <v xml:space="preserve"> </v>
      </c>
      <c r="H104" s="12">
        <v>0</v>
      </c>
      <c r="I104" s="16" t="str">
        <f>IFERROR(VLOOKUP(G104,Proveedores!B:C,2,0)," ")</f>
        <v xml:space="preserve"> </v>
      </c>
      <c r="J104" s="745">
        <v>0</v>
      </c>
      <c r="K104" s="745" t="str">
        <f t="shared" si="56"/>
        <v>Not Found</v>
      </c>
      <c r="L104" s="16">
        <f>IF(K104="Importado",Fletes!$B$66,0%)</f>
        <v>0</v>
      </c>
      <c r="M104" s="745">
        <f t="shared" si="69"/>
        <v>0</v>
      </c>
      <c r="N104" s="16">
        <f>IF(K104&lt;&gt;"Importado",0%,IF(Fletes!$B$67&lt;10,15%,IF(Fletes!$B$67&lt;20,10%,5%)))</f>
        <v>0</v>
      </c>
      <c r="O104" s="745" t="str">
        <f>IFERROR(IF(OR(F104="Offiho",F104="Lauco Sofas",F104="Requiez",F104="Labenze",F104="Sunon Mty",F104="Sonara"),(M104*(1-_xlfn.XLOOKUP(F104,Proveedores!A:A,Proveedores!I:I)))*(1+N104),((M104*(1-_xlfn.XLOOKUP(F104,Proveedores!A:A,Proveedores!I:I)))*(1+N104))+U104),"")</f>
        <v/>
      </c>
      <c r="P104" s="1031"/>
      <c r="Q104" s="1133">
        <f>IF(K104&lt;&gt;"Importado",0,IF(P104&gt;0,P104*H104,IFERROR(_xlfn.XLOOKUP(F104,Proveedores!A:A,Proveedores!F:F,0)*H104,0)))</f>
        <v>0</v>
      </c>
      <c r="R104" s="1134" t="e">
        <f t="shared" si="70"/>
        <v>#VALUE!</v>
      </c>
      <c r="S104" s="743"/>
      <c r="T104" s="1034" t="e">
        <f t="shared" si="57"/>
        <v>#N/A</v>
      </c>
      <c r="U104" s="1034" t="e">
        <f t="shared" si="71"/>
        <v>#N/A</v>
      </c>
      <c r="V104" s="1165" t="e">
        <f t="shared" si="58"/>
        <v>#N/A</v>
      </c>
      <c r="W104" s="1034" t="e">
        <f t="shared" si="72"/>
        <v>#N/A</v>
      </c>
      <c r="X104" s="1034" t="b">
        <f t="shared" si="73"/>
        <v>0</v>
      </c>
      <c r="Y104" s="1034">
        <f t="shared" si="74"/>
        <v>0</v>
      </c>
      <c r="Z104" s="1034">
        <f t="shared" si="75"/>
        <v>0</v>
      </c>
      <c r="AA104" s="1034">
        <f t="shared" si="59"/>
        <v>0</v>
      </c>
      <c r="AB104" s="1034">
        <f t="shared" si="60"/>
        <v>0</v>
      </c>
      <c r="AC104" s="1033">
        <f t="shared" si="76"/>
        <v>0</v>
      </c>
      <c r="AD104" s="1266">
        <f t="shared" si="61"/>
        <v>0</v>
      </c>
      <c r="AE104" s="1093">
        <f t="shared" si="77"/>
        <v>0</v>
      </c>
      <c r="AF104" s="1093">
        <f t="shared" si="78"/>
        <v>0</v>
      </c>
      <c r="AG104" s="1093">
        <f t="shared" si="62"/>
        <v>0</v>
      </c>
      <c r="AH104" s="1033" t="e">
        <f t="shared" si="63"/>
        <v>#DIV/0!</v>
      </c>
      <c r="AI104" s="1091">
        <f t="shared" si="64"/>
        <v>0</v>
      </c>
      <c r="AJ104" s="1094">
        <f t="shared" si="65"/>
        <v>0</v>
      </c>
      <c r="AK104" s="1053" t="str">
        <f t="shared" si="66"/>
        <v/>
      </c>
      <c r="AL104" s="1053"/>
      <c r="AM104" s="1290">
        <f>_xlfn.XLOOKUP(F104,Proveedores!A:A,Proveedores!G:G)</f>
        <v>0</v>
      </c>
      <c r="AN104" s="1095" t="str">
        <f t="shared" si="79"/>
        <v>OK</v>
      </c>
    </row>
    <row r="105" spans="1:40" ht="15.95">
      <c r="A105" s="1090" t="b">
        <f t="shared" si="54"/>
        <v>1</v>
      </c>
      <c r="B105" s="1091" t="b">
        <f t="shared" si="67"/>
        <v>1</v>
      </c>
      <c r="C105" s="1092" t="str">
        <f t="shared" si="68"/>
        <v>Dólares</v>
      </c>
      <c r="D105" s="15"/>
      <c r="E105" s="743"/>
      <c r="F105" s="17"/>
      <c r="G105" s="17" t="str">
        <f t="shared" si="55"/>
        <v xml:space="preserve"> </v>
      </c>
      <c r="H105" s="12">
        <v>0</v>
      </c>
      <c r="I105" s="16" t="str">
        <f>IFERROR(VLOOKUP(G105,Proveedores!B:C,2,0)," ")</f>
        <v xml:space="preserve"> </v>
      </c>
      <c r="J105" s="745">
        <v>0</v>
      </c>
      <c r="K105" s="745" t="str">
        <f t="shared" si="56"/>
        <v>Not Found</v>
      </c>
      <c r="L105" s="16">
        <f>IF(K105="Importado",Fletes!$B$66,0%)</f>
        <v>0</v>
      </c>
      <c r="M105" s="745">
        <f t="shared" si="69"/>
        <v>0</v>
      </c>
      <c r="N105" s="16">
        <f>IF(K105&lt;&gt;"Importado",0%,IF(Fletes!$B$67&lt;10,15%,IF(Fletes!$B$67&lt;20,10%,5%)))</f>
        <v>0</v>
      </c>
      <c r="O105" s="745" t="str">
        <f>IFERROR(IF(OR(F105="Offiho",F105="Lauco Sofas",F105="Requiez",F105="Labenze",F105="Sunon Mty",F105="Sonara"),(M105*(1-_xlfn.XLOOKUP(F105,Proveedores!A:A,Proveedores!I:I)))*(1+N105),((M105*(1-_xlfn.XLOOKUP(F105,Proveedores!A:A,Proveedores!I:I)))*(1+N105))+U105),"")</f>
        <v/>
      </c>
      <c r="P105" s="1031"/>
      <c r="Q105" s="1133">
        <f>IF(K105&lt;&gt;"Importado",0,IF(P105&gt;0,P105*H105,IFERROR(_xlfn.XLOOKUP(F105,Proveedores!A:A,Proveedores!F:F,0)*H105,0)))</f>
        <v>0</v>
      </c>
      <c r="R105" s="1134" t="e">
        <f t="shared" si="70"/>
        <v>#VALUE!</v>
      </c>
      <c r="S105" s="743"/>
      <c r="T105" s="1034" t="e">
        <f t="shared" si="57"/>
        <v>#N/A</v>
      </c>
      <c r="U105" s="1034" t="e">
        <f t="shared" si="71"/>
        <v>#N/A</v>
      </c>
      <c r="V105" s="1165" t="e">
        <f t="shared" si="58"/>
        <v>#N/A</v>
      </c>
      <c r="W105" s="1034" t="e">
        <f t="shared" si="72"/>
        <v>#N/A</v>
      </c>
      <c r="X105" s="1034" t="b">
        <f t="shared" si="73"/>
        <v>0</v>
      </c>
      <c r="Y105" s="1034">
        <f t="shared" si="74"/>
        <v>0</v>
      </c>
      <c r="Z105" s="1034">
        <f t="shared" si="75"/>
        <v>0</v>
      </c>
      <c r="AA105" s="1034">
        <f t="shared" si="59"/>
        <v>0</v>
      </c>
      <c r="AB105" s="1034">
        <f t="shared" si="60"/>
        <v>0</v>
      </c>
      <c r="AC105" s="1033">
        <f t="shared" si="76"/>
        <v>0</v>
      </c>
      <c r="AD105" s="1266">
        <f t="shared" si="61"/>
        <v>0</v>
      </c>
      <c r="AE105" s="1093">
        <f t="shared" si="77"/>
        <v>0</v>
      </c>
      <c r="AF105" s="1093">
        <f t="shared" si="78"/>
        <v>0</v>
      </c>
      <c r="AG105" s="1093">
        <f t="shared" si="62"/>
        <v>0</v>
      </c>
      <c r="AH105" s="1033" t="e">
        <f t="shared" si="63"/>
        <v>#DIV/0!</v>
      </c>
      <c r="AI105" s="1091">
        <f t="shared" si="64"/>
        <v>0</v>
      </c>
      <c r="AJ105" s="1094">
        <f t="shared" si="65"/>
        <v>0</v>
      </c>
      <c r="AK105" s="1053" t="str">
        <f t="shared" si="66"/>
        <v/>
      </c>
      <c r="AL105" s="1053"/>
      <c r="AM105" s="1290">
        <f>_xlfn.XLOOKUP(F105,Proveedores!A:A,Proveedores!G:G)</f>
        <v>0</v>
      </c>
      <c r="AN105" s="1095" t="str">
        <f t="shared" si="79"/>
        <v>OK</v>
      </c>
    </row>
    <row r="106" spans="1:40" ht="15.95">
      <c r="A106" s="1090" t="b">
        <f t="shared" si="54"/>
        <v>1</v>
      </c>
      <c r="B106" s="1091" t="b">
        <f t="shared" si="67"/>
        <v>1</v>
      </c>
      <c r="C106" s="1092" t="str">
        <f t="shared" si="68"/>
        <v>Dólares</v>
      </c>
      <c r="D106" s="15"/>
      <c r="E106" s="743"/>
      <c r="F106" s="17"/>
      <c r="G106" s="17" t="str">
        <f t="shared" si="55"/>
        <v xml:space="preserve"> </v>
      </c>
      <c r="H106" s="12">
        <v>0</v>
      </c>
      <c r="I106" s="16" t="str">
        <f>IFERROR(VLOOKUP(G106,Proveedores!B:C,2,0)," ")</f>
        <v xml:space="preserve"> </v>
      </c>
      <c r="J106" s="745">
        <v>0</v>
      </c>
      <c r="K106" s="745" t="str">
        <f t="shared" si="56"/>
        <v>Not Found</v>
      </c>
      <c r="L106" s="16">
        <f>IF(K106="Importado",Fletes!$B$66,0%)</f>
        <v>0</v>
      </c>
      <c r="M106" s="745">
        <f t="shared" si="69"/>
        <v>0</v>
      </c>
      <c r="N106" s="16">
        <f>IF(K106&lt;&gt;"Importado",0%,IF(Fletes!$B$67&lt;10,15%,IF(Fletes!$B$67&lt;20,10%,5%)))</f>
        <v>0</v>
      </c>
      <c r="O106" s="745" t="str">
        <f>IFERROR(IF(OR(F106="Offiho",F106="Lauco Sofas",F106="Requiez",F106="Labenze",F106="Sunon Mty",F106="Sonara"),(M106*(1-_xlfn.XLOOKUP(F106,Proveedores!A:A,Proveedores!I:I)))*(1+N106),((M106*(1-_xlfn.XLOOKUP(F106,Proveedores!A:A,Proveedores!I:I)))*(1+N106))+U106),"")</f>
        <v/>
      </c>
      <c r="P106" s="1031"/>
      <c r="Q106" s="1133">
        <f>IF(K106&lt;&gt;"Importado",0,IF(P106&gt;0,P106*H106,IFERROR(_xlfn.XLOOKUP(F106,Proveedores!A:A,Proveedores!F:F,0)*H106,0)))</f>
        <v>0</v>
      </c>
      <c r="R106" s="1134" t="e">
        <f t="shared" si="70"/>
        <v>#VALUE!</v>
      </c>
      <c r="S106" s="743"/>
      <c r="T106" s="1034" t="e">
        <f t="shared" si="57"/>
        <v>#N/A</v>
      </c>
      <c r="U106" s="1034" t="e">
        <f t="shared" si="71"/>
        <v>#N/A</v>
      </c>
      <c r="V106" s="1165" t="e">
        <f t="shared" si="58"/>
        <v>#N/A</v>
      </c>
      <c r="W106" s="1034" t="e">
        <f t="shared" si="72"/>
        <v>#N/A</v>
      </c>
      <c r="X106" s="1034" t="b">
        <f t="shared" si="73"/>
        <v>0</v>
      </c>
      <c r="Y106" s="1034">
        <f t="shared" si="74"/>
        <v>0</v>
      </c>
      <c r="Z106" s="1034">
        <f t="shared" si="75"/>
        <v>0</v>
      </c>
      <c r="AA106" s="1034">
        <f t="shared" si="59"/>
        <v>0</v>
      </c>
      <c r="AB106" s="1034">
        <f t="shared" si="60"/>
        <v>0</v>
      </c>
      <c r="AC106" s="1033">
        <f t="shared" si="76"/>
        <v>0</v>
      </c>
      <c r="AD106" s="1266">
        <f t="shared" si="61"/>
        <v>0</v>
      </c>
      <c r="AE106" s="1093">
        <f t="shared" si="77"/>
        <v>0</v>
      </c>
      <c r="AF106" s="1093">
        <f t="shared" si="78"/>
        <v>0</v>
      </c>
      <c r="AG106" s="1093">
        <f t="shared" si="62"/>
        <v>0</v>
      </c>
      <c r="AH106" s="1033" t="e">
        <f t="shared" si="63"/>
        <v>#DIV/0!</v>
      </c>
      <c r="AI106" s="1091">
        <f t="shared" si="64"/>
        <v>0</v>
      </c>
      <c r="AJ106" s="1094">
        <f t="shared" si="65"/>
        <v>0</v>
      </c>
      <c r="AK106" s="1053" t="str">
        <f t="shared" si="66"/>
        <v/>
      </c>
      <c r="AL106" s="1053"/>
      <c r="AM106" s="1290">
        <f>_xlfn.XLOOKUP(F106,Proveedores!A:A,Proveedores!G:G)</f>
        <v>0</v>
      </c>
      <c r="AN106" s="1095" t="str">
        <f t="shared" si="79"/>
        <v>OK</v>
      </c>
    </row>
    <row r="107" spans="1:40" ht="15.95">
      <c r="A107" s="1090" t="b">
        <f t="shared" si="54"/>
        <v>1</v>
      </c>
      <c r="B107" s="1091" t="b">
        <f t="shared" si="67"/>
        <v>1</v>
      </c>
      <c r="C107" s="1092" t="str">
        <f t="shared" si="68"/>
        <v>Dólares</v>
      </c>
      <c r="D107" s="14"/>
      <c r="E107" s="743"/>
      <c r="F107" s="17"/>
      <c r="G107" s="17" t="str">
        <f t="shared" si="55"/>
        <v xml:space="preserve"> </v>
      </c>
      <c r="H107" s="12">
        <v>0</v>
      </c>
      <c r="I107" s="16" t="str">
        <f>IFERROR(VLOOKUP(G107,Proveedores!B:C,2,0)," ")</f>
        <v xml:space="preserve"> </v>
      </c>
      <c r="J107" s="745">
        <v>0</v>
      </c>
      <c r="K107" s="745" t="str">
        <f t="shared" si="56"/>
        <v>Not Found</v>
      </c>
      <c r="L107" s="16">
        <f>IF(K107="Importado",Fletes!$B$66,0%)</f>
        <v>0</v>
      </c>
      <c r="M107" s="745">
        <f t="shared" si="69"/>
        <v>0</v>
      </c>
      <c r="N107" s="16">
        <f>IF(K107&lt;&gt;"Importado",0%,IF(Fletes!$B$67&lt;10,15%,IF(Fletes!$B$67&lt;20,10%,5%)))</f>
        <v>0</v>
      </c>
      <c r="O107" s="745" t="str">
        <f>IFERROR(IF(OR(F107="Offiho",F107="Lauco Sofas",F107="Requiez",F107="Labenze",F107="Sunon Mty",F107="Sonara"),(M107*(1-_xlfn.XLOOKUP(F107,Proveedores!A:A,Proveedores!I:I)))*(1+N107),((M107*(1-_xlfn.XLOOKUP(F107,Proveedores!A:A,Proveedores!I:I)))*(1+N107))+U107),"")</f>
        <v/>
      </c>
      <c r="P107" s="1031"/>
      <c r="Q107" s="1133">
        <f>IF(K107&lt;&gt;"Importado",0,IF(P107&gt;0,P107*H107,IFERROR(_xlfn.XLOOKUP(F107,Proveedores!A:A,Proveedores!F:F,0)*H107,0)))</f>
        <v>0</v>
      </c>
      <c r="R107" s="1134" t="e">
        <f t="shared" si="70"/>
        <v>#VALUE!</v>
      </c>
      <c r="S107" s="743"/>
      <c r="T107" s="1034" t="e">
        <f t="shared" si="57"/>
        <v>#N/A</v>
      </c>
      <c r="U107" s="1034" t="e">
        <f t="shared" si="71"/>
        <v>#N/A</v>
      </c>
      <c r="V107" s="1165" t="e">
        <f t="shared" si="58"/>
        <v>#N/A</v>
      </c>
      <c r="W107" s="1034" t="e">
        <f t="shared" si="72"/>
        <v>#N/A</v>
      </c>
      <c r="X107" s="1034" t="b">
        <f t="shared" si="73"/>
        <v>0</v>
      </c>
      <c r="Y107" s="1034">
        <f t="shared" si="74"/>
        <v>0</v>
      </c>
      <c r="Z107" s="1034">
        <f t="shared" si="75"/>
        <v>0</v>
      </c>
      <c r="AA107" s="1034">
        <f t="shared" si="59"/>
        <v>0</v>
      </c>
      <c r="AB107" s="1034">
        <f t="shared" si="60"/>
        <v>0</v>
      </c>
      <c r="AC107" s="1033">
        <f t="shared" si="76"/>
        <v>0</v>
      </c>
      <c r="AD107" s="1266">
        <f t="shared" si="61"/>
        <v>0</v>
      </c>
      <c r="AE107" s="1093">
        <f t="shared" si="77"/>
        <v>0</v>
      </c>
      <c r="AF107" s="1093">
        <f t="shared" si="78"/>
        <v>0</v>
      </c>
      <c r="AG107" s="1093">
        <f t="shared" si="62"/>
        <v>0</v>
      </c>
      <c r="AH107" s="1033" t="e">
        <f t="shared" si="63"/>
        <v>#DIV/0!</v>
      </c>
      <c r="AI107" s="1091">
        <f t="shared" si="64"/>
        <v>0</v>
      </c>
      <c r="AJ107" s="1094">
        <f t="shared" si="65"/>
        <v>0</v>
      </c>
      <c r="AK107" s="1053" t="str">
        <f t="shared" si="66"/>
        <v/>
      </c>
      <c r="AL107" s="1053"/>
      <c r="AM107" s="1290">
        <f>_xlfn.XLOOKUP(F107,Proveedores!A:A,Proveedores!G:G)</f>
        <v>0</v>
      </c>
      <c r="AN107" s="1095" t="str">
        <f t="shared" si="79"/>
        <v>OK</v>
      </c>
    </row>
    <row r="108" spans="1:40" ht="15.95">
      <c r="A108" s="1090" t="b">
        <f t="shared" si="54"/>
        <v>1</v>
      </c>
      <c r="B108" s="1091" t="b">
        <f t="shared" si="67"/>
        <v>1</v>
      </c>
      <c r="C108" s="1092" t="str">
        <f t="shared" si="68"/>
        <v>Dólares</v>
      </c>
      <c r="D108" s="14"/>
      <c r="E108" s="743"/>
      <c r="F108" s="17"/>
      <c r="G108" s="17" t="str">
        <f t="shared" si="55"/>
        <v xml:space="preserve"> </v>
      </c>
      <c r="H108" s="12">
        <v>0</v>
      </c>
      <c r="I108" s="16" t="str">
        <f>IFERROR(VLOOKUP(G108,Proveedores!B:C,2,0)," ")</f>
        <v xml:space="preserve"> </v>
      </c>
      <c r="J108" s="745">
        <v>0</v>
      </c>
      <c r="K108" s="745" t="str">
        <f t="shared" si="56"/>
        <v>Not Found</v>
      </c>
      <c r="L108" s="16">
        <f>IF(K108="Importado",Fletes!$B$66,0%)</f>
        <v>0</v>
      </c>
      <c r="M108" s="745">
        <f t="shared" si="69"/>
        <v>0</v>
      </c>
      <c r="N108" s="16">
        <f>IF(K108&lt;&gt;"Importado",0%,IF(Fletes!$B$67&lt;10,15%,IF(Fletes!$B$67&lt;20,10%,5%)))</f>
        <v>0</v>
      </c>
      <c r="O108" s="745" t="str">
        <f>IFERROR(IF(OR(F108="Offiho",F108="Lauco Sofas",F108="Requiez",F108="Labenze",F108="Sunon Mty",F108="Sonara"),(M108*(1-_xlfn.XLOOKUP(F108,Proveedores!A:A,Proveedores!I:I)))*(1+N108),((M108*(1-_xlfn.XLOOKUP(F108,Proveedores!A:A,Proveedores!I:I)))*(1+N108))+U108),"")</f>
        <v/>
      </c>
      <c r="P108" s="1031"/>
      <c r="Q108" s="1133">
        <f>IF(K108&lt;&gt;"Importado",0,IF(P108&gt;0,P108*H108,IFERROR(_xlfn.XLOOKUP(F108,Proveedores!A:A,Proveedores!F:F,0)*H108,0)))</f>
        <v>0</v>
      </c>
      <c r="R108" s="1134" t="e">
        <f t="shared" si="70"/>
        <v>#VALUE!</v>
      </c>
      <c r="S108" s="743"/>
      <c r="T108" s="1034" t="e">
        <f t="shared" si="57"/>
        <v>#N/A</v>
      </c>
      <c r="U108" s="1034" t="e">
        <f t="shared" si="71"/>
        <v>#N/A</v>
      </c>
      <c r="V108" s="1165" t="e">
        <f t="shared" si="58"/>
        <v>#N/A</v>
      </c>
      <c r="W108" s="1034" t="e">
        <f t="shared" si="72"/>
        <v>#N/A</v>
      </c>
      <c r="X108" s="1034" t="b">
        <f t="shared" si="73"/>
        <v>0</v>
      </c>
      <c r="Y108" s="1034">
        <f t="shared" si="74"/>
        <v>0</v>
      </c>
      <c r="Z108" s="1034">
        <f t="shared" si="75"/>
        <v>0</v>
      </c>
      <c r="AA108" s="1034">
        <f t="shared" si="59"/>
        <v>0</v>
      </c>
      <c r="AB108" s="1034">
        <f t="shared" si="60"/>
        <v>0</v>
      </c>
      <c r="AC108" s="1033">
        <f t="shared" si="76"/>
        <v>0</v>
      </c>
      <c r="AD108" s="1266">
        <f t="shared" si="61"/>
        <v>0</v>
      </c>
      <c r="AE108" s="1093">
        <f t="shared" si="77"/>
        <v>0</v>
      </c>
      <c r="AF108" s="1093">
        <f t="shared" si="78"/>
        <v>0</v>
      </c>
      <c r="AG108" s="1093">
        <f t="shared" si="62"/>
        <v>0</v>
      </c>
      <c r="AH108" s="1033" t="e">
        <f t="shared" si="63"/>
        <v>#DIV/0!</v>
      </c>
      <c r="AI108" s="1091">
        <f t="shared" si="64"/>
        <v>0</v>
      </c>
      <c r="AJ108" s="1094">
        <f t="shared" si="65"/>
        <v>0</v>
      </c>
      <c r="AK108" s="1053" t="str">
        <f t="shared" si="66"/>
        <v/>
      </c>
      <c r="AL108" s="1053"/>
      <c r="AM108" s="1290">
        <f>_xlfn.XLOOKUP(F108,Proveedores!A:A,Proveedores!G:G)</f>
        <v>0</v>
      </c>
      <c r="AN108" s="1095" t="str">
        <f t="shared" si="79"/>
        <v>OK</v>
      </c>
    </row>
    <row r="109" spans="1:40" ht="15.95">
      <c r="A109" s="1090" t="b">
        <f t="shared" si="54"/>
        <v>1</v>
      </c>
      <c r="B109" s="1091" t="b">
        <f t="shared" si="67"/>
        <v>1</v>
      </c>
      <c r="C109" s="1092" t="str">
        <f t="shared" si="68"/>
        <v>Dólares</v>
      </c>
      <c r="D109" s="14"/>
      <c r="E109" s="743"/>
      <c r="F109" s="17"/>
      <c r="G109" s="17" t="str">
        <f t="shared" si="55"/>
        <v xml:space="preserve"> </v>
      </c>
      <c r="H109" s="12">
        <v>0</v>
      </c>
      <c r="I109" s="16" t="str">
        <f>IFERROR(VLOOKUP(G109,Proveedores!B:C,2,0)," ")</f>
        <v xml:space="preserve"> </v>
      </c>
      <c r="J109" s="745">
        <v>0</v>
      </c>
      <c r="K109" s="745" t="str">
        <f t="shared" si="56"/>
        <v>Not Found</v>
      </c>
      <c r="L109" s="16">
        <f>IF(K109="Importado",Fletes!$B$66,0%)</f>
        <v>0</v>
      </c>
      <c r="M109" s="745">
        <f t="shared" si="69"/>
        <v>0</v>
      </c>
      <c r="N109" s="16">
        <f>IF(K109&lt;&gt;"Importado",0%,IF(Fletes!$B$67&lt;10,15%,IF(Fletes!$B$67&lt;20,10%,5%)))</f>
        <v>0</v>
      </c>
      <c r="O109" s="745" t="str">
        <f>IFERROR(IF(OR(F109="Offiho",F109="Lauco Sofas",F109="Requiez",F109="Labenze",F109="Sunon Mty",F109="Sonara"),(M109*(1-_xlfn.XLOOKUP(F109,Proveedores!A:A,Proveedores!I:I)))*(1+N109),((M109*(1-_xlfn.XLOOKUP(F109,Proveedores!A:A,Proveedores!I:I)))*(1+N109))+U109),"")</f>
        <v/>
      </c>
      <c r="P109" s="1031"/>
      <c r="Q109" s="1133">
        <f>IF(K109&lt;&gt;"Importado",0,IF(P109&gt;0,P109*H109,IFERROR(_xlfn.XLOOKUP(F109,Proveedores!A:A,Proveedores!F:F,0)*H109,0)))</f>
        <v>0</v>
      </c>
      <c r="R109" s="1134" t="e">
        <f t="shared" si="70"/>
        <v>#VALUE!</v>
      </c>
      <c r="S109" s="743"/>
      <c r="T109" s="1034" t="e">
        <f t="shared" si="57"/>
        <v>#N/A</v>
      </c>
      <c r="U109" s="1034" t="e">
        <f t="shared" si="71"/>
        <v>#N/A</v>
      </c>
      <c r="V109" s="1165" t="e">
        <f t="shared" si="58"/>
        <v>#N/A</v>
      </c>
      <c r="W109" s="1034" t="e">
        <f t="shared" si="72"/>
        <v>#N/A</v>
      </c>
      <c r="X109" s="1034" t="b">
        <f t="shared" si="73"/>
        <v>0</v>
      </c>
      <c r="Y109" s="1034">
        <f t="shared" si="74"/>
        <v>0</v>
      </c>
      <c r="Z109" s="1034">
        <f t="shared" si="75"/>
        <v>0</v>
      </c>
      <c r="AA109" s="1034">
        <f t="shared" si="59"/>
        <v>0</v>
      </c>
      <c r="AB109" s="1034">
        <f t="shared" si="60"/>
        <v>0</v>
      </c>
      <c r="AC109" s="1033">
        <f t="shared" si="76"/>
        <v>0</v>
      </c>
      <c r="AD109" s="1266">
        <f t="shared" si="61"/>
        <v>0</v>
      </c>
      <c r="AE109" s="1093">
        <f t="shared" si="77"/>
        <v>0</v>
      </c>
      <c r="AF109" s="1093">
        <f t="shared" si="78"/>
        <v>0</v>
      </c>
      <c r="AG109" s="1093">
        <f t="shared" si="62"/>
        <v>0</v>
      </c>
      <c r="AH109" s="1033" t="e">
        <f t="shared" si="63"/>
        <v>#DIV/0!</v>
      </c>
      <c r="AI109" s="1091">
        <f t="shared" si="64"/>
        <v>0</v>
      </c>
      <c r="AJ109" s="1094">
        <f t="shared" si="65"/>
        <v>0</v>
      </c>
      <c r="AK109" s="1053" t="str">
        <f t="shared" si="66"/>
        <v/>
      </c>
      <c r="AL109" s="1053"/>
      <c r="AM109" s="1290">
        <f>_xlfn.XLOOKUP(F109,Proveedores!A:A,Proveedores!G:G)</f>
        <v>0</v>
      </c>
      <c r="AN109" s="1095" t="str">
        <f t="shared" si="79"/>
        <v>OK</v>
      </c>
    </row>
    <row r="110" spans="1:40" ht="15.95">
      <c r="A110" s="1090" t="b">
        <f t="shared" si="54"/>
        <v>1</v>
      </c>
      <c r="B110" s="1091" t="b">
        <f t="shared" si="67"/>
        <v>1</v>
      </c>
      <c r="C110" s="1092" t="str">
        <f t="shared" si="68"/>
        <v>Dólares</v>
      </c>
      <c r="D110" s="15"/>
      <c r="E110" s="743"/>
      <c r="F110" s="17"/>
      <c r="G110" s="17" t="str">
        <f t="shared" si="55"/>
        <v xml:space="preserve"> </v>
      </c>
      <c r="H110" s="12">
        <v>0</v>
      </c>
      <c r="I110" s="16" t="str">
        <f>IFERROR(VLOOKUP(G110,Proveedores!B:C,2,0)," ")</f>
        <v xml:space="preserve"> </v>
      </c>
      <c r="J110" s="745">
        <v>0</v>
      </c>
      <c r="K110" s="745" t="str">
        <f t="shared" si="56"/>
        <v>Not Found</v>
      </c>
      <c r="L110" s="16">
        <f>IF(K110="Importado",Fletes!$B$66,0%)</f>
        <v>0</v>
      </c>
      <c r="M110" s="745">
        <f t="shared" si="69"/>
        <v>0</v>
      </c>
      <c r="N110" s="16">
        <f>IF(K110&lt;&gt;"Importado",0%,IF(Fletes!$B$67&lt;10,15%,IF(Fletes!$B$67&lt;20,10%,5%)))</f>
        <v>0</v>
      </c>
      <c r="O110" s="745" t="str">
        <f>IFERROR(IF(OR(F110="Offiho",F110="Lauco Sofas",F110="Requiez",F110="Labenze",F110="Sunon Mty",F110="Sonara"),(M110*(1-_xlfn.XLOOKUP(F110,Proveedores!A:A,Proveedores!I:I)))*(1+N110),((M110*(1-_xlfn.XLOOKUP(F110,Proveedores!A:A,Proveedores!I:I)))*(1+N110))+U110),"")</f>
        <v/>
      </c>
      <c r="P110" s="1031"/>
      <c r="Q110" s="1133">
        <f>IF(K110&lt;&gt;"Importado",0,IF(P110&gt;0,P110*H110,IFERROR(_xlfn.XLOOKUP(F110,Proveedores!A:A,Proveedores!F:F,0)*H110,0)))</f>
        <v>0</v>
      </c>
      <c r="R110" s="1134" t="e">
        <f t="shared" si="70"/>
        <v>#VALUE!</v>
      </c>
      <c r="S110" s="743"/>
      <c r="T110" s="1034" t="e">
        <f t="shared" si="57"/>
        <v>#N/A</v>
      </c>
      <c r="U110" s="1034" t="e">
        <f t="shared" si="71"/>
        <v>#N/A</v>
      </c>
      <c r="V110" s="1165" t="e">
        <f t="shared" si="58"/>
        <v>#N/A</v>
      </c>
      <c r="W110" s="1034" t="e">
        <f t="shared" si="72"/>
        <v>#N/A</v>
      </c>
      <c r="X110" s="1034" t="b">
        <f t="shared" si="73"/>
        <v>0</v>
      </c>
      <c r="Y110" s="1034">
        <f t="shared" si="74"/>
        <v>0</v>
      </c>
      <c r="Z110" s="1034">
        <f t="shared" si="75"/>
        <v>0</v>
      </c>
      <c r="AA110" s="1034">
        <f t="shared" si="59"/>
        <v>0</v>
      </c>
      <c r="AB110" s="1034">
        <f t="shared" si="60"/>
        <v>0</v>
      </c>
      <c r="AC110" s="1033">
        <f t="shared" si="76"/>
        <v>0</v>
      </c>
      <c r="AD110" s="1266">
        <f t="shared" si="61"/>
        <v>0</v>
      </c>
      <c r="AE110" s="1093">
        <f t="shared" si="77"/>
        <v>0</v>
      </c>
      <c r="AF110" s="1093">
        <f t="shared" si="78"/>
        <v>0</v>
      </c>
      <c r="AG110" s="1093">
        <f t="shared" si="62"/>
        <v>0</v>
      </c>
      <c r="AH110" s="1033" t="e">
        <f t="shared" si="63"/>
        <v>#DIV/0!</v>
      </c>
      <c r="AI110" s="1091">
        <f t="shared" si="64"/>
        <v>0</v>
      </c>
      <c r="AJ110" s="1094">
        <f t="shared" si="65"/>
        <v>0</v>
      </c>
      <c r="AK110" s="1053" t="str">
        <f t="shared" si="66"/>
        <v/>
      </c>
      <c r="AL110" s="1053"/>
      <c r="AM110" s="1290">
        <f>_xlfn.XLOOKUP(F110,Proveedores!A:A,Proveedores!G:G)</f>
        <v>0</v>
      </c>
      <c r="AN110" s="1095" t="str">
        <f t="shared" si="79"/>
        <v>OK</v>
      </c>
    </row>
    <row r="111" spans="1:40" ht="15.95">
      <c r="A111" s="1090" t="b">
        <f t="shared" si="54"/>
        <v>1</v>
      </c>
      <c r="B111" s="1091" t="b">
        <f t="shared" si="67"/>
        <v>1</v>
      </c>
      <c r="C111" s="1092" t="str">
        <f t="shared" si="68"/>
        <v>Dólares</v>
      </c>
      <c r="D111" s="15"/>
      <c r="E111" s="743"/>
      <c r="F111" s="17"/>
      <c r="G111" s="17" t="str">
        <f t="shared" si="55"/>
        <v xml:space="preserve"> </v>
      </c>
      <c r="H111" s="12">
        <v>0</v>
      </c>
      <c r="I111" s="16" t="str">
        <f>IFERROR(VLOOKUP(G111,Proveedores!B:C,2,0)," ")</f>
        <v xml:space="preserve"> </v>
      </c>
      <c r="J111" s="745">
        <v>0</v>
      </c>
      <c r="K111" s="745" t="str">
        <f t="shared" si="56"/>
        <v>Not Found</v>
      </c>
      <c r="L111" s="16">
        <f>IF(K111="Importado",Fletes!$B$66,0%)</f>
        <v>0</v>
      </c>
      <c r="M111" s="745">
        <f t="shared" si="69"/>
        <v>0</v>
      </c>
      <c r="N111" s="16">
        <f>IF(K111&lt;&gt;"Importado",0%,IF(Fletes!$B$67&lt;10,15%,IF(Fletes!$B$67&lt;20,10%,5%)))</f>
        <v>0</v>
      </c>
      <c r="O111" s="745" t="str">
        <f>IFERROR(IF(OR(F111="Offiho",F111="Lauco Sofas",F111="Requiez",F111="Labenze",F111="Sunon Mty",F111="Sonara"),(M111*(1-_xlfn.XLOOKUP(F111,Proveedores!A:A,Proveedores!I:I)))*(1+N111),((M111*(1-_xlfn.XLOOKUP(F111,Proveedores!A:A,Proveedores!I:I)))*(1+N111))+U111),"")</f>
        <v/>
      </c>
      <c r="P111" s="1031"/>
      <c r="Q111" s="1133">
        <f>IF(K111&lt;&gt;"Importado",0,IF(P111&gt;0,P111*H111,IFERROR(_xlfn.XLOOKUP(F111,Proveedores!A:A,Proveedores!F:F,0)*H111,0)))</f>
        <v>0</v>
      </c>
      <c r="R111" s="1134" t="e">
        <f t="shared" si="70"/>
        <v>#VALUE!</v>
      </c>
      <c r="S111" s="743"/>
      <c r="T111" s="1034" t="e">
        <f t="shared" si="57"/>
        <v>#N/A</v>
      </c>
      <c r="U111" s="1034" t="e">
        <f t="shared" si="71"/>
        <v>#N/A</v>
      </c>
      <c r="V111" s="1165" t="e">
        <f t="shared" si="58"/>
        <v>#N/A</v>
      </c>
      <c r="W111" s="1034" t="e">
        <f t="shared" si="72"/>
        <v>#N/A</v>
      </c>
      <c r="X111" s="1034" t="b">
        <f t="shared" si="73"/>
        <v>0</v>
      </c>
      <c r="Y111" s="1034">
        <f t="shared" si="74"/>
        <v>0</v>
      </c>
      <c r="Z111" s="1034">
        <f t="shared" si="75"/>
        <v>0</v>
      </c>
      <c r="AA111" s="1034">
        <f t="shared" si="59"/>
        <v>0</v>
      </c>
      <c r="AB111" s="1034">
        <f t="shared" si="60"/>
        <v>0</v>
      </c>
      <c r="AC111" s="1033">
        <f t="shared" si="76"/>
        <v>0</v>
      </c>
      <c r="AD111" s="1266">
        <f t="shared" si="61"/>
        <v>0</v>
      </c>
      <c r="AE111" s="1093">
        <f t="shared" si="77"/>
        <v>0</v>
      </c>
      <c r="AF111" s="1093">
        <f t="shared" si="78"/>
        <v>0</v>
      </c>
      <c r="AG111" s="1093">
        <f t="shared" si="62"/>
        <v>0</v>
      </c>
      <c r="AH111" s="1033" t="e">
        <f t="shared" si="63"/>
        <v>#DIV/0!</v>
      </c>
      <c r="AI111" s="1091">
        <f t="shared" si="64"/>
        <v>0</v>
      </c>
      <c r="AJ111" s="1094">
        <f t="shared" si="65"/>
        <v>0</v>
      </c>
      <c r="AK111" s="1053" t="str">
        <f t="shared" si="66"/>
        <v/>
      </c>
      <c r="AL111" s="1053"/>
      <c r="AM111" s="1290">
        <f>_xlfn.XLOOKUP(F111,Proveedores!A:A,Proveedores!G:G)</f>
        <v>0</v>
      </c>
      <c r="AN111" s="1095" t="str">
        <f t="shared" si="79"/>
        <v>OK</v>
      </c>
    </row>
    <row r="112" spans="1:40" ht="15.95">
      <c r="A112" s="1090" t="b">
        <f t="shared" si="54"/>
        <v>1</v>
      </c>
      <c r="B112" s="1091" t="b">
        <f t="shared" si="67"/>
        <v>1</v>
      </c>
      <c r="C112" s="1092" t="str">
        <f t="shared" si="68"/>
        <v>Dólares</v>
      </c>
      <c r="D112" s="14"/>
      <c r="E112" s="743"/>
      <c r="F112" s="17"/>
      <c r="G112" s="17" t="str">
        <f t="shared" si="55"/>
        <v xml:space="preserve"> </v>
      </c>
      <c r="H112" s="12">
        <v>0</v>
      </c>
      <c r="I112" s="16" t="str">
        <f>IFERROR(VLOOKUP(G112,Proveedores!B:C,2,0)," ")</f>
        <v xml:space="preserve"> </v>
      </c>
      <c r="J112" s="745">
        <v>0</v>
      </c>
      <c r="K112" s="745" t="str">
        <f t="shared" si="56"/>
        <v>Not Found</v>
      </c>
      <c r="L112" s="16">
        <f>IF(K112="Importado",Fletes!$B$66,0%)</f>
        <v>0</v>
      </c>
      <c r="M112" s="745">
        <f t="shared" si="69"/>
        <v>0</v>
      </c>
      <c r="N112" s="16">
        <f>IF(K112&lt;&gt;"Importado",0%,IF(Fletes!$B$67&lt;10,15%,IF(Fletes!$B$67&lt;20,10%,5%)))</f>
        <v>0</v>
      </c>
      <c r="O112" s="745" t="str">
        <f>IFERROR(IF(OR(F112="Offiho",F112="Lauco Sofas",F112="Requiez",F112="Labenze",F112="Sunon Mty",F112="Sonara"),(M112*(1-_xlfn.XLOOKUP(F112,Proveedores!A:A,Proveedores!I:I)))*(1+N112),((M112*(1-_xlfn.XLOOKUP(F112,Proveedores!A:A,Proveedores!I:I)))*(1+N112))+U112),"")</f>
        <v/>
      </c>
      <c r="P112" s="1031"/>
      <c r="Q112" s="1133">
        <f>IF(K112&lt;&gt;"Importado",0,IF(P112&gt;0,P112*H112,IFERROR(_xlfn.XLOOKUP(F112,Proveedores!A:A,Proveedores!F:F,0)*H112,0)))</f>
        <v>0</v>
      </c>
      <c r="R112" s="1134" t="e">
        <f t="shared" si="70"/>
        <v>#VALUE!</v>
      </c>
      <c r="S112" s="743"/>
      <c r="T112" s="1034" t="e">
        <f t="shared" si="57"/>
        <v>#N/A</v>
      </c>
      <c r="U112" s="1034" t="e">
        <f t="shared" si="71"/>
        <v>#N/A</v>
      </c>
      <c r="V112" s="1165" t="e">
        <f t="shared" si="58"/>
        <v>#N/A</v>
      </c>
      <c r="W112" s="1034" t="e">
        <f t="shared" si="72"/>
        <v>#N/A</v>
      </c>
      <c r="X112" s="1034" t="b">
        <f t="shared" si="73"/>
        <v>0</v>
      </c>
      <c r="Y112" s="1034">
        <f t="shared" si="74"/>
        <v>0</v>
      </c>
      <c r="Z112" s="1034">
        <f t="shared" si="75"/>
        <v>0</v>
      </c>
      <c r="AA112" s="1034">
        <f t="shared" si="59"/>
        <v>0</v>
      </c>
      <c r="AB112" s="1034">
        <f t="shared" si="60"/>
        <v>0</v>
      </c>
      <c r="AC112" s="1033">
        <f t="shared" si="76"/>
        <v>0</v>
      </c>
      <c r="AD112" s="1266">
        <f t="shared" si="61"/>
        <v>0</v>
      </c>
      <c r="AE112" s="1093">
        <f t="shared" si="77"/>
        <v>0</v>
      </c>
      <c r="AF112" s="1093">
        <f t="shared" si="78"/>
        <v>0</v>
      </c>
      <c r="AG112" s="1093">
        <f t="shared" si="62"/>
        <v>0</v>
      </c>
      <c r="AH112" s="1033" t="e">
        <f t="shared" si="63"/>
        <v>#DIV/0!</v>
      </c>
      <c r="AI112" s="1091">
        <f t="shared" si="64"/>
        <v>0</v>
      </c>
      <c r="AJ112" s="1094">
        <f t="shared" si="65"/>
        <v>0</v>
      </c>
      <c r="AK112" s="1053" t="str">
        <f t="shared" si="66"/>
        <v/>
      </c>
      <c r="AL112" s="1053"/>
      <c r="AM112" s="1290">
        <f>_xlfn.XLOOKUP(F112,Proveedores!A:A,Proveedores!G:G)</f>
        <v>0</v>
      </c>
      <c r="AN112" s="1095" t="str">
        <f t="shared" si="79"/>
        <v>OK</v>
      </c>
    </row>
    <row r="113" spans="1:40" ht="15.95">
      <c r="A113" s="1090" t="b">
        <f t="shared" si="54"/>
        <v>1</v>
      </c>
      <c r="B113" s="1091" t="b">
        <f t="shared" si="67"/>
        <v>1</v>
      </c>
      <c r="C113" s="1092" t="str">
        <f t="shared" si="68"/>
        <v>Dólares</v>
      </c>
      <c r="D113" s="14"/>
      <c r="E113" s="743"/>
      <c r="F113" s="17"/>
      <c r="G113" s="17" t="str">
        <f t="shared" si="55"/>
        <v xml:space="preserve"> </v>
      </c>
      <c r="H113" s="12">
        <v>0</v>
      </c>
      <c r="I113" s="16" t="str">
        <f>IFERROR(VLOOKUP(G113,Proveedores!B:C,2,0)," ")</f>
        <v xml:space="preserve"> </v>
      </c>
      <c r="J113" s="745">
        <v>0</v>
      </c>
      <c r="K113" s="745" t="str">
        <f t="shared" si="56"/>
        <v>Not Found</v>
      </c>
      <c r="L113" s="16">
        <f>IF(K113="Importado",Fletes!$B$66,0%)</f>
        <v>0</v>
      </c>
      <c r="M113" s="745">
        <f t="shared" si="69"/>
        <v>0</v>
      </c>
      <c r="N113" s="16">
        <f>IF(K113&lt;&gt;"Importado",0%,IF(Fletes!$B$67&lt;10,15%,IF(Fletes!$B$67&lt;20,10%,5%)))</f>
        <v>0</v>
      </c>
      <c r="O113" s="745" t="str">
        <f>IFERROR(IF(OR(F113="Offiho",F113="Lauco Sofas",F113="Requiez",F113="Labenze",F113="Sunon Mty",F113="Sonara"),(M113*(1-_xlfn.XLOOKUP(F113,Proveedores!A:A,Proveedores!I:I)))*(1+N113),((M113*(1-_xlfn.XLOOKUP(F113,Proveedores!A:A,Proveedores!I:I)))*(1+N113))+U113),"")</f>
        <v/>
      </c>
      <c r="P113" s="1031"/>
      <c r="Q113" s="1133">
        <f>IF(K113&lt;&gt;"Importado",0,IF(P113&gt;0,P113*H113,IFERROR(_xlfn.XLOOKUP(F113,Proveedores!A:A,Proveedores!F:F,0)*H113,0)))</f>
        <v>0</v>
      </c>
      <c r="R113" s="1134" t="e">
        <f t="shared" si="70"/>
        <v>#VALUE!</v>
      </c>
      <c r="S113" s="743"/>
      <c r="T113" s="1034" t="e">
        <f t="shared" si="57"/>
        <v>#N/A</v>
      </c>
      <c r="U113" s="1034" t="e">
        <f t="shared" si="71"/>
        <v>#N/A</v>
      </c>
      <c r="V113" s="1165" t="e">
        <f t="shared" si="58"/>
        <v>#N/A</v>
      </c>
      <c r="W113" s="1034" t="e">
        <f t="shared" si="72"/>
        <v>#N/A</v>
      </c>
      <c r="X113" s="1034" t="b">
        <f t="shared" si="73"/>
        <v>0</v>
      </c>
      <c r="Y113" s="1034">
        <f t="shared" si="74"/>
        <v>0</v>
      </c>
      <c r="Z113" s="1034">
        <f t="shared" si="75"/>
        <v>0</v>
      </c>
      <c r="AA113" s="1034">
        <f t="shared" si="59"/>
        <v>0</v>
      </c>
      <c r="AB113" s="1034">
        <f t="shared" si="60"/>
        <v>0</v>
      </c>
      <c r="AC113" s="1033">
        <f t="shared" si="76"/>
        <v>0</v>
      </c>
      <c r="AD113" s="1266">
        <f t="shared" si="61"/>
        <v>0</v>
      </c>
      <c r="AE113" s="1093">
        <f t="shared" si="77"/>
        <v>0</v>
      </c>
      <c r="AF113" s="1093">
        <f t="shared" si="78"/>
        <v>0</v>
      </c>
      <c r="AG113" s="1093">
        <f t="shared" si="62"/>
        <v>0</v>
      </c>
      <c r="AH113" s="1033" t="e">
        <f t="shared" si="63"/>
        <v>#DIV/0!</v>
      </c>
      <c r="AI113" s="1091">
        <f t="shared" si="64"/>
        <v>0</v>
      </c>
      <c r="AJ113" s="1094">
        <f t="shared" si="65"/>
        <v>0</v>
      </c>
      <c r="AK113" s="1053" t="str">
        <f t="shared" si="66"/>
        <v/>
      </c>
      <c r="AL113" s="1053"/>
      <c r="AM113" s="1290">
        <f>_xlfn.XLOOKUP(F113,Proveedores!A:A,Proveedores!G:G)</f>
        <v>0</v>
      </c>
      <c r="AN113" s="1095" t="str">
        <f t="shared" si="79"/>
        <v>OK</v>
      </c>
    </row>
    <row r="114" spans="1:40" ht="15.95">
      <c r="A114" s="1090" t="b">
        <f t="shared" si="54"/>
        <v>1</v>
      </c>
      <c r="B114" s="1091" t="b">
        <f t="shared" si="67"/>
        <v>1</v>
      </c>
      <c r="C114" s="1092" t="str">
        <f t="shared" si="68"/>
        <v>Dólares</v>
      </c>
      <c r="D114" s="14"/>
      <c r="E114" s="743"/>
      <c r="F114" s="17"/>
      <c r="G114" s="17" t="str">
        <f t="shared" si="55"/>
        <v xml:space="preserve"> </v>
      </c>
      <c r="H114" s="12">
        <v>0</v>
      </c>
      <c r="I114" s="16" t="str">
        <f>IFERROR(VLOOKUP(G114,Proveedores!B:C,2,0)," ")</f>
        <v xml:space="preserve"> </v>
      </c>
      <c r="J114" s="745">
        <v>0</v>
      </c>
      <c r="K114" s="745" t="str">
        <f t="shared" si="56"/>
        <v>Not Found</v>
      </c>
      <c r="L114" s="16">
        <f>IF(K114="Importado",Fletes!$B$66,0%)</f>
        <v>0</v>
      </c>
      <c r="M114" s="745">
        <f t="shared" si="69"/>
        <v>0</v>
      </c>
      <c r="N114" s="16">
        <f>IF(K114&lt;&gt;"Importado",0%,IF(Fletes!$B$67&lt;10,15%,IF(Fletes!$B$67&lt;20,10%,5%)))</f>
        <v>0</v>
      </c>
      <c r="O114" s="745" t="str">
        <f>IFERROR(IF(OR(F114="Offiho",F114="Lauco Sofas",F114="Requiez",F114="Labenze",F114="Sunon Mty",F114="Sonara"),(M114*(1-_xlfn.XLOOKUP(F114,Proveedores!A:A,Proveedores!I:I)))*(1+N114),((M114*(1-_xlfn.XLOOKUP(F114,Proveedores!A:A,Proveedores!I:I)))*(1+N114))+U114),"")</f>
        <v/>
      </c>
      <c r="P114" s="1031"/>
      <c r="Q114" s="1133">
        <f>IF(K114&lt;&gt;"Importado",0,IF(P114&gt;0,P114*H114,IFERROR(_xlfn.XLOOKUP(F114,Proveedores!A:A,Proveedores!F:F,0)*H114,0)))</f>
        <v>0</v>
      </c>
      <c r="R114" s="1134" t="e">
        <f t="shared" si="70"/>
        <v>#VALUE!</v>
      </c>
      <c r="S114" s="743"/>
      <c r="T114" s="1034" t="e">
        <f t="shared" si="57"/>
        <v>#N/A</v>
      </c>
      <c r="U114" s="1034" t="e">
        <f t="shared" si="71"/>
        <v>#N/A</v>
      </c>
      <c r="V114" s="1165" t="e">
        <f t="shared" si="58"/>
        <v>#N/A</v>
      </c>
      <c r="W114" s="1034" t="e">
        <f t="shared" si="72"/>
        <v>#N/A</v>
      </c>
      <c r="X114" s="1034" t="b">
        <f t="shared" si="73"/>
        <v>0</v>
      </c>
      <c r="Y114" s="1034">
        <f t="shared" si="74"/>
        <v>0</v>
      </c>
      <c r="Z114" s="1034">
        <f t="shared" si="75"/>
        <v>0</v>
      </c>
      <c r="AA114" s="1034">
        <f t="shared" si="59"/>
        <v>0</v>
      </c>
      <c r="AB114" s="1034">
        <f t="shared" si="60"/>
        <v>0</v>
      </c>
      <c r="AC114" s="1033">
        <f t="shared" si="76"/>
        <v>0</v>
      </c>
      <c r="AD114" s="1266">
        <f t="shared" si="61"/>
        <v>0</v>
      </c>
      <c r="AE114" s="1093">
        <f t="shared" si="77"/>
        <v>0</v>
      </c>
      <c r="AF114" s="1093">
        <f t="shared" si="78"/>
        <v>0</v>
      </c>
      <c r="AG114" s="1093">
        <f t="shared" si="62"/>
        <v>0</v>
      </c>
      <c r="AH114" s="1033" t="e">
        <f t="shared" si="63"/>
        <v>#DIV/0!</v>
      </c>
      <c r="AI114" s="1091">
        <f t="shared" si="64"/>
        <v>0</v>
      </c>
      <c r="AJ114" s="1094">
        <f t="shared" si="65"/>
        <v>0</v>
      </c>
      <c r="AK114" s="1053" t="str">
        <f t="shared" si="66"/>
        <v/>
      </c>
      <c r="AL114" s="1053"/>
      <c r="AM114" s="1290">
        <f>_xlfn.XLOOKUP(F114,Proveedores!A:A,Proveedores!G:G)</f>
        <v>0</v>
      </c>
      <c r="AN114" s="1095" t="str">
        <f t="shared" si="79"/>
        <v>OK</v>
      </c>
    </row>
    <row r="115" spans="1:40" ht="15.95">
      <c r="A115" s="1090" t="b">
        <f t="shared" si="54"/>
        <v>1</v>
      </c>
      <c r="B115" s="1091" t="b">
        <f t="shared" si="67"/>
        <v>1</v>
      </c>
      <c r="C115" s="1092" t="str">
        <f t="shared" si="68"/>
        <v>Dólares</v>
      </c>
      <c r="D115" s="14"/>
      <c r="E115" s="743"/>
      <c r="F115" s="17"/>
      <c r="G115" s="17" t="str">
        <f t="shared" si="55"/>
        <v xml:space="preserve"> </v>
      </c>
      <c r="H115" s="12">
        <v>0</v>
      </c>
      <c r="I115" s="16" t="str">
        <f>IFERROR(VLOOKUP(G115,Proveedores!B:C,2,0)," ")</f>
        <v xml:space="preserve"> </v>
      </c>
      <c r="J115" s="745">
        <v>0</v>
      </c>
      <c r="K115" s="745" t="str">
        <f t="shared" si="56"/>
        <v>Not Found</v>
      </c>
      <c r="L115" s="16">
        <f>IF(K115="Importado",Fletes!$B$66,0%)</f>
        <v>0</v>
      </c>
      <c r="M115" s="745">
        <f t="shared" si="69"/>
        <v>0</v>
      </c>
      <c r="N115" s="16">
        <f>IF(K115&lt;&gt;"Importado",0%,IF(Fletes!$B$67&lt;10,15%,IF(Fletes!$B$67&lt;20,10%,5%)))</f>
        <v>0</v>
      </c>
      <c r="O115" s="745" t="str">
        <f>IFERROR(IF(OR(F115="Offiho",F115="Lauco Sofas",F115="Requiez",F115="Labenze",F115="Sunon Mty",F115="Sonara"),(M115*(1-_xlfn.XLOOKUP(F115,Proveedores!A:A,Proveedores!I:I)))*(1+N115),((M115*(1-_xlfn.XLOOKUP(F115,Proveedores!A:A,Proveedores!I:I)))*(1+N115))+U115),"")</f>
        <v/>
      </c>
      <c r="P115" s="1031"/>
      <c r="Q115" s="1133">
        <f>IF(K115&lt;&gt;"Importado",0,IF(P115&gt;0,P115*H115,IFERROR(_xlfn.XLOOKUP(F115,Proveedores!A:A,Proveedores!F:F,0)*H115,0)))</f>
        <v>0</v>
      </c>
      <c r="R115" s="1134" t="e">
        <f t="shared" si="70"/>
        <v>#VALUE!</v>
      </c>
      <c r="S115" s="743"/>
      <c r="T115" s="1034" t="e">
        <f t="shared" si="57"/>
        <v>#N/A</v>
      </c>
      <c r="U115" s="1034" t="e">
        <f t="shared" si="71"/>
        <v>#N/A</v>
      </c>
      <c r="V115" s="1165" t="e">
        <f t="shared" si="58"/>
        <v>#N/A</v>
      </c>
      <c r="W115" s="1034" t="e">
        <f t="shared" si="72"/>
        <v>#N/A</v>
      </c>
      <c r="X115" s="1034" t="b">
        <f t="shared" si="73"/>
        <v>0</v>
      </c>
      <c r="Y115" s="1034">
        <f t="shared" si="74"/>
        <v>0</v>
      </c>
      <c r="Z115" s="1034">
        <f t="shared" si="75"/>
        <v>0</v>
      </c>
      <c r="AA115" s="1034">
        <f t="shared" si="59"/>
        <v>0</v>
      </c>
      <c r="AB115" s="1034">
        <f t="shared" si="60"/>
        <v>0</v>
      </c>
      <c r="AC115" s="1033">
        <f t="shared" si="76"/>
        <v>0</v>
      </c>
      <c r="AD115" s="1266">
        <f t="shared" si="61"/>
        <v>0</v>
      </c>
      <c r="AE115" s="1093">
        <f t="shared" si="77"/>
        <v>0</v>
      </c>
      <c r="AF115" s="1093">
        <f t="shared" si="78"/>
        <v>0</v>
      </c>
      <c r="AG115" s="1093">
        <f t="shared" si="62"/>
        <v>0</v>
      </c>
      <c r="AH115" s="1033" t="e">
        <f t="shared" si="63"/>
        <v>#DIV/0!</v>
      </c>
      <c r="AI115" s="1091">
        <f t="shared" si="64"/>
        <v>0</v>
      </c>
      <c r="AJ115" s="1094">
        <f t="shared" si="65"/>
        <v>0</v>
      </c>
      <c r="AK115" s="1053" t="str">
        <f t="shared" si="66"/>
        <v/>
      </c>
      <c r="AL115" s="1053"/>
      <c r="AM115" s="1290">
        <f>_xlfn.XLOOKUP(F115,Proveedores!A:A,Proveedores!G:G)</f>
        <v>0</v>
      </c>
      <c r="AN115" s="1095" t="str">
        <f t="shared" si="79"/>
        <v>OK</v>
      </c>
    </row>
    <row r="116" spans="1:40" ht="15.95">
      <c r="A116" s="1090" t="b">
        <f t="shared" si="54"/>
        <v>1</v>
      </c>
      <c r="B116" s="1091" t="b">
        <f t="shared" si="67"/>
        <v>1</v>
      </c>
      <c r="C116" s="1092" t="str">
        <f t="shared" si="68"/>
        <v>Dólares</v>
      </c>
      <c r="D116" s="14"/>
      <c r="E116" s="743"/>
      <c r="F116" s="17"/>
      <c r="G116" s="17" t="str">
        <f t="shared" si="55"/>
        <v xml:space="preserve"> </v>
      </c>
      <c r="H116" s="12">
        <v>0</v>
      </c>
      <c r="I116" s="16" t="str">
        <f>IFERROR(VLOOKUP(G116,Proveedores!B:C,2,0)," ")</f>
        <v xml:space="preserve"> </v>
      </c>
      <c r="J116" s="745">
        <v>0</v>
      </c>
      <c r="K116" s="745" t="str">
        <f t="shared" si="56"/>
        <v>Not Found</v>
      </c>
      <c r="L116" s="16">
        <f>IF(K116="Importado",Fletes!$B$66,0%)</f>
        <v>0</v>
      </c>
      <c r="M116" s="745">
        <f t="shared" si="69"/>
        <v>0</v>
      </c>
      <c r="N116" s="16">
        <f>IF(K116&lt;&gt;"Importado",0%,IF(Fletes!$B$67&lt;10,15%,IF(Fletes!$B$67&lt;20,10%,5%)))</f>
        <v>0</v>
      </c>
      <c r="O116" s="745" t="str">
        <f>IFERROR(IF(OR(F116="Offiho",F116="Lauco Sofas",F116="Requiez",F116="Labenze",F116="Sunon Mty",F116="Sonara"),(M116*(1-_xlfn.XLOOKUP(F116,Proveedores!A:A,Proveedores!I:I)))*(1+N116),((M116*(1-_xlfn.XLOOKUP(F116,Proveedores!A:A,Proveedores!I:I)))*(1+N116))+U116),"")</f>
        <v/>
      </c>
      <c r="P116" s="1031"/>
      <c r="Q116" s="1133">
        <f>IF(K116&lt;&gt;"Importado",0,IF(P116&gt;0,P116*H116,IFERROR(_xlfn.XLOOKUP(F116,Proveedores!A:A,Proveedores!F:F,0)*H116,0)))</f>
        <v>0</v>
      </c>
      <c r="R116" s="1134" t="e">
        <f t="shared" si="70"/>
        <v>#VALUE!</v>
      </c>
      <c r="S116" s="743"/>
      <c r="T116" s="1034" t="e">
        <f t="shared" si="57"/>
        <v>#N/A</v>
      </c>
      <c r="U116" s="1034" t="e">
        <f t="shared" si="71"/>
        <v>#N/A</v>
      </c>
      <c r="V116" s="1165" t="e">
        <f t="shared" si="58"/>
        <v>#N/A</v>
      </c>
      <c r="W116" s="1034" t="e">
        <f t="shared" si="72"/>
        <v>#N/A</v>
      </c>
      <c r="X116" s="1034" t="b">
        <f t="shared" si="73"/>
        <v>0</v>
      </c>
      <c r="Y116" s="1034">
        <f t="shared" si="74"/>
        <v>0</v>
      </c>
      <c r="Z116" s="1034">
        <f t="shared" si="75"/>
        <v>0</v>
      </c>
      <c r="AA116" s="1034">
        <f t="shared" si="59"/>
        <v>0</v>
      </c>
      <c r="AB116" s="1034">
        <f t="shared" si="60"/>
        <v>0</v>
      </c>
      <c r="AC116" s="1033">
        <f t="shared" si="76"/>
        <v>0</v>
      </c>
      <c r="AD116" s="1266">
        <f t="shared" si="61"/>
        <v>0</v>
      </c>
      <c r="AE116" s="1093">
        <f t="shared" si="77"/>
        <v>0</v>
      </c>
      <c r="AF116" s="1093">
        <f t="shared" si="78"/>
        <v>0</v>
      </c>
      <c r="AG116" s="1093">
        <f t="shared" si="62"/>
        <v>0</v>
      </c>
      <c r="AH116" s="1033" t="e">
        <f t="shared" si="63"/>
        <v>#DIV/0!</v>
      </c>
      <c r="AI116" s="1091">
        <f t="shared" si="64"/>
        <v>0</v>
      </c>
      <c r="AJ116" s="1094">
        <f t="shared" si="65"/>
        <v>0</v>
      </c>
      <c r="AK116" s="1053" t="str">
        <f t="shared" si="66"/>
        <v/>
      </c>
      <c r="AL116" s="1053"/>
      <c r="AM116" s="1290">
        <f>_xlfn.XLOOKUP(F116,Proveedores!A:A,Proveedores!G:G)</f>
        <v>0</v>
      </c>
      <c r="AN116" s="1095" t="str">
        <f t="shared" si="79"/>
        <v>OK</v>
      </c>
    </row>
    <row r="117" spans="1:40" ht="15.95">
      <c r="A117" s="1090" t="b">
        <f t="shared" si="54"/>
        <v>1</v>
      </c>
      <c r="B117" s="1091" t="b">
        <f t="shared" si="67"/>
        <v>1</v>
      </c>
      <c r="C117" s="1092" t="str">
        <f t="shared" si="68"/>
        <v>Dólares</v>
      </c>
      <c r="D117" s="14"/>
      <c r="E117" s="743"/>
      <c r="F117" s="17"/>
      <c r="G117" s="17" t="str">
        <f t="shared" si="55"/>
        <v xml:space="preserve"> </v>
      </c>
      <c r="H117" s="12">
        <v>0</v>
      </c>
      <c r="I117" s="16" t="str">
        <f>IFERROR(VLOOKUP(G117,Proveedores!B:C,2,0)," ")</f>
        <v xml:space="preserve"> </v>
      </c>
      <c r="J117" s="745">
        <v>0</v>
      </c>
      <c r="K117" s="745" t="str">
        <f t="shared" si="56"/>
        <v>Not Found</v>
      </c>
      <c r="L117" s="16">
        <f>IF(K117="Importado",Fletes!$B$66,0%)</f>
        <v>0</v>
      </c>
      <c r="M117" s="745">
        <f t="shared" si="69"/>
        <v>0</v>
      </c>
      <c r="N117" s="16">
        <f>IF(K117&lt;&gt;"Importado",0%,IF(Fletes!$B$67&lt;10,15%,IF(Fletes!$B$67&lt;20,10%,5%)))</f>
        <v>0</v>
      </c>
      <c r="O117" s="745" t="str">
        <f>IFERROR(IF(OR(F117="Offiho",F117="Lauco Sofas",F117="Requiez",F117="Labenze",F117="Sunon Mty",F117="Sonara"),(M117*(1-_xlfn.XLOOKUP(F117,Proveedores!A:A,Proveedores!I:I)))*(1+N117),((M117*(1-_xlfn.XLOOKUP(F117,Proveedores!A:A,Proveedores!I:I)))*(1+N117))+U117),"")</f>
        <v/>
      </c>
      <c r="P117" s="1031"/>
      <c r="Q117" s="1133">
        <f>IF(K117&lt;&gt;"Importado",0,IF(P117&gt;0,P117*H117,IFERROR(_xlfn.XLOOKUP(F117,Proveedores!A:A,Proveedores!F:F,0)*H117,0)))</f>
        <v>0</v>
      </c>
      <c r="R117" s="1134" t="e">
        <f t="shared" si="70"/>
        <v>#VALUE!</v>
      </c>
      <c r="S117" s="743"/>
      <c r="T117" s="1034" t="e">
        <f t="shared" si="57"/>
        <v>#N/A</v>
      </c>
      <c r="U117" s="1034" t="e">
        <f t="shared" si="71"/>
        <v>#N/A</v>
      </c>
      <c r="V117" s="1165" t="e">
        <f t="shared" si="58"/>
        <v>#N/A</v>
      </c>
      <c r="W117" s="1034" t="e">
        <f t="shared" si="72"/>
        <v>#N/A</v>
      </c>
      <c r="X117" s="1034" t="b">
        <f t="shared" si="73"/>
        <v>0</v>
      </c>
      <c r="Y117" s="1034">
        <f t="shared" si="74"/>
        <v>0</v>
      </c>
      <c r="Z117" s="1034">
        <f t="shared" si="75"/>
        <v>0</v>
      </c>
      <c r="AA117" s="1034">
        <f t="shared" si="59"/>
        <v>0</v>
      </c>
      <c r="AB117" s="1034">
        <f t="shared" si="60"/>
        <v>0</v>
      </c>
      <c r="AC117" s="1033">
        <f t="shared" si="76"/>
        <v>0</v>
      </c>
      <c r="AD117" s="1266">
        <f t="shared" si="61"/>
        <v>0</v>
      </c>
      <c r="AE117" s="1093">
        <f t="shared" si="77"/>
        <v>0</v>
      </c>
      <c r="AF117" s="1093">
        <f t="shared" si="78"/>
        <v>0</v>
      </c>
      <c r="AG117" s="1093">
        <f t="shared" si="62"/>
        <v>0</v>
      </c>
      <c r="AH117" s="1033" t="str">
        <f t="shared" si="63"/>
        <v>NA</v>
      </c>
      <c r="AI117" s="1091">
        <f t="shared" si="64"/>
        <v>0</v>
      </c>
      <c r="AJ117" s="1094">
        <f t="shared" si="65"/>
        <v>0</v>
      </c>
      <c r="AK117" s="1053" t="str">
        <f t="shared" si="66"/>
        <v/>
      </c>
      <c r="AL117" s="1053"/>
      <c r="AM117" s="1290">
        <f>_xlfn.XLOOKUP(F117,Proveedores!A:A,Proveedores!G:G)</f>
        <v>0</v>
      </c>
      <c r="AN117" s="1095" t="str">
        <f t="shared" si="79"/>
        <v>OK</v>
      </c>
    </row>
    <row r="118" spans="1:40" ht="24" customHeight="1">
      <c r="A118" s="1375" t="s">
        <v>131</v>
      </c>
      <c r="B118" s="1375"/>
      <c r="C118" s="1375"/>
      <c r="D118" s="1375"/>
      <c r="E118" s="1375"/>
      <c r="F118" s="1375"/>
      <c r="G118" s="1099"/>
      <c r="H118" s="1100" cm="1">
        <f t="array" ref="H118">SUM(IFERROR(H85:H117,0))</f>
        <v>0</v>
      </c>
      <c r="I118" s="1099"/>
      <c r="J118" s="1101"/>
      <c r="K118" s="1101"/>
      <c r="L118" s="1101"/>
      <c r="M118" s="1101"/>
      <c r="N118" s="1101"/>
      <c r="O118" s="1101"/>
      <c r="P118" s="1102"/>
      <c r="Q118" s="1100" cm="1">
        <f t="array" ref="Q118">SUM(IFERROR(Q85:Q117,0))</f>
        <v>0</v>
      </c>
      <c r="R118" s="1103" cm="1">
        <f t="array" ref="R118">SUM(IFERROR(R85:R117,0))</f>
        <v>0</v>
      </c>
      <c r="S118" s="1104"/>
      <c r="T118" s="1104"/>
      <c r="U118" s="1104"/>
      <c r="V118" s="1104"/>
      <c r="W118" s="1104"/>
      <c r="X118" s="1104"/>
      <c r="Y118" s="1102"/>
      <c r="Z118" s="1102"/>
      <c r="AA118" s="1102"/>
      <c r="AB118" s="1103" cm="1">
        <f t="array" ref="AB118">SUM(IFERROR(AB85:AB117,0))</f>
        <v>0</v>
      </c>
      <c r="AC118" s="1104" t="s">
        <v>127</v>
      </c>
      <c r="AD118" s="1104"/>
      <c r="AE118" s="1104"/>
      <c r="AF118" s="1104"/>
      <c r="AG118" s="1103" cm="1">
        <f t="array" ref="AG118">SUM(IFERROR(AG85:AG117,0))</f>
        <v>0</v>
      </c>
      <c r="AH118" s="1103"/>
      <c r="AI118" s="1103"/>
      <c r="AJ118" s="1103" cm="1">
        <f t="array" ref="AJ118">SUM(IFERROR(AJ85:AJ117,0))</f>
        <v>0</v>
      </c>
      <c r="AK118" s="1054" cm="1">
        <f t="array" ref="AK118">IFERROR(SUMPRODUCT(IFERROR(AG85:AG117,0),IFERROR(AK85:AK117,0))/SUMPRODUCT(IFERROR(AG85:AG117,0)),0)</f>
        <v>0</v>
      </c>
      <c r="AL118" s="1288"/>
      <c r="AM118" s="1288"/>
      <c r="AN118"/>
    </row>
    <row r="119" spans="1:40" ht="26.1" customHeight="1">
      <c r="A119" s="1397" t="s">
        <v>132</v>
      </c>
      <c r="B119" s="1397"/>
      <c r="C119" s="1397"/>
      <c r="D119" s="1397"/>
      <c r="E119" s="1397"/>
      <c r="F119" s="1397"/>
      <c r="G119" s="1397"/>
      <c r="H119" s="1397"/>
      <c r="I119" s="1397"/>
      <c r="J119" s="1398"/>
      <c r="K119" s="1160"/>
      <c r="L119" s="1160"/>
      <c r="M119" s="1160"/>
      <c r="N119" s="1160"/>
      <c r="O119" s="1160"/>
      <c r="P119" s="1088"/>
      <c r="Q119" s="1088"/>
      <c r="R119" s="1088"/>
      <c r="S119" s="1087"/>
      <c r="T119" s="1087"/>
      <c r="U119" s="1087"/>
      <c r="V119" s="1087"/>
      <c r="W119" s="1087"/>
      <c r="X119" s="1087"/>
      <c r="Y119" s="1087"/>
      <c r="Z119" s="1087"/>
      <c r="AA119" s="1087"/>
      <c r="AB119" s="1087"/>
      <c r="AC119" s="1087"/>
      <c r="AD119" s="1087"/>
      <c r="AE119" s="1087"/>
      <c r="AF119" s="1087"/>
      <c r="AG119" s="1087"/>
      <c r="AH119" s="1087"/>
      <c r="AI119" s="1087"/>
      <c r="AJ119" s="1087"/>
      <c r="AK119" s="1089"/>
      <c r="AL119" s="1287"/>
      <c r="AM119" s="1287"/>
      <c r="AN119"/>
    </row>
    <row r="120" spans="1:40" ht="15.95">
      <c r="A120" s="1090" t="b">
        <f t="shared" ref="A120:A152" si="80">$A$14</f>
        <v>1</v>
      </c>
      <c r="B120" s="1091" t="b">
        <f>A120</f>
        <v>1</v>
      </c>
      <c r="C120" s="1092" t="str">
        <f>$C$14</f>
        <v>Dólares</v>
      </c>
      <c r="D120" s="11"/>
      <c r="E120" s="743"/>
      <c r="F120" s="17"/>
      <c r="G120" s="17" t="str">
        <f t="shared" ref="G120:G152" si="81">IFERROR(VLOOKUP(F120,Tabla_Proveedores_1,2,0)," ")</f>
        <v xml:space="preserve"> </v>
      </c>
      <c r="H120" s="12">
        <v>0</v>
      </c>
      <c r="I120" s="16" t="str">
        <f>IFERROR(VLOOKUP(G120,Proveedores!B:C,2,0)," ")</f>
        <v xml:space="preserve"> </v>
      </c>
      <c r="J120" s="745">
        <v>0</v>
      </c>
      <c r="K120" s="745" t="str">
        <f t="shared" ref="K120:K152" si="82">IFERROR(VLOOKUP(TRIM(F120), ProveedoreS_TC, 5, FALSE), "Not Found")</f>
        <v>Not Found</v>
      </c>
      <c r="L120" s="16">
        <f>IF(K120="Importado",Fletes!$B$66,0%)</f>
        <v>0</v>
      </c>
      <c r="M120" s="745">
        <f>IF(K120="Importado",J120*(1+L120),J120*(1+L120))</f>
        <v>0</v>
      </c>
      <c r="N120" s="16">
        <f>IF(K120&lt;&gt;"Importado",0%,IF(Fletes!$B$67&lt;10,15%,IF(Fletes!$B$67&lt;20,10%,5%)))</f>
        <v>0</v>
      </c>
      <c r="O120" s="745" t="str">
        <f>IFERROR(IF(OR(F120="Offiho",F120="Lauco Sofas",F120="Requiez",F120="Labenze",F120="Sunon Mty",F120="Sonara"),(M120*(1-_xlfn.XLOOKUP(F120,Proveedores!A:A,Proveedores!I:I)))*(1+N120),((M120*(1-_xlfn.XLOOKUP(F120,Proveedores!A:A,Proveedores!I:I)))*(1+N120))+U120),"")</f>
        <v/>
      </c>
      <c r="P120" s="1031"/>
      <c r="Q120" s="1133">
        <f>IF(K120&lt;&gt;"Importado",0,IF(P120&gt;0,P120*H120,IFERROR(_xlfn.XLOOKUP(F120,Proveedores!A:A,Proveedores!F:F,0)*H120,0)))</f>
        <v>0</v>
      </c>
      <c r="R120" s="1134" t="e">
        <f>O120*H120</f>
        <v>#VALUE!</v>
      </c>
      <c r="S120" s="743"/>
      <c r="T120" s="1034" t="e">
        <f t="shared" ref="T120:T152" si="83">IF(H120&gt;15,0,VLOOKUP(E120,Tabla_Instalacion,2,FALSE))</f>
        <v>#N/A</v>
      </c>
      <c r="U120" s="1034" t="e">
        <f>X120/V120</f>
        <v>#N/A</v>
      </c>
      <c r="V120" s="1165" t="e">
        <f t="shared" ref="V120:V152" si="84">VLOOKUP(E120,Tabla_Factor,2,FALSE)</f>
        <v>#N/A</v>
      </c>
      <c r="W120" s="1034" t="e">
        <f>T120*V120</f>
        <v>#N/A</v>
      </c>
      <c r="X120" s="1034" t="b">
        <f>IF(S120="Occidente",W120,IF(S120="Norte",W120*1.5,IF(S120="Centro",W120*1.2,IF(S120="Sur",W120*1.7))))</f>
        <v>0</v>
      </c>
      <c r="Y120" s="1034">
        <f>ROUNDUP(IF(OR(F120="Offiho",F120="Lauco Sofas",F120="Requiez",F120="Labenze",F120="Sunon Mty",F120="Sonara",F120="Santeco"),J120,IF(K120="Nacional",O120/(1-30%),IF(K120="Importado",O120/(1-40%),IF(OR(F120="Lumbro",F120="Idelika"),O120/(1-20%))))),0)</f>
        <v>0</v>
      </c>
      <c r="Z120" s="1034">
        <f>ROUNDUP(IF(OR(F120="Offiho",F120="Lauco Sofas",F120="Requiez",F120="Labenze",F120="Sunon Mty",F120="Sonara",F120="Sonara"),Y120,IF($P$10="MIXTO",IF(K120="Nacional",Y120/(1-50%),Y120/(1-50%)),IF($P$10="IMPORTADO",Y120/(1-50%),IF($P$10="NACIONAL",Y120/(1-20%),Y120/(1-20%))))),0)</f>
        <v>0</v>
      </c>
      <c r="AA120" s="1034">
        <f t="shared" ref="AA120:AA152" si="85">IF(Z120&gt;=Y120,_xlfn.MINIFS($Z$15:$Z$572,$D$15:$D$572,D120),"NO SE ESTA RESPETANDO EL MARGEN")</f>
        <v>0</v>
      </c>
      <c r="AB120" s="1034">
        <f t="shared" ref="AB120:AB152" si="86">IFERROR(AA120*H120,0)</f>
        <v>0</v>
      </c>
      <c r="AC120" s="1033">
        <f>IF($P$10="IMPORTADO",50%,IF($P$10="NACIONAL",20%,IF($P$10="MIXTO",50%,0%)))</f>
        <v>0</v>
      </c>
      <c r="AD120" s="1266">
        <f t="shared" ref="AD120:AD152" si="87">IF(H120&gt;0,$E$5,0)</f>
        <v>0</v>
      </c>
      <c r="AE120" s="1093">
        <f>IFERROR(AA120*AD120,0)</f>
        <v>0</v>
      </c>
      <c r="AF120" s="1093">
        <f>IF($E$5&gt;$E$6,"ERROR",AA120-AE120)</f>
        <v>0</v>
      </c>
      <c r="AG120" s="1093">
        <f t="shared" ref="AG120:AG152" si="88">AF120*H120</f>
        <v>0</v>
      </c>
      <c r="AH120" s="1033" t="e">
        <f t="shared" ref="AH120:AH152" si="89">IF(A121=TRUE,MAX(0,1-(AI120/Z120)),"NA")</f>
        <v>#DIV/0!</v>
      </c>
      <c r="AI120" s="1091">
        <f t="shared" ref="AI120:AI152" si="90">IF(A119=FALSE,"NO APLICA",AF120*(1+$AI$8))</f>
        <v>0</v>
      </c>
      <c r="AJ120" s="1094">
        <f t="shared" ref="AJ120:AJ152" si="91">AI120*H120</f>
        <v>0</v>
      </c>
      <c r="AK120" s="1053" t="str">
        <f t="shared" ref="AK120:AK152" si="92">IFERROR(IF(OR(F120="Offiho",F120="Vandesk",F120="Requiez",F120="Labenze",F120="Idelika",F120="Sunon Mty"),(AG120-(J120*(1-I120)*H120))/AG120,(AG120-R120)/AG120),"")</f>
        <v/>
      </c>
      <c r="AL120" s="1053"/>
      <c r="AM120" s="1290">
        <f>_xlfn.XLOOKUP(F120,Proveedores!A:A,Proveedores!G:G)</f>
        <v>0</v>
      </c>
      <c r="AN120" s="1095" t="str">
        <f>IF(AK120&lt;AM120,"ERROR","OK")</f>
        <v>OK</v>
      </c>
    </row>
    <row r="121" spans="1:40" ht="15.95">
      <c r="A121" s="1090" t="b">
        <f t="shared" si="80"/>
        <v>1</v>
      </c>
      <c r="B121" s="1091" t="b">
        <f t="shared" ref="B121:B152" si="93">A121</f>
        <v>1</v>
      </c>
      <c r="C121" s="1092" t="str">
        <f t="shared" ref="C121:C152" si="94">$C$14</f>
        <v>Dólares</v>
      </c>
      <c r="D121" s="11"/>
      <c r="E121" s="743"/>
      <c r="F121" s="17"/>
      <c r="G121" s="17" t="str">
        <f t="shared" si="81"/>
        <v xml:space="preserve"> </v>
      </c>
      <c r="H121" s="12">
        <v>0</v>
      </c>
      <c r="I121" s="16" t="str">
        <f>IFERROR(VLOOKUP(G121,Proveedores!B:C,2,0)," ")</f>
        <v xml:space="preserve"> </v>
      </c>
      <c r="J121" s="745">
        <v>0</v>
      </c>
      <c r="K121" s="745" t="str">
        <f t="shared" si="82"/>
        <v>Not Found</v>
      </c>
      <c r="L121" s="16">
        <f>IF(K121="Importado",Fletes!$B$66,0%)</f>
        <v>0</v>
      </c>
      <c r="M121" s="745">
        <f t="shared" ref="M121:M152" si="95">IF(K121="Importado",J121*(1+L121),J121*(1+L121))</f>
        <v>0</v>
      </c>
      <c r="N121" s="16">
        <f>IF(K121&lt;&gt;"Importado",0%,IF(Fletes!$B$67&lt;10,15%,IF(Fletes!$B$67&lt;20,10%,5%)))</f>
        <v>0</v>
      </c>
      <c r="O121" s="745" t="str">
        <f>IFERROR(IF(OR(F121="Offiho",F121="Lauco Sofas",F121="Requiez",F121="Labenze",F121="Sunon Mty",F121="Sonara"),(M121*(1-_xlfn.XLOOKUP(F121,Proveedores!A:A,Proveedores!I:I)))*(1+N121),((M121*(1-_xlfn.XLOOKUP(F121,Proveedores!A:A,Proveedores!I:I)))*(1+N121))+U121),"")</f>
        <v/>
      </c>
      <c r="P121" s="1031"/>
      <c r="Q121" s="1133">
        <f>IF(K121&lt;&gt;"Importado",0,IF(P121&gt;0,P121*H121,IFERROR(_xlfn.XLOOKUP(F121,Proveedores!A:A,Proveedores!F:F,0)*H121,0)))</f>
        <v>0</v>
      </c>
      <c r="R121" s="1134" t="e">
        <f t="shared" ref="R121:R152" si="96">O121*H121</f>
        <v>#VALUE!</v>
      </c>
      <c r="S121" s="743"/>
      <c r="T121" s="1034" t="e">
        <f t="shared" si="83"/>
        <v>#N/A</v>
      </c>
      <c r="U121" s="1034" t="e">
        <f t="shared" ref="U121:U152" si="97">X121/V121</f>
        <v>#N/A</v>
      </c>
      <c r="V121" s="1165" t="e">
        <f t="shared" si="84"/>
        <v>#N/A</v>
      </c>
      <c r="W121" s="1034" t="e">
        <f t="shared" ref="W121:W152" si="98">T121*V121</f>
        <v>#N/A</v>
      </c>
      <c r="X121" s="1034" t="b">
        <f t="shared" ref="X121:X152" si="99">IF(S121="Occidente",W121,IF(S121="Norte",W121*1.5,IF(S121="Centro",W121*1.2,IF(S121="Sur",W121*1.7))))</f>
        <v>0</v>
      </c>
      <c r="Y121" s="1034">
        <f t="shared" ref="Y121:Y152" si="100">ROUNDUP(IF(OR(F121="Offiho",F121="Lauco Sofas",F121="Requiez",F121="Labenze",F121="Sunon Mty",F121="Sonara",F121="Santeco"),J121,IF(K121="Nacional",O121/(1-30%),IF(K121="Importado",O121/(1-40%),IF(OR(F121="Lumbro",F121="Idelika"),O121/(1-20%))))),0)</f>
        <v>0</v>
      </c>
      <c r="Z121" s="1034">
        <f t="shared" ref="Z121:Z152" si="101">ROUNDUP(IF(OR(F121="Offiho",F121="Lauco Sofas",F121="Requiez",F121="Labenze",F121="Sunon Mty",F121="Sonara",F121="Sonara"),Y121,IF($P$10="MIXTO",IF(K121="Nacional",Y121/(1-50%),Y121/(1-50%)),IF($P$10="IMPORTADO",Y121/(1-50%),IF($P$10="NACIONAL",Y121/(1-20%),Y121/(1-20%))))),0)</f>
        <v>0</v>
      </c>
      <c r="AA121" s="1034">
        <f t="shared" si="85"/>
        <v>0</v>
      </c>
      <c r="AB121" s="1034">
        <f t="shared" si="86"/>
        <v>0</v>
      </c>
      <c r="AC121" s="1033">
        <f t="shared" ref="AC121:AC152" si="102">IF($P$10="IMPORTADO",50%,IF($P$10="NACIONAL",20%,IF($P$10="MIXTO",50%,0%)))</f>
        <v>0</v>
      </c>
      <c r="AD121" s="1266">
        <f t="shared" si="87"/>
        <v>0</v>
      </c>
      <c r="AE121" s="1093">
        <f t="shared" ref="AE121:AE152" si="103">IFERROR(AA121*AD121,0)</f>
        <v>0</v>
      </c>
      <c r="AF121" s="1093">
        <f t="shared" ref="AF121:AF152" si="104">IF($E$5&gt;$E$6,"ERROR",AA121-AE121)</f>
        <v>0</v>
      </c>
      <c r="AG121" s="1093">
        <f t="shared" si="88"/>
        <v>0</v>
      </c>
      <c r="AH121" s="1033" t="e">
        <f t="shared" si="89"/>
        <v>#DIV/0!</v>
      </c>
      <c r="AI121" s="1091">
        <f t="shared" si="90"/>
        <v>0</v>
      </c>
      <c r="AJ121" s="1094">
        <f t="shared" si="91"/>
        <v>0</v>
      </c>
      <c r="AK121" s="1053" t="str">
        <f t="shared" si="92"/>
        <v/>
      </c>
      <c r="AL121" s="1053"/>
      <c r="AM121" s="1290">
        <f>_xlfn.XLOOKUP(F121,Proveedores!A:A,Proveedores!G:G)</f>
        <v>0</v>
      </c>
      <c r="AN121" s="1095" t="str">
        <f t="shared" ref="AN121:AN152" si="105">IF(AK121&lt;AM121,"ERROR","OK")</f>
        <v>OK</v>
      </c>
    </row>
    <row r="122" spans="1:40" ht="15.95">
      <c r="A122" s="1090" t="b">
        <f t="shared" si="80"/>
        <v>1</v>
      </c>
      <c r="B122" s="1091" t="b">
        <f t="shared" si="93"/>
        <v>1</v>
      </c>
      <c r="C122" s="1092" t="str">
        <f t="shared" si="94"/>
        <v>Dólares</v>
      </c>
      <c r="D122" s="11"/>
      <c r="E122" s="743"/>
      <c r="F122" s="17"/>
      <c r="G122" s="17" t="str">
        <f t="shared" si="81"/>
        <v xml:space="preserve"> </v>
      </c>
      <c r="H122" s="12">
        <v>0</v>
      </c>
      <c r="I122" s="16" t="str">
        <f>IFERROR(VLOOKUP(G122,Proveedores!B:C,2,0)," ")</f>
        <v xml:space="preserve"> </v>
      </c>
      <c r="J122" s="745">
        <v>0</v>
      </c>
      <c r="K122" s="745" t="str">
        <f t="shared" si="82"/>
        <v>Not Found</v>
      </c>
      <c r="L122" s="16">
        <f>IF(K122="Importado",Fletes!$B$66,0%)</f>
        <v>0</v>
      </c>
      <c r="M122" s="745">
        <f t="shared" si="95"/>
        <v>0</v>
      </c>
      <c r="N122" s="16">
        <f>IF(K122&lt;&gt;"Importado",0%,IF(Fletes!$B$67&lt;10,15%,IF(Fletes!$B$67&lt;20,10%,5%)))</f>
        <v>0</v>
      </c>
      <c r="O122" s="745" t="str">
        <f>IFERROR(IF(OR(F122="Offiho",F122="Lauco Sofas",F122="Requiez",F122="Labenze",F122="Sunon Mty",F122="Sonara"),(M122*(1-_xlfn.XLOOKUP(F122,Proveedores!A:A,Proveedores!I:I)))*(1+N122),((M122*(1-_xlfn.XLOOKUP(F122,Proveedores!A:A,Proveedores!I:I)))*(1+N122))+U122),"")</f>
        <v/>
      </c>
      <c r="P122" s="1031"/>
      <c r="Q122" s="1133">
        <f>IF(K122&lt;&gt;"Importado",0,IF(P122&gt;0,P122*H122,IFERROR(_xlfn.XLOOKUP(F122,Proveedores!A:A,Proveedores!F:F,0)*H122,0)))</f>
        <v>0</v>
      </c>
      <c r="R122" s="1134" t="e">
        <f t="shared" si="96"/>
        <v>#VALUE!</v>
      </c>
      <c r="S122" s="743"/>
      <c r="T122" s="1034" t="e">
        <f t="shared" si="83"/>
        <v>#N/A</v>
      </c>
      <c r="U122" s="1034" t="e">
        <f t="shared" si="97"/>
        <v>#N/A</v>
      </c>
      <c r="V122" s="1165" t="e">
        <f t="shared" si="84"/>
        <v>#N/A</v>
      </c>
      <c r="W122" s="1034" t="e">
        <f t="shared" si="98"/>
        <v>#N/A</v>
      </c>
      <c r="X122" s="1034" t="b">
        <f t="shared" si="99"/>
        <v>0</v>
      </c>
      <c r="Y122" s="1034">
        <f t="shared" si="100"/>
        <v>0</v>
      </c>
      <c r="Z122" s="1034">
        <f t="shared" si="101"/>
        <v>0</v>
      </c>
      <c r="AA122" s="1034">
        <f t="shared" si="85"/>
        <v>0</v>
      </c>
      <c r="AB122" s="1034">
        <f t="shared" si="86"/>
        <v>0</v>
      </c>
      <c r="AC122" s="1033">
        <f t="shared" si="102"/>
        <v>0</v>
      </c>
      <c r="AD122" s="1266">
        <f t="shared" si="87"/>
        <v>0</v>
      </c>
      <c r="AE122" s="1093">
        <f t="shared" si="103"/>
        <v>0</v>
      </c>
      <c r="AF122" s="1093">
        <f t="shared" si="104"/>
        <v>0</v>
      </c>
      <c r="AG122" s="1093">
        <f t="shared" si="88"/>
        <v>0</v>
      </c>
      <c r="AH122" s="1033" t="e">
        <f t="shared" si="89"/>
        <v>#DIV/0!</v>
      </c>
      <c r="AI122" s="1091">
        <f t="shared" si="90"/>
        <v>0</v>
      </c>
      <c r="AJ122" s="1094">
        <f t="shared" si="91"/>
        <v>0</v>
      </c>
      <c r="AK122" s="1053" t="str">
        <f t="shared" si="92"/>
        <v/>
      </c>
      <c r="AL122" s="1053"/>
      <c r="AM122" s="1290">
        <f>_xlfn.XLOOKUP(F122,Proveedores!A:A,Proveedores!G:G)</f>
        <v>0</v>
      </c>
      <c r="AN122" s="1095" t="str">
        <f t="shared" si="105"/>
        <v>OK</v>
      </c>
    </row>
    <row r="123" spans="1:40" ht="15.95">
      <c r="A123" s="1090" t="b">
        <f t="shared" si="80"/>
        <v>1</v>
      </c>
      <c r="B123" s="1091" t="b">
        <f t="shared" si="93"/>
        <v>1</v>
      </c>
      <c r="C123" s="1092" t="str">
        <f t="shared" si="94"/>
        <v>Dólares</v>
      </c>
      <c r="D123" s="11"/>
      <c r="E123" s="743"/>
      <c r="F123" s="17"/>
      <c r="G123" s="17" t="str">
        <f t="shared" si="81"/>
        <v xml:space="preserve"> </v>
      </c>
      <c r="H123" s="12">
        <v>0</v>
      </c>
      <c r="I123" s="16" t="str">
        <f>IFERROR(VLOOKUP(G123,Proveedores!B:C,2,0)," ")</f>
        <v xml:space="preserve"> </v>
      </c>
      <c r="J123" s="745">
        <v>0</v>
      </c>
      <c r="K123" s="745" t="str">
        <f t="shared" si="82"/>
        <v>Not Found</v>
      </c>
      <c r="L123" s="16">
        <f>IF(K123="Importado",Fletes!$B$66,0%)</f>
        <v>0</v>
      </c>
      <c r="M123" s="745">
        <f t="shared" si="95"/>
        <v>0</v>
      </c>
      <c r="N123" s="16">
        <f>IF(K123&lt;&gt;"Importado",0%,IF(Fletes!$B$67&lt;10,15%,IF(Fletes!$B$67&lt;20,10%,5%)))</f>
        <v>0</v>
      </c>
      <c r="O123" s="745" t="str">
        <f>IFERROR(IF(OR(F123="Offiho",F123="Lauco Sofas",F123="Requiez",F123="Labenze",F123="Sunon Mty",F123="Sonara"),(M123*(1-_xlfn.XLOOKUP(F123,Proveedores!A:A,Proveedores!I:I)))*(1+N123),((M123*(1-_xlfn.XLOOKUP(F123,Proveedores!A:A,Proveedores!I:I)))*(1+N123))+U123),"")</f>
        <v/>
      </c>
      <c r="P123" s="1031"/>
      <c r="Q123" s="1133">
        <f>IF(K123&lt;&gt;"Importado",0,IF(P123&gt;0,P123*H123,IFERROR(_xlfn.XLOOKUP(F123,Proveedores!A:A,Proveedores!F:F,0)*H123,0)))</f>
        <v>0</v>
      </c>
      <c r="R123" s="1134" t="e">
        <f t="shared" si="96"/>
        <v>#VALUE!</v>
      </c>
      <c r="S123" s="743"/>
      <c r="T123" s="1034" t="e">
        <f t="shared" si="83"/>
        <v>#N/A</v>
      </c>
      <c r="U123" s="1034" t="e">
        <f t="shared" si="97"/>
        <v>#N/A</v>
      </c>
      <c r="V123" s="1165" t="e">
        <f t="shared" si="84"/>
        <v>#N/A</v>
      </c>
      <c r="W123" s="1034" t="e">
        <f t="shared" si="98"/>
        <v>#N/A</v>
      </c>
      <c r="X123" s="1034" t="b">
        <f t="shared" si="99"/>
        <v>0</v>
      </c>
      <c r="Y123" s="1034">
        <f t="shared" si="100"/>
        <v>0</v>
      </c>
      <c r="Z123" s="1034">
        <f t="shared" si="101"/>
        <v>0</v>
      </c>
      <c r="AA123" s="1034">
        <f t="shared" si="85"/>
        <v>0</v>
      </c>
      <c r="AB123" s="1034">
        <f t="shared" si="86"/>
        <v>0</v>
      </c>
      <c r="AC123" s="1033">
        <f t="shared" si="102"/>
        <v>0</v>
      </c>
      <c r="AD123" s="1266">
        <f t="shared" si="87"/>
        <v>0</v>
      </c>
      <c r="AE123" s="1093">
        <f t="shared" si="103"/>
        <v>0</v>
      </c>
      <c r="AF123" s="1093">
        <f t="shared" si="104"/>
        <v>0</v>
      </c>
      <c r="AG123" s="1093">
        <f t="shared" si="88"/>
        <v>0</v>
      </c>
      <c r="AH123" s="1033" t="e">
        <f t="shared" si="89"/>
        <v>#DIV/0!</v>
      </c>
      <c r="AI123" s="1091">
        <f t="shared" si="90"/>
        <v>0</v>
      </c>
      <c r="AJ123" s="1094">
        <f t="shared" si="91"/>
        <v>0</v>
      </c>
      <c r="AK123" s="1053" t="str">
        <f t="shared" si="92"/>
        <v/>
      </c>
      <c r="AL123" s="1053"/>
      <c r="AM123" s="1290">
        <f>_xlfn.XLOOKUP(F123,Proveedores!A:A,Proveedores!G:G)</f>
        <v>0</v>
      </c>
      <c r="AN123" s="1095" t="str">
        <f t="shared" si="105"/>
        <v>OK</v>
      </c>
    </row>
    <row r="124" spans="1:40" ht="15.95">
      <c r="A124" s="1090" t="b">
        <f t="shared" si="80"/>
        <v>1</v>
      </c>
      <c r="B124" s="1091" t="b">
        <f t="shared" si="93"/>
        <v>1</v>
      </c>
      <c r="C124" s="1092" t="str">
        <f t="shared" si="94"/>
        <v>Dólares</v>
      </c>
      <c r="D124" s="11"/>
      <c r="E124" s="743"/>
      <c r="F124" s="17"/>
      <c r="G124" s="17" t="str">
        <f t="shared" si="81"/>
        <v xml:space="preserve"> </v>
      </c>
      <c r="H124" s="12">
        <v>0</v>
      </c>
      <c r="I124" s="16" t="str">
        <f>IFERROR(VLOOKUP(G124,Proveedores!B:C,2,0)," ")</f>
        <v xml:space="preserve"> </v>
      </c>
      <c r="J124" s="745">
        <v>0</v>
      </c>
      <c r="K124" s="745" t="str">
        <f t="shared" si="82"/>
        <v>Not Found</v>
      </c>
      <c r="L124" s="16">
        <f>IF(K124="Importado",Fletes!$B$66,0%)</f>
        <v>0</v>
      </c>
      <c r="M124" s="745">
        <f t="shared" si="95"/>
        <v>0</v>
      </c>
      <c r="N124" s="16">
        <f>IF(K124&lt;&gt;"Importado",0%,IF(Fletes!$B$67&lt;10,15%,IF(Fletes!$B$67&lt;20,10%,5%)))</f>
        <v>0</v>
      </c>
      <c r="O124" s="745" t="str">
        <f>IFERROR(IF(OR(F124="Offiho",F124="Lauco Sofas",F124="Requiez",F124="Labenze",F124="Sunon Mty",F124="Sonara"),(M124*(1-_xlfn.XLOOKUP(F124,Proveedores!A:A,Proveedores!I:I)))*(1+N124),((M124*(1-_xlfn.XLOOKUP(F124,Proveedores!A:A,Proveedores!I:I)))*(1+N124))+U124),"")</f>
        <v/>
      </c>
      <c r="P124" s="1031"/>
      <c r="Q124" s="1133">
        <f>IF(K124&lt;&gt;"Importado",0,IF(P124&gt;0,P124*H124,IFERROR(_xlfn.XLOOKUP(F124,Proveedores!A:A,Proveedores!F:F,0)*H124,0)))</f>
        <v>0</v>
      </c>
      <c r="R124" s="1134" t="e">
        <f t="shared" si="96"/>
        <v>#VALUE!</v>
      </c>
      <c r="S124" s="743"/>
      <c r="T124" s="1034" t="e">
        <f t="shared" si="83"/>
        <v>#N/A</v>
      </c>
      <c r="U124" s="1034" t="e">
        <f t="shared" si="97"/>
        <v>#N/A</v>
      </c>
      <c r="V124" s="1165" t="e">
        <f t="shared" si="84"/>
        <v>#N/A</v>
      </c>
      <c r="W124" s="1034" t="e">
        <f t="shared" si="98"/>
        <v>#N/A</v>
      </c>
      <c r="X124" s="1034" t="b">
        <f t="shared" si="99"/>
        <v>0</v>
      </c>
      <c r="Y124" s="1034">
        <f t="shared" si="100"/>
        <v>0</v>
      </c>
      <c r="Z124" s="1034">
        <f t="shared" si="101"/>
        <v>0</v>
      </c>
      <c r="AA124" s="1034">
        <f t="shared" si="85"/>
        <v>0</v>
      </c>
      <c r="AB124" s="1034">
        <f t="shared" si="86"/>
        <v>0</v>
      </c>
      <c r="AC124" s="1033">
        <f t="shared" si="102"/>
        <v>0</v>
      </c>
      <c r="AD124" s="1266">
        <f t="shared" si="87"/>
        <v>0</v>
      </c>
      <c r="AE124" s="1093">
        <f t="shared" si="103"/>
        <v>0</v>
      </c>
      <c r="AF124" s="1093">
        <f t="shared" si="104"/>
        <v>0</v>
      </c>
      <c r="AG124" s="1093">
        <f t="shared" si="88"/>
        <v>0</v>
      </c>
      <c r="AH124" s="1033" t="e">
        <f t="shared" si="89"/>
        <v>#DIV/0!</v>
      </c>
      <c r="AI124" s="1091">
        <f t="shared" si="90"/>
        <v>0</v>
      </c>
      <c r="AJ124" s="1094">
        <f t="shared" si="91"/>
        <v>0</v>
      </c>
      <c r="AK124" s="1053" t="str">
        <f t="shared" si="92"/>
        <v/>
      </c>
      <c r="AL124" s="1053"/>
      <c r="AM124" s="1290">
        <f>_xlfn.XLOOKUP(F124,Proveedores!A:A,Proveedores!G:G)</f>
        <v>0</v>
      </c>
      <c r="AN124" s="1095" t="str">
        <f t="shared" si="105"/>
        <v>OK</v>
      </c>
    </row>
    <row r="125" spans="1:40" ht="15.95">
      <c r="A125" s="1090" t="b">
        <f t="shared" si="80"/>
        <v>1</v>
      </c>
      <c r="B125" s="1091" t="b">
        <f t="shared" si="93"/>
        <v>1</v>
      </c>
      <c r="C125" s="1092" t="str">
        <f t="shared" si="94"/>
        <v>Dólares</v>
      </c>
      <c r="D125" s="11"/>
      <c r="E125" s="743"/>
      <c r="F125" s="17"/>
      <c r="G125" s="17" t="str">
        <f t="shared" si="81"/>
        <v xml:space="preserve"> </v>
      </c>
      <c r="H125" s="12">
        <v>0</v>
      </c>
      <c r="I125" s="16" t="str">
        <f>IFERROR(VLOOKUP(G125,Proveedores!B:C,2,0)," ")</f>
        <v xml:space="preserve"> </v>
      </c>
      <c r="J125" s="745">
        <v>0</v>
      </c>
      <c r="K125" s="745" t="str">
        <f t="shared" si="82"/>
        <v>Not Found</v>
      </c>
      <c r="L125" s="16">
        <f>IF(K125="Importado",Fletes!$B$66,0%)</f>
        <v>0</v>
      </c>
      <c r="M125" s="745">
        <f t="shared" si="95"/>
        <v>0</v>
      </c>
      <c r="N125" s="16">
        <f>IF(K125&lt;&gt;"Importado",0%,IF(Fletes!$B$67&lt;10,15%,IF(Fletes!$B$67&lt;20,10%,5%)))</f>
        <v>0</v>
      </c>
      <c r="O125" s="745" t="str">
        <f>IFERROR(IF(OR(F125="Offiho",F125="Lauco Sofas",F125="Requiez",F125="Labenze",F125="Sunon Mty",F125="Sonara"),(M125*(1-_xlfn.XLOOKUP(F125,Proveedores!A:A,Proveedores!I:I)))*(1+N125),((M125*(1-_xlfn.XLOOKUP(F125,Proveedores!A:A,Proveedores!I:I)))*(1+N125))+U125),"")</f>
        <v/>
      </c>
      <c r="P125" s="1031"/>
      <c r="Q125" s="1133">
        <f>IF(K125&lt;&gt;"Importado",0,IF(P125&gt;0,P125*H125,IFERROR(_xlfn.XLOOKUP(F125,Proveedores!A:A,Proveedores!F:F,0)*H125,0)))</f>
        <v>0</v>
      </c>
      <c r="R125" s="1134" t="e">
        <f t="shared" si="96"/>
        <v>#VALUE!</v>
      </c>
      <c r="S125" s="743"/>
      <c r="T125" s="1034" t="e">
        <f t="shared" si="83"/>
        <v>#N/A</v>
      </c>
      <c r="U125" s="1034" t="e">
        <f t="shared" si="97"/>
        <v>#N/A</v>
      </c>
      <c r="V125" s="1165" t="e">
        <f t="shared" si="84"/>
        <v>#N/A</v>
      </c>
      <c r="W125" s="1034" t="e">
        <f t="shared" si="98"/>
        <v>#N/A</v>
      </c>
      <c r="X125" s="1034" t="b">
        <f t="shared" si="99"/>
        <v>0</v>
      </c>
      <c r="Y125" s="1034">
        <f t="shared" si="100"/>
        <v>0</v>
      </c>
      <c r="Z125" s="1034">
        <f t="shared" si="101"/>
        <v>0</v>
      </c>
      <c r="AA125" s="1034">
        <f t="shared" si="85"/>
        <v>0</v>
      </c>
      <c r="AB125" s="1034">
        <f t="shared" si="86"/>
        <v>0</v>
      </c>
      <c r="AC125" s="1033">
        <f t="shared" si="102"/>
        <v>0</v>
      </c>
      <c r="AD125" s="1266">
        <f t="shared" si="87"/>
        <v>0</v>
      </c>
      <c r="AE125" s="1093">
        <f t="shared" si="103"/>
        <v>0</v>
      </c>
      <c r="AF125" s="1093">
        <f t="shared" si="104"/>
        <v>0</v>
      </c>
      <c r="AG125" s="1093">
        <f t="shared" si="88"/>
        <v>0</v>
      </c>
      <c r="AH125" s="1033" t="e">
        <f t="shared" si="89"/>
        <v>#DIV/0!</v>
      </c>
      <c r="AI125" s="1091">
        <f t="shared" si="90"/>
        <v>0</v>
      </c>
      <c r="AJ125" s="1094">
        <f t="shared" si="91"/>
        <v>0</v>
      </c>
      <c r="AK125" s="1053" t="str">
        <f t="shared" si="92"/>
        <v/>
      </c>
      <c r="AL125" s="1053"/>
      <c r="AM125" s="1290">
        <f>_xlfn.XLOOKUP(F125,Proveedores!A:A,Proveedores!G:G)</f>
        <v>0</v>
      </c>
      <c r="AN125" s="1095" t="str">
        <f t="shared" si="105"/>
        <v>OK</v>
      </c>
    </row>
    <row r="126" spans="1:40" ht="15.95">
      <c r="A126" s="1090" t="b">
        <f t="shared" si="80"/>
        <v>1</v>
      </c>
      <c r="B126" s="1091" t="b">
        <f t="shared" si="93"/>
        <v>1</v>
      </c>
      <c r="C126" s="1092" t="str">
        <f t="shared" si="94"/>
        <v>Dólares</v>
      </c>
      <c r="D126" s="11"/>
      <c r="E126" s="743"/>
      <c r="F126" s="17"/>
      <c r="G126" s="17" t="str">
        <f t="shared" si="81"/>
        <v xml:space="preserve"> </v>
      </c>
      <c r="H126" s="12">
        <v>0</v>
      </c>
      <c r="I126" s="16" t="str">
        <f>IFERROR(VLOOKUP(G126,Proveedores!B:C,2,0)," ")</f>
        <v xml:space="preserve"> </v>
      </c>
      <c r="J126" s="745">
        <v>0</v>
      </c>
      <c r="K126" s="745" t="str">
        <f t="shared" si="82"/>
        <v>Not Found</v>
      </c>
      <c r="L126" s="16">
        <f>IF(K126="Importado",Fletes!$B$66,0%)</f>
        <v>0</v>
      </c>
      <c r="M126" s="745">
        <f t="shared" si="95"/>
        <v>0</v>
      </c>
      <c r="N126" s="16">
        <f>IF(K126&lt;&gt;"Importado",0%,IF(Fletes!$B$67&lt;10,15%,IF(Fletes!$B$67&lt;20,10%,5%)))</f>
        <v>0</v>
      </c>
      <c r="O126" s="745" t="str">
        <f>IFERROR(IF(OR(F126="Offiho",F126="Lauco Sofas",F126="Requiez",F126="Labenze",F126="Sunon Mty",F126="Sonara"),(M126*(1-_xlfn.XLOOKUP(F126,Proveedores!A:A,Proveedores!I:I)))*(1+N126),((M126*(1-_xlfn.XLOOKUP(F126,Proveedores!A:A,Proveedores!I:I)))*(1+N126))+U126),"")</f>
        <v/>
      </c>
      <c r="P126" s="1031"/>
      <c r="Q126" s="1133">
        <f>IF(K126&lt;&gt;"Importado",0,IF(P126&gt;0,P126*H126,IFERROR(_xlfn.XLOOKUP(F126,Proveedores!A:A,Proveedores!F:F,0)*H126,0)))</f>
        <v>0</v>
      </c>
      <c r="R126" s="1134" t="e">
        <f t="shared" si="96"/>
        <v>#VALUE!</v>
      </c>
      <c r="S126" s="743"/>
      <c r="T126" s="1034" t="e">
        <f t="shared" si="83"/>
        <v>#N/A</v>
      </c>
      <c r="U126" s="1034" t="e">
        <f t="shared" si="97"/>
        <v>#N/A</v>
      </c>
      <c r="V126" s="1165" t="e">
        <f t="shared" si="84"/>
        <v>#N/A</v>
      </c>
      <c r="W126" s="1034" t="e">
        <f t="shared" si="98"/>
        <v>#N/A</v>
      </c>
      <c r="X126" s="1034" t="b">
        <f t="shared" si="99"/>
        <v>0</v>
      </c>
      <c r="Y126" s="1034">
        <f t="shared" si="100"/>
        <v>0</v>
      </c>
      <c r="Z126" s="1034">
        <f t="shared" si="101"/>
        <v>0</v>
      </c>
      <c r="AA126" s="1034">
        <f t="shared" si="85"/>
        <v>0</v>
      </c>
      <c r="AB126" s="1034">
        <f t="shared" si="86"/>
        <v>0</v>
      </c>
      <c r="AC126" s="1033">
        <f t="shared" si="102"/>
        <v>0</v>
      </c>
      <c r="AD126" s="1266">
        <f t="shared" si="87"/>
        <v>0</v>
      </c>
      <c r="AE126" s="1093">
        <f t="shared" si="103"/>
        <v>0</v>
      </c>
      <c r="AF126" s="1093">
        <f t="shared" si="104"/>
        <v>0</v>
      </c>
      <c r="AG126" s="1093">
        <f t="shared" si="88"/>
        <v>0</v>
      </c>
      <c r="AH126" s="1033" t="e">
        <f t="shared" si="89"/>
        <v>#DIV/0!</v>
      </c>
      <c r="AI126" s="1091">
        <f t="shared" si="90"/>
        <v>0</v>
      </c>
      <c r="AJ126" s="1094">
        <f t="shared" si="91"/>
        <v>0</v>
      </c>
      <c r="AK126" s="1053" t="str">
        <f t="shared" si="92"/>
        <v/>
      </c>
      <c r="AL126" s="1053"/>
      <c r="AM126" s="1290">
        <f>_xlfn.XLOOKUP(F126,Proveedores!A:A,Proveedores!G:G)</f>
        <v>0</v>
      </c>
      <c r="AN126" s="1095" t="str">
        <f t="shared" si="105"/>
        <v>OK</v>
      </c>
    </row>
    <row r="127" spans="1:40" ht="15.95">
      <c r="A127" s="1090" t="b">
        <f t="shared" si="80"/>
        <v>1</v>
      </c>
      <c r="B127" s="1091" t="b">
        <f t="shared" si="93"/>
        <v>1</v>
      </c>
      <c r="C127" s="1092" t="str">
        <f t="shared" si="94"/>
        <v>Dólares</v>
      </c>
      <c r="D127" s="11"/>
      <c r="E127" s="743"/>
      <c r="F127" s="17"/>
      <c r="G127" s="17" t="str">
        <f t="shared" si="81"/>
        <v xml:space="preserve"> </v>
      </c>
      <c r="H127" s="12">
        <v>0</v>
      </c>
      <c r="I127" s="16" t="str">
        <f>IFERROR(VLOOKUP(G127,Proveedores!B:C,2,0)," ")</f>
        <v xml:space="preserve"> </v>
      </c>
      <c r="J127" s="745">
        <v>0</v>
      </c>
      <c r="K127" s="745" t="str">
        <f t="shared" si="82"/>
        <v>Not Found</v>
      </c>
      <c r="L127" s="16">
        <f>IF(K127="Importado",Fletes!$B$66,0%)</f>
        <v>0</v>
      </c>
      <c r="M127" s="745">
        <f t="shared" si="95"/>
        <v>0</v>
      </c>
      <c r="N127" s="16">
        <f>IF(K127&lt;&gt;"Importado",0%,IF(Fletes!$B$67&lt;10,15%,IF(Fletes!$B$67&lt;20,10%,5%)))</f>
        <v>0</v>
      </c>
      <c r="O127" s="745" t="str">
        <f>IFERROR(IF(OR(F127="Offiho",F127="Lauco Sofas",F127="Requiez",F127="Labenze",F127="Sunon Mty",F127="Sonara"),(M127*(1-_xlfn.XLOOKUP(F127,Proveedores!A:A,Proveedores!I:I)))*(1+N127),((M127*(1-_xlfn.XLOOKUP(F127,Proveedores!A:A,Proveedores!I:I)))*(1+N127))+U127),"")</f>
        <v/>
      </c>
      <c r="P127" s="1031"/>
      <c r="Q127" s="1133">
        <f>IF(K127&lt;&gt;"Importado",0,IF(P127&gt;0,P127*H127,IFERROR(_xlfn.XLOOKUP(F127,Proveedores!A:A,Proveedores!F:F,0)*H127,0)))</f>
        <v>0</v>
      </c>
      <c r="R127" s="1134" t="e">
        <f t="shared" si="96"/>
        <v>#VALUE!</v>
      </c>
      <c r="S127" s="743"/>
      <c r="T127" s="1034" t="e">
        <f t="shared" si="83"/>
        <v>#N/A</v>
      </c>
      <c r="U127" s="1034" t="e">
        <f t="shared" si="97"/>
        <v>#N/A</v>
      </c>
      <c r="V127" s="1165" t="e">
        <f t="shared" si="84"/>
        <v>#N/A</v>
      </c>
      <c r="W127" s="1034" t="e">
        <f t="shared" si="98"/>
        <v>#N/A</v>
      </c>
      <c r="X127" s="1034" t="b">
        <f t="shared" si="99"/>
        <v>0</v>
      </c>
      <c r="Y127" s="1034">
        <f t="shared" si="100"/>
        <v>0</v>
      </c>
      <c r="Z127" s="1034">
        <f t="shared" si="101"/>
        <v>0</v>
      </c>
      <c r="AA127" s="1034">
        <f t="shared" si="85"/>
        <v>0</v>
      </c>
      <c r="AB127" s="1034">
        <f t="shared" si="86"/>
        <v>0</v>
      </c>
      <c r="AC127" s="1033">
        <f t="shared" si="102"/>
        <v>0</v>
      </c>
      <c r="AD127" s="1266">
        <f t="shared" si="87"/>
        <v>0</v>
      </c>
      <c r="AE127" s="1093">
        <f t="shared" si="103"/>
        <v>0</v>
      </c>
      <c r="AF127" s="1093">
        <f t="shared" si="104"/>
        <v>0</v>
      </c>
      <c r="AG127" s="1093">
        <f t="shared" si="88"/>
        <v>0</v>
      </c>
      <c r="AH127" s="1033" t="e">
        <f t="shared" si="89"/>
        <v>#DIV/0!</v>
      </c>
      <c r="AI127" s="1091">
        <f t="shared" si="90"/>
        <v>0</v>
      </c>
      <c r="AJ127" s="1094">
        <f t="shared" si="91"/>
        <v>0</v>
      </c>
      <c r="AK127" s="1053" t="str">
        <f t="shared" si="92"/>
        <v/>
      </c>
      <c r="AL127" s="1053"/>
      <c r="AM127" s="1290">
        <f>_xlfn.XLOOKUP(F127,Proveedores!A:A,Proveedores!G:G)</f>
        <v>0</v>
      </c>
      <c r="AN127" s="1095" t="str">
        <f t="shared" si="105"/>
        <v>OK</v>
      </c>
    </row>
    <row r="128" spans="1:40" ht="15.95">
      <c r="A128" s="1090" t="b">
        <f t="shared" si="80"/>
        <v>1</v>
      </c>
      <c r="B128" s="1091" t="b">
        <f t="shared" si="93"/>
        <v>1</v>
      </c>
      <c r="C128" s="1092" t="str">
        <f t="shared" si="94"/>
        <v>Dólares</v>
      </c>
      <c r="D128" s="11"/>
      <c r="E128" s="743"/>
      <c r="F128" s="17"/>
      <c r="G128" s="17" t="str">
        <f t="shared" si="81"/>
        <v xml:space="preserve"> </v>
      </c>
      <c r="H128" s="12">
        <v>0</v>
      </c>
      <c r="I128" s="16" t="str">
        <f>IFERROR(VLOOKUP(G128,Proveedores!B:C,2,0)," ")</f>
        <v xml:space="preserve"> </v>
      </c>
      <c r="J128" s="745">
        <v>0</v>
      </c>
      <c r="K128" s="745" t="str">
        <f t="shared" si="82"/>
        <v>Not Found</v>
      </c>
      <c r="L128" s="16">
        <f>IF(K128="Importado",Fletes!$B$66,0%)</f>
        <v>0</v>
      </c>
      <c r="M128" s="745">
        <f t="shared" si="95"/>
        <v>0</v>
      </c>
      <c r="N128" s="16">
        <f>IF(K128&lt;&gt;"Importado",0%,IF(Fletes!$B$67&lt;10,15%,IF(Fletes!$B$67&lt;20,10%,5%)))</f>
        <v>0</v>
      </c>
      <c r="O128" s="745" t="str">
        <f>IFERROR(IF(OR(F128="Offiho",F128="Lauco Sofas",F128="Requiez",F128="Labenze",F128="Sunon Mty",F128="Sonara"),(M128*(1-_xlfn.XLOOKUP(F128,Proveedores!A:A,Proveedores!I:I)))*(1+N128),((M128*(1-_xlfn.XLOOKUP(F128,Proveedores!A:A,Proveedores!I:I)))*(1+N128))+U128),"")</f>
        <v/>
      </c>
      <c r="P128" s="1031"/>
      <c r="Q128" s="1133">
        <f>IF(K128&lt;&gt;"Importado",0,IF(P128&gt;0,P128*H128,IFERROR(_xlfn.XLOOKUP(F128,Proveedores!A:A,Proveedores!F:F,0)*H128,0)))</f>
        <v>0</v>
      </c>
      <c r="R128" s="1134" t="e">
        <f t="shared" si="96"/>
        <v>#VALUE!</v>
      </c>
      <c r="S128" s="743"/>
      <c r="T128" s="1034" t="e">
        <f t="shared" si="83"/>
        <v>#N/A</v>
      </c>
      <c r="U128" s="1034" t="e">
        <f t="shared" si="97"/>
        <v>#N/A</v>
      </c>
      <c r="V128" s="1165" t="e">
        <f t="shared" si="84"/>
        <v>#N/A</v>
      </c>
      <c r="W128" s="1034" t="e">
        <f t="shared" si="98"/>
        <v>#N/A</v>
      </c>
      <c r="X128" s="1034" t="b">
        <f t="shared" si="99"/>
        <v>0</v>
      </c>
      <c r="Y128" s="1034">
        <f t="shared" si="100"/>
        <v>0</v>
      </c>
      <c r="Z128" s="1034">
        <f t="shared" si="101"/>
        <v>0</v>
      </c>
      <c r="AA128" s="1034">
        <f t="shared" si="85"/>
        <v>0</v>
      </c>
      <c r="AB128" s="1034">
        <f t="shared" si="86"/>
        <v>0</v>
      </c>
      <c r="AC128" s="1033">
        <f t="shared" si="102"/>
        <v>0</v>
      </c>
      <c r="AD128" s="1266">
        <f t="shared" si="87"/>
        <v>0</v>
      </c>
      <c r="AE128" s="1093">
        <f t="shared" si="103"/>
        <v>0</v>
      </c>
      <c r="AF128" s="1093">
        <f t="shared" si="104"/>
        <v>0</v>
      </c>
      <c r="AG128" s="1093">
        <f t="shared" si="88"/>
        <v>0</v>
      </c>
      <c r="AH128" s="1033" t="e">
        <f t="shared" si="89"/>
        <v>#DIV/0!</v>
      </c>
      <c r="AI128" s="1091">
        <f t="shared" si="90"/>
        <v>0</v>
      </c>
      <c r="AJ128" s="1094">
        <f t="shared" si="91"/>
        <v>0</v>
      </c>
      <c r="AK128" s="1053" t="str">
        <f t="shared" si="92"/>
        <v/>
      </c>
      <c r="AL128" s="1053"/>
      <c r="AM128" s="1290">
        <f>_xlfn.XLOOKUP(F128,Proveedores!A:A,Proveedores!G:G)</f>
        <v>0</v>
      </c>
      <c r="AN128" s="1095" t="str">
        <f t="shared" si="105"/>
        <v>OK</v>
      </c>
    </row>
    <row r="129" spans="1:40" ht="15.95">
      <c r="A129" s="1090" t="b">
        <f t="shared" si="80"/>
        <v>1</v>
      </c>
      <c r="B129" s="1091" t="b">
        <f t="shared" si="93"/>
        <v>1</v>
      </c>
      <c r="C129" s="1092" t="str">
        <f t="shared" si="94"/>
        <v>Dólares</v>
      </c>
      <c r="D129" s="11"/>
      <c r="E129" s="743"/>
      <c r="F129" s="17"/>
      <c r="G129" s="17" t="str">
        <f t="shared" si="81"/>
        <v xml:space="preserve"> </v>
      </c>
      <c r="H129" s="12">
        <v>0</v>
      </c>
      <c r="I129" s="16" t="str">
        <f>IFERROR(VLOOKUP(G129,Proveedores!B:C,2,0)," ")</f>
        <v xml:space="preserve"> </v>
      </c>
      <c r="J129" s="745">
        <v>0</v>
      </c>
      <c r="K129" s="745" t="str">
        <f t="shared" si="82"/>
        <v>Not Found</v>
      </c>
      <c r="L129" s="16">
        <f>IF(K129="Importado",Fletes!$B$66,0%)</f>
        <v>0</v>
      </c>
      <c r="M129" s="745">
        <f t="shared" si="95"/>
        <v>0</v>
      </c>
      <c r="N129" s="16">
        <f>IF(K129&lt;&gt;"Importado",0%,IF(Fletes!$B$67&lt;10,15%,IF(Fletes!$B$67&lt;20,10%,5%)))</f>
        <v>0</v>
      </c>
      <c r="O129" s="745" t="str">
        <f>IFERROR(IF(OR(F129="Offiho",F129="Lauco Sofas",F129="Requiez",F129="Labenze",F129="Sunon Mty",F129="Sonara"),(M129*(1-_xlfn.XLOOKUP(F129,Proveedores!A:A,Proveedores!I:I)))*(1+N129),((M129*(1-_xlfn.XLOOKUP(F129,Proveedores!A:A,Proveedores!I:I)))*(1+N129))+U129),"")</f>
        <v/>
      </c>
      <c r="P129" s="1031"/>
      <c r="Q129" s="1133">
        <f>IF(K129&lt;&gt;"Importado",0,IF(P129&gt;0,P129*H129,IFERROR(_xlfn.XLOOKUP(F129,Proveedores!A:A,Proveedores!F:F,0)*H129,0)))</f>
        <v>0</v>
      </c>
      <c r="R129" s="1134" t="e">
        <f t="shared" si="96"/>
        <v>#VALUE!</v>
      </c>
      <c r="S129" s="743"/>
      <c r="T129" s="1034" t="e">
        <f t="shared" si="83"/>
        <v>#N/A</v>
      </c>
      <c r="U129" s="1034" t="e">
        <f t="shared" si="97"/>
        <v>#N/A</v>
      </c>
      <c r="V129" s="1165" t="e">
        <f t="shared" si="84"/>
        <v>#N/A</v>
      </c>
      <c r="W129" s="1034" t="e">
        <f t="shared" si="98"/>
        <v>#N/A</v>
      </c>
      <c r="X129" s="1034" t="b">
        <f t="shared" si="99"/>
        <v>0</v>
      </c>
      <c r="Y129" s="1034">
        <f t="shared" si="100"/>
        <v>0</v>
      </c>
      <c r="Z129" s="1034">
        <f t="shared" si="101"/>
        <v>0</v>
      </c>
      <c r="AA129" s="1034">
        <f t="shared" si="85"/>
        <v>0</v>
      </c>
      <c r="AB129" s="1034">
        <f t="shared" si="86"/>
        <v>0</v>
      </c>
      <c r="AC129" s="1033">
        <f t="shared" si="102"/>
        <v>0</v>
      </c>
      <c r="AD129" s="1266">
        <f t="shared" si="87"/>
        <v>0</v>
      </c>
      <c r="AE129" s="1093">
        <f t="shared" si="103"/>
        <v>0</v>
      </c>
      <c r="AF129" s="1093">
        <f t="shared" si="104"/>
        <v>0</v>
      </c>
      <c r="AG129" s="1093">
        <f t="shared" si="88"/>
        <v>0</v>
      </c>
      <c r="AH129" s="1033" t="e">
        <f t="shared" si="89"/>
        <v>#DIV/0!</v>
      </c>
      <c r="AI129" s="1091">
        <f t="shared" si="90"/>
        <v>0</v>
      </c>
      <c r="AJ129" s="1094">
        <f t="shared" si="91"/>
        <v>0</v>
      </c>
      <c r="AK129" s="1053" t="str">
        <f t="shared" si="92"/>
        <v/>
      </c>
      <c r="AL129" s="1053"/>
      <c r="AM129" s="1290">
        <f>_xlfn.XLOOKUP(F129,Proveedores!A:A,Proveedores!G:G)</f>
        <v>0</v>
      </c>
      <c r="AN129" s="1095" t="str">
        <f t="shared" si="105"/>
        <v>OK</v>
      </c>
    </row>
    <row r="130" spans="1:40" ht="15.95">
      <c r="A130" s="1090" t="b">
        <f t="shared" si="80"/>
        <v>1</v>
      </c>
      <c r="B130" s="1091" t="b">
        <f t="shared" si="93"/>
        <v>1</v>
      </c>
      <c r="C130" s="1092" t="str">
        <f t="shared" si="94"/>
        <v>Dólares</v>
      </c>
      <c r="D130" s="11"/>
      <c r="E130" s="743"/>
      <c r="F130" s="17"/>
      <c r="G130" s="17" t="str">
        <f t="shared" si="81"/>
        <v xml:space="preserve"> </v>
      </c>
      <c r="H130" s="12">
        <v>0</v>
      </c>
      <c r="I130" s="16" t="str">
        <f>IFERROR(VLOOKUP(G130,Proveedores!B:C,2,0)," ")</f>
        <v xml:space="preserve"> </v>
      </c>
      <c r="J130" s="745">
        <v>0</v>
      </c>
      <c r="K130" s="745" t="str">
        <f t="shared" si="82"/>
        <v>Not Found</v>
      </c>
      <c r="L130" s="16">
        <f>IF(K130="Importado",Fletes!$B$66,0%)</f>
        <v>0</v>
      </c>
      <c r="M130" s="745">
        <f t="shared" si="95"/>
        <v>0</v>
      </c>
      <c r="N130" s="16">
        <f>IF(K130&lt;&gt;"Importado",0%,IF(Fletes!$B$67&lt;10,15%,IF(Fletes!$B$67&lt;20,10%,5%)))</f>
        <v>0</v>
      </c>
      <c r="O130" s="745" t="str">
        <f>IFERROR(IF(OR(F130="Offiho",F130="Lauco Sofas",F130="Requiez",F130="Labenze",F130="Sunon Mty",F130="Sonara"),(M130*(1-_xlfn.XLOOKUP(F130,Proveedores!A:A,Proveedores!I:I)))*(1+N130),((M130*(1-_xlfn.XLOOKUP(F130,Proveedores!A:A,Proveedores!I:I)))*(1+N130))+U130),"")</f>
        <v/>
      </c>
      <c r="P130" s="1031"/>
      <c r="Q130" s="1133">
        <f>IF(K130&lt;&gt;"Importado",0,IF(P130&gt;0,P130*H130,IFERROR(_xlfn.XLOOKUP(F130,Proveedores!A:A,Proveedores!F:F,0)*H130,0)))</f>
        <v>0</v>
      </c>
      <c r="R130" s="1134" t="e">
        <f t="shared" si="96"/>
        <v>#VALUE!</v>
      </c>
      <c r="S130" s="743"/>
      <c r="T130" s="1034" t="e">
        <f t="shared" si="83"/>
        <v>#N/A</v>
      </c>
      <c r="U130" s="1034" t="e">
        <f t="shared" si="97"/>
        <v>#N/A</v>
      </c>
      <c r="V130" s="1165" t="e">
        <f t="shared" si="84"/>
        <v>#N/A</v>
      </c>
      <c r="W130" s="1034" t="e">
        <f t="shared" si="98"/>
        <v>#N/A</v>
      </c>
      <c r="X130" s="1034" t="b">
        <f t="shared" si="99"/>
        <v>0</v>
      </c>
      <c r="Y130" s="1034">
        <f t="shared" si="100"/>
        <v>0</v>
      </c>
      <c r="Z130" s="1034">
        <f t="shared" si="101"/>
        <v>0</v>
      </c>
      <c r="AA130" s="1034">
        <f t="shared" si="85"/>
        <v>0</v>
      </c>
      <c r="AB130" s="1034">
        <f t="shared" si="86"/>
        <v>0</v>
      </c>
      <c r="AC130" s="1033">
        <f t="shared" si="102"/>
        <v>0</v>
      </c>
      <c r="AD130" s="1266">
        <f t="shared" si="87"/>
        <v>0</v>
      </c>
      <c r="AE130" s="1093">
        <f t="shared" si="103"/>
        <v>0</v>
      </c>
      <c r="AF130" s="1093">
        <f t="shared" si="104"/>
        <v>0</v>
      </c>
      <c r="AG130" s="1093">
        <f t="shared" si="88"/>
        <v>0</v>
      </c>
      <c r="AH130" s="1033" t="e">
        <f t="shared" si="89"/>
        <v>#DIV/0!</v>
      </c>
      <c r="AI130" s="1091">
        <f t="shared" si="90"/>
        <v>0</v>
      </c>
      <c r="AJ130" s="1094">
        <f t="shared" si="91"/>
        <v>0</v>
      </c>
      <c r="AK130" s="1053" t="str">
        <f t="shared" si="92"/>
        <v/>
      </c>
      <c r="AL130" s="1053"/>
      <c r="AM130" s="1290">
        <f>_xlfn.XLOOKUP(F130,Proveedores!A:A,Proveedores!G:G)</f>
        <v>0</v>
      </c>
      <c r="AN130" s="1095" t="str">
        <f t="shared" si="105"/>
        <v>OK</v>
      </c>
    </row>
    <row r="131" spans="1:40" ht="15.95">
      <c r="A131" s="1090" t="b">
        <f t="shared" si="80"/>
        <v>1</v>
      </c>
      <c r="B131" s="1091" t="b">
        <f t="shared" si="93"/>
        <v>1</v>
      </c>
      <c r="C131" s="1092" t="str">
        <f t="shared" si="94"/>
        <v>Dólares</v>
      </c>
      <c r="D131" s="11"/>
      <c r="E131" s="743"/>
      <c r="F131" s="17"/>
      <c r="G131" s="17" t="str">
        <f t="shared" si="81"/>
        <v xml:space="preserve"> </v>
      </c>
      <c r="H131" s="12">
        <v>0</v>
      </c>
      <c r="I131" s="16" t="str">
        <f>IFERROR(VLOOKUP(G131,Proveedores!B:C,2,0)," ")</f>
        <v xml:space="preserve"> </v>
      </c>
      <c r="J131" s="745">
        <v>0</v>
      </c>
      <c r="K131" s="745" t="str">
        <f t="shared" si="82"/>
        <v>Not Found</v>
      </c>
      <c r="L131" s="16">
        <f>IF(K131="Importado",Fletes!$B$66,0%)</f>
        <v>0</v>
      </c>
      <c r="M131" s="745">
        <f t="shared" si="95"/>
        <v>0</v>
      </c>
      <c r="N131" s="16">
        <f>IF(K131&lt;&gt;"Importado",0%,IF(Fletes!$B$67&lt;10,15%,IF(Fletes!$B$67&lt;20,10%,5%)))</f>
        <v>0</v>
      </c>
      <c r="O131" s="745" t="str">
        <f>IFERROR(IF(OR(F131="Offiho",F131="Lauco Sofas",F131="Requiez",F131="Labenze",F131="Sunon Mty",F131="Sonara"),(M131*(1-_xlfn.XLOOKUP(F131,Proveedores!A:A,Proveedores!I:I)))*(1+N131),((M131*(1-_xlfn.XLOOKUP(F131,Proveedores!A:A,Proveedores!I:I)))*(1+N131))+U131),"")</f>
        <v/>
      </c>
      <c r="P131" s="1031"/>
      <c r="Q131" s="1133">
        <f>IF(K131&lt;&gt;"Importado",0,IF(P131&gt;0,P131*H131,IFERROR(_xlfn.XLOOKUP(F131,Proveedores!A:A,Proveedores!F:F,0)*H131,0)))</f>
        <v>0</v>
      </c>
      <c r="R131" s="1134" t="e">
        <f t="shared" si="96"/>
        <v>#VALUE!</v>
      </c>
      <c r="S131" s="743"/>
      <c r="T131" s="1034" t="e">
        <f t="shared" si="83"/>
        <v>#N/A</v>
      </c>
      <c r="U131" s="1034" t="e">
        <f t="shared" si="97"/>
        <v>#N/A</v>
      </c>
      <c r="V131" s="1165" t="e">
        <f t="shared" si="84"/>
        <v>#N/A</v>
      </c>
      <c r="W131" s="1034" t="e">
        <f t="shared" si="98"/>
        <v>#N/A</v>
      </c>
      <c r="X131" s="1034" t="b">
        <f t="shared" si="99"/>
        <v>0</v>
      </c>
      <c r="Y131" s="1034">
        <f t="shared" si="100"/>
        <v>0</v>
      </c>
      <c r="Z131" s="1034">
        <f t="shared" si="101"/>
        <v>0</v>
      </c>
      <c r="AA131" s="1034">
        <f t="shared" si="85"/>
        <v>0</v>
      </c>
      <c r="AB131" s="1034">
        <f t="shared" si="86"/>
        <v>0</v>
      </c>
      <c r="AC131" s="1033">
        <f t="shared" si="102"/>
        <v>0</v>
      </c>
      <c r="AD131" s="1266">
        <f t="shared" si="87"/>
        <v>0</v>
      </c>
      <c r="AE131" s="1093">
        <f t="shared" si="103"/>
        <v>0</v>
      </c>
      <c r="AF131" s="1093">
        <f t="shared" si="104"/>
        <v>0</v>
      </c>
      <c r="AG131" s="1093">
        <f t="shared" si="88"/>
        <v>0</v>
      </c>
      <c r="AH131" s="1033" t="e">
        <f t="shared" si="89"/>
        <v>#DIV/0!</v>
      </c>
      <c r="AI131" s="1091">
        <f t="shared" si="90"/>
        <v>0</v>
      </c>
      <c r="AJ131" s="1094">
        <f t="shared" si="91"/>
        <v>0</v>
      </c>
      <c r="AK131" s="1053" t="str">
        <f t="shared" si="92"/>
        <v/>
      </c>
      <c r="AL131" s="1053"/>
      <c r="AM131" s="1290">
        <f>_xlfn.XLOOKUP(F131,Proveedores!A:A,Proveedores!G:G)</f>
        <v>0</v>
      </c>
      <c r="AN131" s="1095" t="str">
        <f t="shared" si="105"/>
        <v>OK</v>
      </c>
    </row>
    <row r="132" spans="1:40" ht="15.95">
      <c r="A132" s="1090" t="b">
        <f t="shared" si="80"/>
        <v>1</v>
      </c>
      <c r="B132" s="1091" t="b">
        <f t="shared" si="93"/>
        <v>1</v>
      </c>
      <c r="C132" s="1092" t="str">
        <f t="shared" si="94"/>
        <v>Dólares</v>
      </c>
      <c r="D132" s="13"/>
      <c r="E132" s="743"/>
      <c r="F132" s="17"/>
      <c r="G132" s="17" t="str">
        <f t="shared" si="81"/>
        <v xml:space="preserve"> </v>
      </c>
      <c r="H132" s="12">
        <v>0</v>
      </c>
      <c r="I132" s="16" t="str">
        <f>IFERROR(VLOOKUP(G132,Proveedores!B:C,2,0)," ")</f>
        <v xml:space="preserve"> </v>
      </c>
      <c r="J132" s="745">
        <v>0</v>
      </c>
      <c r="K132" s="745" t="str">
        <f t="shared" si="82"/>
        <v>Not Found</v>
      </c>
      <c r="L132" s="16">
        <f>IF(K132="Importado",Fletes!$B$66,0%)</f>
        <v>0</v>
      </c>
      <c r="M132" s="745">
        <f t="shared" si="95"/>
        <v>0</v>
      </c>
      <c r="N132" s="16">
        <f>IF(K132&lt;&gt;"Importado",0%,IF(Fletes!$B$67&lt;10,15%,IF(Fletes!$B$67&lt;20,10%,5%)))</f>
        <v>0</v>
      </c>
      <c r="O132" s="745" t="str">
        <f>IFERROR(IF(OR(F132="Offiho",F132="Lauco Sofas",F132="Requiez",F132="Labenze",F132="Sunon Mty",F132="Sonara"),(M132*(1-_xlfn.XLOOKUP(F132,Proveedores!A:A,Proveedores!I:I)))*(1+N132),((M132*(1-_xlfn.XLOOKUP(F132,Proveedores!A:A,Proveedores!I:I)))*(1+N132))+U132),"")</f>
        <v/>
      </c>
      <c r="P132" s="1031"/>
      <c r="Q132" s="1133">
        <f>IF(K132&lt;&gt;"Importado",0,IF(P132&gt;0,P132*H132,IFERROR(_xlfn.XLOOKUP(F132,Proveedores!A:A,Proveedores!F:F,0)*H132,0)))</f>
        <v>0</v>
      </c>
      <c r="R132" s="1134" t="e">
        <f t="shared" si="96"/>
        <v>#VALUE!</v>
      </c>
      <c r="S132" s="743"/>
      <c r="T132" s="1034" t="e">
        <f t="shared" si="83"/>
        <v>#N/A</v>
      </c>
      <c r="U132" s="1034" t="e">
        <f t="shared" si="97"/>
        <v>#N/A</v>
      </c>
      <c r="V132" s="1165" t="e">
        <f t="shared" si="84"/>
        <v>#N/A</v>
      </c>
      <c r="W132" s="1034" t="e">
        <f t="shared" si="98"/>
        <v>#N/A</v>
      </c>
      <c r="X132" s="1034" t="b">
        <f t="shared" si="99"/>
        <v>0</v>
      </c>
      <c r="Y132" s="1034">
        <f t="shared" si="100"/>
        <v>0</v>
      </c>
      <c r="Z132" s="1034">
        <f t="shared" si="101"/>
        <v>0</v>
      </c>
      <c r="AA132" s="1034">
        <f t="shared" si="85"/>
        <v>0</v>
      </c>
      <c r="AB132" s="1034">
        <f t="shared" si="86"/>
        <v>0</v>
      </c>
      <c r="AC132" s="1033">
        <f t="shared" si="102"/>
        <v>0</v>
      </c>
      <c r="AD132" s="1266">
        <f t="shared" si="87"/>
        <v>0</v>
      </c>
      <c r="AE132" s="1093">
        <f t="shared" si="103"/>
        <v>0</v>
      </c>
      <c r="AF132" s="1093">
        <f t="shared" si="104"/>
        <v>0</v>
      </c>
      <c r="AG132" s="1093">
        <f t="shared" si="88"/>
        <v>0</v>
      </c>
      <c r="AH132" s="1033" t="e">
        <f t="shared" si="89"/>
        <v>#DIV/0!</v>
      </c>
      <c r="AI132" s="1091">
        <f t="shared" si="90"/>
        <v>0</v>
      </c>
      <c r="AJ132" s="1094">
        <f t="shared" si="91"/>
        <v>0</v>
      </c>
      <c r="AK132" s="1053" t="str">
        <f t="shared" si="92"/>
        <v/>
      </c>
      <c r="AL132" s="1053"/>
      <c r="AM132" s="1290">
        <f>_xlfn.XLOOKUP(F132,Proveedores!A:A,Proveedores!G:G)</f>
        <v>0</v>
      </c>
      <c r="AN132" s="1095" t="str">
        <f t="shared" si="105"/>
        <v>OK</v>
      </c>
    </row>
    <row r="133" spans="1:40" ht="15.95">
      <c r="A133" s="1090" t="b">
        <f t="shared" si="80"/>
        <v>1</v>
      </c>
      <c r="B133" s="1091" t="b">
        <f t="shared" si="93"/>
        <v>1</v>
      </c>
      <c r="C133" s="1092" t="str">
        <f t="shared" si="94"/>
        <v>Dólares</v>
      </c>
      <c r="D133" s="13"/>
      <c r="E133" s="743"/>
      <c r="F133" s="17"/>
      <c r="G133" s="17" t="str">
        <f t="shared" si="81"/>
        <v xml:space="preserve"> </v>
      </c>
      <c r="H133" s="12">
        <v>0</v>
      </c>
      <c r="I133" s="16" t="str">
        <f>IFERROR(VLOOKUP(G133,Proveedores!B:C,2,0)," ")</f>
        <v xml:space="preserve"> </v>
      </c>
      <c r="J133" s="745">
        <v>0</v>
      </c>
      <c r="K133" s="745" t="str">
        <f t="shared" si="82"/>
        <v>Not Found</v>
      </c>
      <c r="L133" s="16">
        <f>IF(K133="Importado",Fletes!$B$66,0%)</f>
        <v>0</v>
      </c>
      <c r="M133" s="745">
        <f t="shared" si="95"/>
        <v>0</v>
      </c>
      <c r="N133" s="16">
        <f>IF(K133&lt;&gt;"Importado",0%,IF(Fletes!$B$67&lt;10,15%,IF(Fletes!$B$67&lt;20,10%,5%)))</f>
        <v>0</v>
      </c>
      <c r="O133" s="745" t="str">
        <f>IFERROR(IF(OR(F133="Offiho",F133="Lauco Sofas",F133="Requiez",F133="Labenze",F133="Sunon Mty",F133="Sonara"),(M133*(1-_xlfn.XLOOKUP(F133,Proveedores!A:A,Proveedores!I:I)))*(1+N133),((M133*(1-_xlfn.XLOOKUP(F133,Proveedores!A:A,Proveedores!I:I)))*(1+N133))+U133),"")</f>
        <v/>
      </c>
      <c r="P133" s="1031"/>
      <c r="Q133" s="1133">
        <f>IF(K133&lt;&gt;"Importado",0,IF(P133&gt;0,P133*H133,IFERROR(_xlfn.XLOOKUP(F133,Proveedores!A:A,Proveedores!F:F,0)*H133,0)))</f>
        <v>0</v>
      </c>
      <c r="R133" s="1134" t="e">
        <f t="shared" si="96"/>
        <v>#VALUE!</v>
      </c>
      <c r="S133" s="743"/>
      <c r="T133" s="1034" t="e">
        <f t="shared" si="83"/>
        <v>#N/A</v>
      </c>
      <c r="U133" s="1034" t="e">
        <f t="shared" si="97"/>
        <v>#N/A</v>
      </c>
      <c r="V133" s="1165" t="e">
        <f t="shared" si="84"/>
        <v>#N/A</v>
      </c>
      <c r="W133" s="1034" t="e">
        <f t="shared" si="98"/>
        <v>#N/A</v>
      </c>
      <c r="X133" s="1034" t="b">
        <f t="shared" si="99"/>
        <v>0</v>
      </c>
      <c r="Y133" s="1034">
        <f t="shared" si="100"/>
        <v>0</v>
      </c>
      <c r="Z133" s="1034">
        <f t="shared" si="101"/>
        <v>0</v>
      </c>
      <c r="AA133" s="1034">
        <f t="shared" si="85"/>
        <v>0</v>
      </c>
      <c r="AB133" s="1034">
        <f t="shared" si="86"/>
        <v>0</v>
      </c>
      <c r="AC133" s="1033">
        <f t="shared" si="102"/>
        <v>0</v>
      </c>
      <c r="AD133" s="1266">
        <f t="shared" si="87"/>
        <v>0</v>
      </c>
      <c r="AE133" s="1093">
        <f t="shared" si="103"/>
        <v>0</v>
      </c>
      <c r="AF133" s="1093">
        <f t="shared" si="104"/>
        <v>0</v>
      </c>
      <c r="AG133" s="1093">
        <f t="shared" si="88"/>
        <v>0</v>
      </c>
      <c r="AH133" s="1033" t="e">
        <f t="shared" si="89"/>
        <v>#DIV/0!</v>
      </c>
      <c r="AI133" s="1091">
        <f t="shared" si="90"/>
        <v>0</v>
      </c>
      <c r="AJ133" s="1094">
        <f t="shared" si="91"/>
        <v>0</v>
      </c>
      <c r="AK133" s="1053" t="str">
        <f t="shared" si="92"/>
        <v/>
      </c>
      <c r="AL133" s="1053"/>
      <c r="AM133" s="1290">
        <f>_xlfn.XLOOKUP(F133,Proveedores!A:A,Proveedores!G:G)</f>
        <v>0</v>
      </c>
      <c r="AN133" s="1095" t="str">
        <f t="shared" si="105"/>
        <v>OK</v>
      </c>
    </row>
    <row r="134" spans="1:40" ht="15.95">
      <c r="A134" s="1090" t="b">
        <f t="shared" si="80"/>
        <v>1</v>
      </c>
      <c r="B134" s="1091" t="b">
        <f t="shared" si="93"/>
        <v>1</v>
      </c>
      <c r="C134" s="1092" t="str">
        <f t="shared" si="94"/>
        <v>Dólares</v>
      </c>
      <c r="D134" s="13"/>
      <c r="E134" s="743"/>
      <c r="F134" s="17"/>
      <c r="G134" s="17" t="str">
        <f t="shared" si="81"/>
        <v xml:space="preserve"> </v>
      </c>
      <c r="H134" s="12">
        <v>0</v>
      </c>
      <c r="I134" s="16" t="str">
        <f>IFERROR(VLOOKUP(G134,Proveedores!B:C,2,0)," ")</f>
        <v xml:space="preserve"> </v>
      </c>
      <c r="J134" s="745">
        <v>0</v>
      </c>
      <c r="K134" s="745" t="str">
        <f t="shared" si="82"/>
        <v>Not Found</v>
      </c>
      <c r="L134" s="16">
        <f>IF(K134="Importado",Fletes!$B$66,0%)</f>
        <v>0</v>
      </c>
      <c r="M134" s="745">
        <f t="shared" si="95"/>
        <v>0</v>
      </c>
      <c r="N134" s="16">
        <f>IF(K134&lt;&gt;"Importado",0%,IF(Fletes!$B$67&lt;10,15%,IF(Fletes!$B$67&lt;20,10%,5%)))</f>
        <v>0</v>
      </c>
      <c r="O134" s="745" t="str">
        <f>IFERROR(IF(OR(F134="Offiho",F134="Lauco Sofas",F134="Requiez",F134="Labenze",F134="Sunon Mty",F134="Sonara"),(M134*(1-_xlfn.XLOOKUP(F134,Proveedores!A:A,Proveedores!I:I)))*(1+N134),((M134*(1-_xlfn.XLOOKUP(F134,Proveedores!A:A,Proveedores!I:I)))*(1+N134))+U134),"")</f>
        <v/>
      </c>
      <c r="P134" s="1031"/>
      <c r="Q134" s="1133">
        <f>IF(K134&lt;&gt;"Importado",0,IF(P134&gt;0,P134*H134,IFERROR(_xlfn.XLOOKUP(F134,Proveedores!A:A,Proveedores!F:F,0)*H134,0)))</f>
        <v>0</v>
      </c>
      <c r="R134" s="1134" t="e">
        <f t="shared" si="96"/>
        <v>#VALUE!</v>
      </c>
      <c r="S134" s="743"/>
      <c r="T134" s="1034" t="e">
        <f t="shared" si="83"/>
        <v>#N/A</v>
      </c>
      <c r="U134" s="1034" t="e">
        <f t="shared" si="97"/>
        <v>#N/A</v>
      </c>
      <c r="V134" s="1165" t="e">
        <f t="shared" si="84"/>
        <v>#N/A</v>
      </c>
      <c r="W134" s="1034" t="e">
        <f t="shared" si="98"/>
        <v>#N/A</v>
      </c>
      <c r="X134" s="1034" t="b">
        <f t="shared" si="99"/>
        <v>0</v>
      </c>
      <c r="Y134" s="1034">
        <f t="shared" si="100"/>
        <v>0</v>
      </c>
      <c r="Z134" s="1034">
        <f t="shared" si="101"/>
        <v>0</v>
      </c>
      <c r="AA134" s="1034">
        <f t="shared" si="85"/>
        <v>0</v>
      </c>
      <c r="AB134" s="1034">
        <f t="shared" si="86"/>
        <v>0</v>
      </c>
      <c r="AC134" s="1033">
        <f t="shared" si="102"/>
        <v>0</v>
      </c>
      <c r="AD134" s="1266">
        <f t="shared" si="87"/>
        <v>0</v>
      </c>
      <c r="AE134" s="1093">
        <f t="shared" si="103"/>
        <v>0</v>
      </c>
      <c r="AF134" s="1093">
        <f t="shared" si="104"/>
        <v>0</v>
      </c>
      <c r="AG134" s="1093">
        <f t="shared" si="88"/>
        <v>0</v>
      </c>
      <c r="AH134" s="1033" t="e">
        <f t="shared" si="89"/>
        <v>#DIV/0!</v>
      </c>
      <c r="AI134" s="1091">
        <f t="shared" si="90"/>
        <v>0</v>
      </c>
      <c r="AJ134" s="1094">
        <f t="shared" si="91"/>
        <v>0</v>
      </c>
      <c r="AK134" s="1053" t="str">
        <f t="shared" si="92"/>
        <v/>
      </c>
      <c r="AL134" s="1053"/>
      <c r="AM134" s="1290">
        <f>_xlfn.XLOOKUP(F134,Proveedores!A:A,Proveedores!G:G)</f>
        <v>0</v>
      </c>
      <c r="AN134" s="1095" t="str">
        <f t="shared" si="105"/>
        <v>OK</v>
      </c>
    </row>
    <row r="135" spans="1:40" ht="15.95">
      <c r="A135" s="1090" t="b">
        <f t="shared" si="80"/>
        <v>1</v>
      </c>
      <c r="B135" s="1091" t="b">
        <f t="shared" si="93"/>
        <v>1</v>
      </c>
      <c r="C135" s="1092" t="str">
        <f t="shared" si="94"/>
        <v>Dólares</v>
      </c>
      <c r="D135" s="13"/>
      <c r="E135" s="743"/>
      <c r="F135" s="17"/>
      <c r="G135" s="17" t="str">
        <f t="shared" si="81"/>
        <v xml:space="preserve"> </v>
      </c>
      <c r="H135" s="12">
        <v>0</v>
      </c>
      <c r="I135" s="16" t="str">
        <f>IFERROR(VLOOKUP(G135,Proveedores!B:C,2,0)," ")</f>
        <v xml:space="preserve"> </v>
      </c>
      <c r="J135" s="745">
        <v>0</v>
      </c>
      <c r="K135" s="745" t="str">
        <f t="shared" si="82"/>
        <v>Not Found</v>
      </c>
      <c r="L135" s="16">
        <f>IF(K135="Importado",Fletes!$B$66,0%)</f>
        <v>0</v>
      </c>
      <c r="M135" s="745">
        <f t="shared" si="95"/>
        <v>0</v>
      </c>
      <c r="N135" s="16">
        <f>IF(K135&lt;&gt;"Importado",0%,IF(Fletes!$B$67&lt;10,15%,IF(Fletes!$B$67&lt;20,10%,5%)))</f>
        <v>0</v>
      </c>
      <c r="O135" s="745" t="str">
        <f>IFERROR(IF(OR(F135="Offiho",F135="Lauco Sofas",F135="Requiez",F135="Labenze",F135="Sunon Mty",F135="Sonara"),(M135*(1-_xlfn.XLOOKUP(F135,Proveedores!A:A,Proveedores!I:I)))*(1+N135),((M135*(1-_xlfn.XLOOKUP(F135,Proveedores!A:A,Proveedores!I:I)))*(1+N135))+U135),"")</f>
        <v/>
      </c>
      <c r="P135" s="1031"/>
      <c r="Q135" s="1133">
        <f>IF(K135&lt;&gt;"Importado",0,IF(P135&gt;0,P135*H135,IFERROR(_xlfn.XLOOKUP(F135,Proveedores!A:A,Proveedores!F:F,0)*H135,0)))</f>
        <v>0</v>
      </c>
      <c r="R135" s="1134" t="e">
        <f t="shared" si="96"/>
        <v>#VALUE!</v>
      </c>
      <c r="S135" s="743"/>
      <c r="T135" s="1034" t="e">
        <f t="shared" si="83"/>
        <v>#N/A</v>
      </c>
      <c r="U135" s="1034" t="e">
        <f t="shared" si="97"/>
        <v>#N/A</v>
      </c>
      <c r="V135" s="1165" t="e">
        <f t="shared" si="84"/>
        <v>#N/A</v>
      </c>
      <c r="W135" s="1034" t="e">
        <f t="shared" si="98"/>
        <v>#N/A</v>
      </c>
      <c r="X135" s="1034" t="b">
        <f t="shared" si="99"/>
        <v>0</v>
      </c>
      <c r="Y135" s="1034">
        <f t="shared" si="100"/>
        <v>0</v>
      </c>
      <c r="Z135" s="1034">
        <f t="shared" si="101"/>
        <v>0</v>
      </c>
      <c r="AA135" s="1034">
        <f t="shared" si="85"/>
        <v>0</v>
      </c>
      <c r="AB135" s="1034">
        <f t="shared" si="86"/>
        <v>0</v>
      </c>
      <c r="AC135" s="1033">
        <f t="shared" si="102"/>
        <v>0</v>
      </c>
      <c r="AD135" s="1266">
        <f t="shared" si="87"/>
        <v>0</v>
      </c>
      <c r="AE135" s="1093">
        <f t="shared" si="103"/>
        <v>0</v>
      </c>
      <c r="AF135" s="1093">
        <f t="shared" si="104"/>
        <v>0</v>
      </c>
      <c r="AG135" s="1093">
        <f t="shared" si="88"/>
        <v>0</v>
      </c>
      <c r="AH135" s="1033" t="e">
        <f t="shared" si="89"/>
        <v>#DIV/0!</v>
      </c>
      <c r="AI135" s="1091">
        <f t="shared" si="90"/>
        <v>0</v>
      </c>
      <c r="AJ135" s="1094">
        <f t="shared" si="91"/>
        <v>0</v>
      </c>
      <c r="AK135" s="1053" t="str">
        <f t="shared" si="92"/>
        <v/>
      </c>
      <c r="AL135" s="1053"/>
      <c r="AM135" s="1290">
        <f>_xlfn.XLOOKUP(F135,Proveedores!A:A,Proveedores!G:G)</f>
        <v>0</v>
      </c>
      <c r="AN135" s="1095" t="str">
        <f t="shared" si="105"/>
        <v>OK</v>
      </c>
    </row>
    <row r="136" spans="1:40" ht="15.95">
      <c r="A136" s="1090" t="b">
        <f t="shared" si="80"/>
        <v>1</v>
      </c>
      <c r="B136" s="1091" t="b">
        <f t="shared" si="93"/>
        <v>1</v>
      </c>
      <c r="C136" s="1092" t="str">
        <f t="shared" si="94"/>
        <v>Dólares</v>
      </c>
      <c r="D136" s="13"/>
      <c r="E136" s="743"/>
      <c r="F136" s="17"/>
      <c r="G136" s="17" t="str">
        <f t="shared" si="81"/>
        <v xml:space="preserve"> </v>
      </c>
      <c r="H136" s="12">
        <v>0</v>
      </c>
      <c r="I136" s="16" t="str">
        <f>IFERROR(VLOOKUP(G136,Proveedores!B:C,2,0)," ")</f>
        <v xml:space="preserve"> </v>
      </c>
      <c r="J136" s="745">
        <v>0</v>
      </c>
      <c r="K136" s="745" t="str">
        <f t="shared" si="82"/>
        <v>Not Found</v>
      </c>
      <c r="L136" s="16">
        <f>IF(K136="Importado",Fletes!$B$66,0%)</f>
        <v>0</v>
      </c>
      <c r="M136" s="745">
        <f t="shared" si="95"/>
        <v>0</v>
      </c>
      <c r="N136" s="16">
        <f>IF(K136&lt;&gt;"Importado",0%,IF(Fletes!$B$67&lt;10,15%,IF(Fletes!$B$67&lt;20,10%,5%)))</f>
        <v>0</v>
      </c>
      <c r="O136" s="745" t="str">
        <f>IFERROR(IF(OR(F136="Offiho",F136="Lauco Sofas",F136="Requiez",F136="Labenze",F136="Sunon Mty",F136="Sonara"),(M136*(1-_xlfn.XLOOKUP(F136,Proveedores!A:A,Proveedores!I:I)))*(1+N136),((M136*(1-_xlfn.XLOOKUP(F136,Proveedores!A:A,Proveedores!I:I)))*(1+N136))+U136),"")</f>
        <v/>
      </c>
      <c r="P136" s="1031"/>
      <c r="Q136" s="1133">
        <f>IF(K136&lt;&gt;"Importado",0,IF(P136&gt;0,P136*H136,IFERROR(_xlfn.XLOOKUP(F136,Proveedores!A:A,Proveedores!F:F,0)*H136,0)))</f>
        <v>0</v>
      </c>
      <c r="R136" s="1134" t="e">
        <f t="shared" si="96"/>
        <v>#VALUE!</v>
      </c>
      <c r="S136" s="743"/>
      <c r="T136" s="1034" t="e">
        <f t="shared" si="83"/>
        <v>#N/A</v>
      </c>
      <c r="U136" s="1034" t="e">
        <f t="shared" si="97"/>
        <v>#N/A</v>
      </c>
      <c r="V136" s="1165" t="e">
        <f t="shared" si="84"/>
        <v>#N/A</v>
      </c>
      <c r="W136" s="1034" t="e">
        <f t="shared" si="98"/>
        <v>#N/A</v>
      </c>
      <c r="X136" s="1034" t="b">
        <f t="shared" si="99"/>
        <v>0</v>
      </c>
      <c r="Y136" s="1034">
        <f t="shared" si="100"/>
        <v>0</v>
      </c>
      <c r="Z136" s="1034">
        <f t="shared" si="101"/>
        <v>0</v>
      </c>
      <c r="AA136" s="1034">
        <f t="shared" si="85"/>
        <v>0</v>
      </c>
      <c r="AB136" s="1034">
        <f t="shared" si="86"/>
        <v>0</v>
      </c>
      <c r="AC136" s="1033">
        <f t="shared" si="102"/>
        <v>0</v>
      </c>
      <c r="AD136" s="1266">
        <f t="shared" si="87"/>
        <v>0</v>
      </c>
      <c r="AE136" s="1093">
        <f t="shared" si="103"/>
        <v>0</v>
      </c>
      <c r="AF136" s="1093">
        <f t="shared" si="104"/>
        <v>0</v>
      </c>
      <c r="AG136" s="1093">
        <f t="shared" si="88"/>
        <v>0</v>
      </c>
      <c r="AH136" s="1033" t="e">
        <f t="shared" si="89"/>
        <v>#DIV/0!</v>
      </c>
      <c r="AI136" s="1091">
        <f t="shared" si="90"/>
        <v>0</v>
      </c>
      <c r="AJ136" s="1094">
        <f t="shared" si="91"/>
        <v>0</v>
      </c>
      <c r="AK136" s="1053" t="str">
        <f t="shared" si="92"/>
        <v/>
      </c>
      <c r="AL136" s="1053"/>
      <c r="AM136" s="1290">
        <f>_xlfn.XLOOKUP(F136,Proveedores!A:A,Proveedores!G:G)</f>
        <v>0</v>
      </c>
      <c r="AN136" s="1095" t="str">
        <f t="shared" si="105"/>
        <v>OK</v>
      </c>
    </row>
    <row r="137" spans="1:40" ht="15.95">
      <c r="A137" s="1090" t="b">
        <f t="shared" si="80"/>
        <v>1</v>
      </c>
      <c r="B137" s="1091" t="b">
        <f t="shared" si="93"/>
        <v>1</v>
      </c>
      <c r="C137" s="1092" t="str">
        <f t="shared" si="94"/>
        <v>Dólares</v>
      </c>
      <c r="D137" s="14"/>
      <c r="E137" s="743"/>
      <c r="F137" s="17"/>
      <c r="G137" s="17" t="str">
        <f t="shared" si="81"/>
        <v xml:space="preserve"> </v>
      </c>
      <c r="H137" s="12">
        <v>0</v>
      </c>
      <c r="I137" s="16" t="str">
        <f>IFERROR(VLOOKUP(G137,Proveedores!B:C,2,0)," ")</f>
        <v xml:space="preserve"> </v>
      </c>
      <c r="J137" s="745">
        <v>0</v>
      </c>
      <c r="K137" s="745" t="str">
        <f t="shared" si="82"/>
        <v>Not Found</v>
      </c>
      <c r="L137" s="16">
        <f>IF(K137="Importado",Fletes!$B$66,0%)</f>
        <v>0</v>
      </c>
      <c r="M137" s="745">
        <f t="shared" si="95"/>
        <v>0</v>
      </c>
      <c r="N137" s="16">
        <f>IF(K137&lt;&gt;"Importado",0%,IF(Fletes!$B$67&lt;10,15%,IF(Fletes!$B$67&lt;20,10%,5%)))</f>
        <v>0</v>
      </c>
      <c r="O137" s="745" t="str">
        <f>IFERROR(IF(OR(F137="Offiho",F137="Lauco Sofas",F137="Requiez",F137="Labenze",F137="Sunon Mty",F137="Sonara"),(M137*(1-_xlfn.XLOOKUP(F137,Proveedores!A:A,Proveedores!I:I)))*(1+N137),((M137*(1-_xlfn.XLOOKUP(F137,Proveedores!A:A,Proveedores!I:I)))*(1+N137))+U137),"")</f>
        <v/>
      </c>
      <c r="P137" s="1031"/>
      <c r="Q137" s="1133">
        <f>IF(K137&lt;&gt;"Importado",0,IF(P137&gt;0,P137*H137,IFERROR(_xlfn.XLOOKUP(F137,Proveedores!A:A,Proveedores!F:F,0)*H137,0)))</f>
        <v>0</v>
      </c>
      <c r="R137" s="1134" t="e">
        <f t="shared" si="96"/>
        <v>#VALUE!</v>
      </c>
      <c r="S137" s="743"/>
      <c r="T137" s="1034" t="e">
        <f t="shared" si="83"/>
        <v>#N/A</v>
      </c>
      <c r="U137" s="1034" t="e">
        <f t="shared" si="97"/>
        <v>#N/A</v>
      </c>
      <c r="V137" s="1165" t="e">
        <f t="shared" si="84"/>
        <v>#N/A</v>
      </c>
      <c r="W137" s="1034" t="e">
        <f t="shared" si="98"/>
        <v>#N/A</v>
      </c>
      <c r="X137" s="1034" t="b">
        <f t="shared" si="99"/>
        <v>0</v>
      </c>
      <c r="Y137" s="1034">
        <f t="shared" si="100"/>
        <v>0</v>
      </c>
      <c r="Z137" s="1034">
        <f t="shared" si="101"/>
        <v>0</v>
      </c>
      <c r="AA137" s="1034">
        <f t="shared" si="85"/>
        <v>0</v>
      </c>
      <c r="AB137" s="1034">
        <f t="shared" si="86"/>
        <v>0</v>
      </c>
      <c r="AC137" s="1033">
        <f t="shared" si="102"/>
        <v>0</v>
      </c>
      <c r="AD137" s="1266">
        <f t="shared" si="87"/>
        <v>0</v>
      </c>
      <c r="AE137" s="1093">
        <f t="shared" si="103"/>
        <v>0</v>
      </c>
      <c r="AF137" s="1093">
        <f t="shared" si="104"/>
        <v>0</v>
      </c>
      <c r="AG137" s="1093">
        <f t="shared" si="88"/>
        <v>0</v>
      </c>
      <c r="AH137" s="1033" t="e">
        <f t="shared" si="89"/>
        <v>#DIV/0!</v>
      </c>
      <c r="AI137" s="1091">
        <f t="shared" si="90"/>
        <v>0</v>
      </c>
      <c r="AJ137" s="1094">
        <f t="shared" si="91"/>
        <v>0</v>
      </c>
      <c r="AK137" s="1053" t="str">
        <f t="shared" si="92"/>
        <v/>
      </c>
      <c r="AL137" s="1053"/>
      <c r="AM137" s="1290">
        <f>_xlfn.XLOOKUP(F137,Proveedores!A:A,Proveedores!G:G)</f>
        <v>0</v>
      </c>
      <c r="AN137" s="1095" t="str">
        <f t="shared" si="105"/>
        <v>OK</v>
      </c>
    </row>
    <row r="138" spans="1:40" ht="15.95">
      <c r="A138" s="1090" t="b">
        <f t="shared" si="80"/>
        <v>1</v>
      </c>
      <c r="B138" s="1091" t="b">
        <f t="shared" si="93"/>
        <v>1</v>
      </c>
      <c r="C138" s="1092" t="str">
        <f t="shared" si="94"/>
        <v>Dólares</v>
      </c>
      <c r="D138" s="15"/>
      <c r="E138" s="743"/>
      <c r="F138" s="17"/>
      <c r="G138" s="17" t="str">
        <f t="shared" si="81"/>
        <v xml:space="preserve"> </v>
      </c>
      <c r="H138" s="12">
        <v>0</v>
      </c>
      <c r="I138" s="16" t="str">
        <f>IFERROR(VLOOKUP(G138,Proveedores!B:C,2,0)," ")</f>
        <v xml:space="preserve"> </v>
      </c>
      <c r="J138" s="745">
        <v>0</v>
      </c>
      <c r="K138" s="745" t="str">
        <f t="shared" si="82"/>
        <v>Not Found</v>
      </c>
      <c r="L138" s="16">
        <f>IF(K138="Importado",Fletes!$B$66,0%)</f>
        <v>0</v>
      </c>
      <c r="M138" s="745">
        <f t="shared" si="95"/>
        <v>0</v>
      </c>
      <c r="N138" s="16">
        <f>IF(K138&lt;&gt;"Importado",0%,IF(Fletes!$B$67&lt;10,15%,IF(Fletes!$B$67&lt;20,10%,5%)))</f>
        <v>0</v>
      </c>
      <c r="O138" s="745" t="str">
        <f>IFERROR(IF(OR(F138="Offiho",F138="Lauco Sofas",F138="Requiez",F138="Labenze",F138="Sunon Mty",F138="Sonara"),(M138*(1-_xlfn.XLOOKUP(F138,Proveedores!A:A,Proveedores!I:I)))*(1+N138),((M138*(1-_xlfn.XLOOKUP(F138,Proveedores!A:A,Proveedores!I:I)))*(1+N138))+U138),"")</f>
        <v/>
      </c>
      <c r="P138" s="1031"/>
      <c r="Q138" s="1133">
        <f>IF(K138&lt;&gt;"Importado",0,IF(P138&gt;0,P138*H138,IFERROR(_xlfn.XLOOKUP(F138,Proveedores!A:A,Proveedores!F:F,0)*H138,0)))</f>
        <v>0</v>
      </c>
      <c r="R138" s="1134" t="e">
        <f t="shared" si="96"/>
        <v>#VALUE!</v>
      </c>
      <c r="S138" s="743"/>
      <c r="T138" s="1034" t="e">
        <f t="shared" si="83"/>
        <v>#N/A</v>
      </c>
      <c r="U138" s="1034" t="e">
        <f t="shared" si="97"/>
        <v>#N/A</v>
      </c>
      <c r="V138" s="1165" t="e">
        <f t="shared" si="84"/>
        <v>#N/A</v>
      </c>
      <c r="W138" s="1034" t="e">
        <f t="shared" si="98"/>
        <v>#N/A</v>
      </c>
      <c r="X138" s="1034" t="b">
        <f t="shared" si="99"/>
        <v>0</v>
      </c>
      <c r="Y138" s="1034">
        <f t="shared" si="100"/>
        <v>0</v>
      </c>
      <c r="Z138" s="1034">
        <f t="shared" si="101"/>
        <v>0</v>
      </c>
      <c r="AA138" s="1034">
        <f t="shared" si="85"/>
        <v>0</v>
      </c>
      <c r="AB138" s="1034">
        <f t="shared" si="86"/>
        <v>0</v>
      </c>
      <c r="AC138" s="1033">
        <f t="shared" si="102"/>
        <v>0</v>
      </c>
      <c r="AD138" s="1266">
        <f t="shared" si="87"/>
        <v>0</v>
      </c>
      <c r="AE138" s="1093">
        <f t="shared" si="103"/>
        <v>0</v>
      </c>
      <c r="AF138" s="1093">
        <f t="shared" si="104"/>
        <v>0</v>
      </c>
      <c r="AG138" s="1093">
        <f t="shared" si="88"/>
        <v>0</v>
      </c>
      <c r="AH138" s="1033" t="e">
        <f t="shared" si="89"/>
        <v>#DIV/0!</v>
      </c>
      <c r="AI138" s="1091">
        <f t="shared" si="90"/>
        <v>0</v>
      </c>
      <c r="AJ138" s="1094">
        <f t="shared" si="91"/>
        <v>0</v>
      </c>
      <c r="AK138" s="1053" t="str">
        <f t="shared" si="92"/>
        <v/>
      </c>
      <c r="AL138" s="1053"/>
      <c r="AM138" s="1290">
        <f>_xlfn.XLOOKUP(F138,Proveedores!A:A,Proveedores!G:G)</f>
        <v>0</v>
      </c>
      <c r="AN138" s="1095" t="str">
        <f t="shared" si="105"/>
        <v>OK</v>
      </c>
    </row>
    <row r="139" spans="1:40" ht="15.95">
      <c r="A139" s="1090" t="b">
        <f t="shared" si="80"/>
        <v>1</v>
      </c>
      <c r="B139" s="1091" t="b">
        <f t="shared" si="93"/>
        <v>1</v>
      </c>
      <c r="C139" s="1092" t="str">
        <f t="shared" si="94"/>
        <v>Dólares</v>
      </c>
      <c r="D139" s="15"/>
      <c r="E139" s="743"/>
      <c r="F139" s="17"/>
      <c r="G139" s="17" t="str">
        <f t="shared" si="81"/>
        <v xml:space="preserve"> </v>
      </c>
      <c r="H139" s="12">
        <v>0</v>
      </c>
      <c r="I139" s="16" t="str">
        <f>IFERROR(VLOOKUP(G139,Proveedores!B:C,2,0)," ")</f>
        <v xml:space="preserve"> </v>
      </c>
      <c r="J139" s="745">
        <v>0</v>
      </c>
      <c r="K139" s="745" t="str">
        <f t="shared" si="82"/>
        <v>Not Found</v>
      </c>
      <c r="L139" s="16">
        <f>IF(K139="Importado",Fletes!$B$66,0%)</f>
        <v>0</v>
      </c>
      <c r="M139" s="745">
        <f t="shared" si="95"/>
        <v>0</v>
      </c>
      <c r="N139" s="16">
        <f>IF(K139&lt;&gt;"Importado",0%,IF(Fletes!$B$67&lt;10,15%,IF(Fletes!$B$67&lt;20,10%,5%)))</f>
        <v>0</v>
      </c>
      <c r="O139" s="745" t="str">
        <f>IFERROR(IF(OR(F139="Offiho",F139="Lauco Sofas",F139="Requiez",F139="Labenze",F139="Sunon Mty",F139="Sonara"),(M139*(1-_xlfn.XLOOKUP(F139,Proveedores!A:A,Proveedores!I:I)))*(1+N139),((M139*(1-_xlfn.XLOOKUP(F139,Proveedores!A:A,Proveedores!I:I)))*(1+N139))+U139),"")</f>
        <v/>
      </c>
      <c r="P139" s="1031"/>
      <c r="Q139" s="1133">
        <f>IF(K139&lt;&gt;"Importado",0,IF(P139&gt;0,P139*H139,IFERROR(_xlfn.XLOOKUP(F139,Proveedores!A:A,Proveedores!F:F,0)*H139,0)))</f>
        <v>0</v>
      </c>
      <c r="R139" s="1134" t="e">
        <f t="shared" si="96"/>
        <v>#VALUE!</v>
      </c>
      <c r="S139" s="743"/>
      <c r="T139" s="1034" t="e">
        <f t="shared" si="83"/>
        <v>#N/A</v>
      </c>
      <c r="U139" s="1034" t="e">
        <f t="shared" si="97"/>
        <v>#N/A</v>
      </c>
      <c r="V139" s="1165" t="e">
        <f t="shared" si="84"/>
        <v>#N/A</v>
      </c>
      <c r="W139" s="1034" t="e">
        <f t="shared" si="98"/>
        <v>#N/A</v>
      </c>
      <c r="X139" s="1034" t="b">
        <f t="shared" si="99"/>
        <v>0</v>
      </c>
      <c r="Y139" s="1034">
        <f t="shared" si="100"/>
        <v>0</v>
      </c>
      <c r="Z139" s="1034">
        <f t="shared" si="101"/>
        <v>0</v>
      </c>
      <c r="AA139" s="1034">
        <f t="shared" si="85"/>
        <v>0</v>
      </c>
      <c r="AB139" s="1034">
        <f t="shared" si="86"/>
        <v>0</v>
      </c>
      <c r="AC139" s="1033">
        <f t="shared" si="102"/>
        <v>0</v>
      </c>
      <c r="AD139" s="1266">
        <f t="shared" si="87"/>
        <v>0</v>
      </c>
      <c r="AE139" s="1093">
        <f t="shared" si="103"/>
        <v>0</v>
      </c>
      <c r="AF139" s="1093">
        <f t="shared" si="104"/>
        <v>0</v>
      </c>
      <c r="AG139" s="1093">
        <f t="shared" si="88"/>
        <v>0</v>
      </c>
      <c r="AH139" s="1033" t="e">
        <f t="shared" si="89"/>
        <v>#DIV/0!</v>
      </c>
      <c r="AI139" s="1091">
        <f t="shared" si="90"/>
        <v>0</v>
      </c>
      <c r="AJ139" s="1094">
        <f t="shared" si="91"/>
        <v>0</v>
      </c>
      <c r="AK139" s="1053" t="str">
        <f t="shared" si="92"/>
        <v/>
      </c>
      <c r="AL139" s="1053"/>
      <c r="AM139" s="1290">
        <f>_xlfn.XLOOKUP(F139,Proveedores!A:A,Proveedores!G:G)</f>
        <v>0</v>
      </c>
      <c r="AN139" s="1095" t="str">
        <f t="shared" si="105"/>
        <v>OK</v>
      </c>
    </row>
    <row r="140" spans="1:40" ht="15.95">
      <c r="A140" s="1090" t="b">
        <f t="shared" si="80"/>
        <v>1</v>
      </c>
      <c r="B140" s="1091" t="b">
        <f t="shared" si="93"/>
        <v>1</v>
      </c>
      <c r="C140" s="1092" t="str">
        <f t="shared" si="94"/>
        <v>Dólares</v>
      </c>
      <c r="D140" s="15"/>
      <c r="E140" s="743"/>
      <c r="F140" s="17"/>
      <c r="G140" s="17" t="str">
        <f t="shared" si="81"/>
        <v xml:space="preserve"> </v>
      </c>
      <c r="H140" s="12">
        <v>0</v>
      </c>
      <c r="I140" s="16" t="str">
        <f>IFERROR(VLOOKUP(G140,Proveedores!B:C,2,0)," ")</f>
        <v xml:space="preserve"> </v>
      </c>
      <c r="J140" s="745">
        <v>0</v>
      </c>
      <c r="K140" s="745" t="str">
        <f t="shared" si="82"/>
        <v>Not Found</v>
      </c>
      <c r="L140" s="16">
        <f>IF(K140="Importado",Fletes!$B$66,0%)</f>
        <v>0</v>
      </c>
      <c r="M140" s="745">
        <f t="shared" si="95"/>
        <v>0</v>
      </c>
      <c r="N140" s="16">
        <f>IF(K140&lt;&gt;"Importado",0%,IF(Fletes!$B$67&lt;10,15%,IF(Fletes!$B$67&lt;20,10%,5%)))</f>
        <v>0</v>
      </c>
      <c r="O140" s="745" t="str">
        <f>IFERROR(IF(OR(F140="Offiho",F140="Lauco Sofas",F140="Requiez",F140="Labenze",F140="Sunon Mty",F140="Sonara"),(M140*(1-_xlfn.XLOOKUP(F140,Proveedores!A:A,Proveedores!I:I)))*(1+N140),((M140*(1-_xlfn.XLOOKUP(F140,Proveedores!A:A,Proveedores!I:I)))*(1+N140))+U140),"")</f>
        <v/>
      </c>
      <c r="P140" s="1031"/>
      <c r="Q140" s="1133">
        <f>IF(K140&lt;&gt;"Importado",0,IF(P140&gt;0,P140*H140,IFERROR(_xlfn.XLOOKUP(F140,Proveedores!A:A,Proveedores!F:F,0)*H140,0)))</f>
        <v>0</v>
      </c>
      <c r="R140" s="1134" t="e">
        <f t="shared" si="96"/>
        <v>#VALUE!</v>
      </c>
      <c r="S140" s="743"/>
      <c r="T140" s="1034" t="e">
        <f t="shared" si="83"/>
        <v>#N/A</v>
      </c>
      <c r="U140" s="1034" t="e">
        <f t="shared" si="97"/>
        <v>#N/A</v>
      </c>
      <c r="V140" s="1165" t="e">
        <f t="shared" si="84"/>
        <v>#N/A</v>
      </c>
      <c r="W140" s="1034" t="e">
        <f t="shared" si="98"/>
        <v>#N/A</v>
      </c>
      <c r="X140" s="1034" t="b">
        <f t="shared" si="99"/>
        <v>0</v>
      </c>
      <c r="Y140" s="1034">
        <f t="shared" si="100"/>
        <v>0</v>
      </c>
      <c r="Z140" s="1034">
        <f t="shared" si="101"/>
        <v>0</v>
      </c>
      <c r="AA140" s="1034">
        <f t="shared" si="85"/>
        <v>0</v>
      </c>
      <c r="AB140" s="1034">
        <f t="shared" si="86"/>
        <v>0</v>
      </c>
      <c r="AC140" s="1033">
        <f t="shared" si="102"/>
        <v>0</v>
      </c>
      <c r="AD140" s="1266">
        <f t="shared" si="87"/>
        <v>0</v>
      </c>
      <c r="AE140" s="1093">
        <f t="shared" si="103"/>
        <v>0</v>
      </c>
      <c r="AF140" s="1093">
        <f t="shared" si="104"/>
        <v>0</v>
      </c>
      <c r="AG140" s="1093">
        <f t="shared" si="88"/>
        <v>0</v>
      </c>
      <c r="AH140" s="1033" t="e">
        <f t="shared" si="89"/>
        <v>#DIV/0!</v>
      </c>
      <c r="AI140" s="1091">
        <f t="shared" si="90"/>
        <v>0</v>
      </c>
      <c r="AJ140" s="1094">
        <f t="shared" si="91"/>
        <v>0</v>
      </c>
      <c r="AK140" s="1053" t="str">
        <f t="shared" si="92"/>
        <v/>
      </c>
      <c r="AL140" s="1053"/>
      <c r="AM140" s="1290">
        <f>_xlfn.XLOOKUP(F140,Proveedores!A:A,Proveedores!G:G)</f>
        <v>0</v>
      </c>
      <c r="AN140" s="1095" t="str">
        <f t="shared" si="105"/>
        <v>OK</v>
      </c>
    </row>
    <row r="141" spans="1:40" ht="15.95">
      <c r="A141" s="1090" t="b">
        <f t="shared" si="80"/>
        <v>1</v>
      </c>
      <c r="B141" s="1091" t="b">
        <f t="shared" si="93"/>
        <v>1</v>
      </c>
      <c r="C141" s="1092" t="str">
        <f t="shared" si="94"/>
        <v>Dólares</v>
      </c>
      <c r="D141" s="15"/>
      <c r="E141" s="743"/>
      <c r="F141" s="17"/>
      <c r="G141" s="17" t="str">
        <f t="shared" si="81"/>
        <v xml:space="preserve"> </v>
      </c>
      <c r="H141" s="12">
        <v>0</v>
      </c>
      <c r="I141" s="16" t="str">
        <f>IFERROR(VLOOKUP(G141,Proveedores!B:C,2,0)," ")</f>
        <v xml:space="preserve"> </v>
      </c>
      <c r="J141" s="745">
        <v>0</v>
      </c>
      <c r="K141" s="745" t="str">
        <f t="shared" si="82"/>
        <v>Not Found</v>
      </c>
      <c r="L141" s="16">
        <f>IF(K141="Importado",Fletes!$B$66,0%)</f>
        <v>0</v>
      </c>
      <c r="M141" s="745">
        <f t="shared" si="95"/>
        <v>0</v>
      </c>
      <c r="N141" s="16">
        <f>IF(K141&lt;&gt;"Importado",0%,IF(Fletes!$B$67&lt;10,15%,IF(Fletes!$B$67&lt;20,10%,5%)))</f>
        <v>0</v>
      </c>
      <c r="O141" s="745" t="str">
        <f>IFERROR(IF(OR(F141="Offiho",F141="Lauco Sofas",F141="Requiez",F141="Labenze",F141="Sunon Mty",F141="Sonara"),(M141*(1-_xlfn.XLOOKUP(F141,Proveedores!A:A,Proveedores!I:I)))*(1+N141),((M141*(1-_xlfn.XLOOKUP(F141,Proveedores!A:A,Proveedores!I:I)))*(1+N141))+U141),"")</f>
        <v/>
      </c>
      <c r="P141" s="1031"/>
      <c r="Q141" s="1133">
        <f>IF(K141&lt;&gt;"Importado",0,IF(P141&gt;0,P141*H141,IFERROR(_xlfn.XLOOKUP(F141,Proveedores!A:A,Proveedores!F:F,0)*H141,0)))</f>
        <v>0</v>
      </c>
      <c r="R141" s="1134" t="e">
        <f t="shared" si="96"/>
        <v>#VALUE!</v>
      </c>
      <c r="S141" s="743"/>
      <c r="T141" s="1034" t="e">
        <f t="shared" si="83"/>
        <v>#N/A</v>
      </c>
      <c r="U141" s="1034" t="e">
        <f t="shared" si="97"/>
        <v>#N/A</v>
      </c>
      <c r="V141" s="1165" t="e">
        <f t="shared" si="84"/>
        <v>#N/A</v>
      </c>
      <c r="W141" s="1034" t="e">
        <f t="shared" si="98"/>
        <v>#N/A</v>
      </c>
      <c r="X141" s="1034" t="b">
        <f t="shared" si="99"/>
        <v>0</v>
      </c>
      <c r="Y141" s="1034">
        <f t="shared" si="100"/>
        <v>0</v>
      </c>
      <c r="Z141" s="1034">
        <f t="shared" si="101"/>
        <v>0</v>
      </c>
      <c r="AA141" s="1034">
        <f t="shared" si="85"/>
        <v>0</v>
      </c>
      <c r="AB141" s="1034">
        <f t="shared" si="86"/>
        <v>0</v>
      </c>
      <c r="AC141" s="1033">
        <f t="shared" si="102"/>
        <v>0</v>
      </c>
      <c r="AD141" s="1266">
        <f t="shared" si="87"/>
        <v>0</v>
      </c>
      <c r="AE141" s="1093">
        <f t="shared" si="103"/>
        <v>0</v>
      </c>
      <c r="AF141" s="1093">
        <f t="shared" si="104"/>
        <v>0</v>
      </c>
      <c r="AG141" s="1093">
        <f t="shared" si="88"/>
        <v>0</v>
      </c>
      <c r="AH141" s="1033" t="e">
        <f t="shared" si="89"/>
        <v>#DIV/0!</v>
      </c>
      <c r="AI141" s="1091">
        <f t="shared" si="90"/>
        <v>0</v>
      </c>
      <c r="AJ141" s="1094">
        <f t="shared" si="91"/>
        <v>0</v>
      </c>
      <c r="AK141" s="1053" t="str">
        <f t="shared" si="92"/>
        <v/>
      </c>
      <c r="AL141" s="1053"/>
      <c r="AM141" s="1290">
        <f>_xlfn.XLOOKUP(F141,Proveedores!A:A,Proveedores!G:G)</f>
        <v>0</v>
      </c>
      <c r="AN141" s="1095" t="str">
        <f t="shared" si="105"/>
        <v>OK</v>
      </c>
    </row>
    <row r="142" spans="1:40" ht="15.95">
      <c r="A142" s="1090" t="b">
        <f t="shared" si="80"/>
        <v>1</v>
      </c>
      <c r="B142" s="1091" t="b">
        <f t="shared" si="93"/>
        <v>1</v>
      </c>
      <c r="C142" s="1092" t="str">
        <f t="shared" si="94"/>
        <v>Dólares</v>
      </c>
      <c r="D142" s="14"/>
      <c r="E142" s="743"/>
      <c r="F142" s="17"/>
      <c r="G142" s="17" t="str">
        <f t="shared" si="81"/>
        <v xml:space="preserve"> </v>
      </c>
      <c r="H142" s="12">
        <v>0</v>
      </c>
      <c r="I142" s="16" t="str">
        <f>IFERROR(VLOOKUP(G142,Proveedores!B:C,2,0)," ")</f>
        <v xml:space="preserve"> </v>
      </c>
      <c r="J142" s="745">
        <v>0</v>
      </c>
      <c r="K142" s="745" t="str">
        <f t="shared" si="82"/>
        <v>Not Found</v>
      </c>
      <c r="L142" s="16">
        <f>IF(K142="Importado",Fletes!$B$66,0%)</f>
        <v>0</v>
      </c>
      <c r="M142" s="745">
        <f t="shared" si="95"/>
        <v>0</v>
      </c>
      <c r="N142" s="16">
        <f>IF(K142&lt;&gt;"Importado",0%,IF(Fletes!$B$67&lt;10,15%,IF(Fletes!$B$67&lt;20,10%,5%)))</f>
        <v>0</v>
      </c>
      <c r="O142" s="745" t="str">
        <f>IFERROR(IF(OR(F142="Offiho",F142="Lauco Sofas",F142="Requiez",F142="Labenze",F142="Sunon Mty",F142="Sonara"),(M142*(1-_xlfn.XLOOKUP(F142,Proveedores!A:A,Proveedores!I:I)))*(1+N142),((M142*(1-_xlfn.XLOOKUP(F142,Proveedores!A:A,Proveedores!I:I)))*(1+N142))+U142),"")</f>
        <v/>
      </c>
      <c r="P142" s="1031"/>
      <c r="Q142" s="1133">
        <f>IF(K142&lt;&gt;"Importado",0,IF(P142&gt;0,P142*H142,IFERROR(_xlfn.XLOOKUP(F142,Proveedores!A:A,Proveedores!F:F,0)*H142,0)))</f>
        <v>0</v>
      </c>
      <c r="R142" s="1134" t="e">
        <f t="shared" si="96"/>
        <v>#VALUE!</v>
      </c>
      <c r="S142" s="743"/>
      <c r="T142" s="1034" t="e">
        <f t="shared" si="83"/>
        <v>#N/A</v>
      </c>
      <c r="U142" s="1034" t="e">
        <f t="shared" si="97"/>
        <v>#N/A</v>
      </c>
      <c r="V142" s="1165" t="e">
        <f t="shared" si="84"/>
        <v>#N/A</v>
      </c>
      <c r="W142" s="1034" t="e">
        <f t="shared" si="98"/>
        <v>#N/A</v>
      </c>
      <c r="X142" s="1034" t="b">
        <f t="shared" si="99"/>
        <v>0</v>
      </c>
      <c r="Y142" s="1034">
        <f t="shared" si="100"/>
        <v>0</v>
      </c>
      <c r="Z142" s="1034">
        <f t="shared" si="101"/>
        <v>0</v>
      </c>
      <c r="AA142" s="1034">
        <f t="shared" si="85"/>
        <v>0</v>
      </c>
      <c r="AB142" s="1034">
        <f t="shared" si="86"/>
        <v>0</v>
      </c>
      <c r="AC142" s="1033">
        <f t="shared" si="102"/>
        <v>0</v>
      </c>
      <c r="AD142" s="1266">
        <f t="shared" si="87"/>
        <v>0</v>
      </c>
      <c r="AE142" s="1093">
        <f t="shared" si="103"/>
        <v>0</v>
      </c>
      <c r="AF142" s="1093">
        <f t="shared" si="104"/>
        <v>0</v>
      </c>
      <c r="AG142" s="1093">
        <f t="shared" si="88"/>
        <v>0</v>
      </c>
      <c r="AH142" s="1033" t="e">
        <f t="shared" si="89"/>
        <v>#DIV/0!</v>
      </c>
      <c r="AI142" s="1091">
        <f t="shared" si="90"/>
        <v>0</v>
      </c>
      <c r="AJ142" s="1094">
        <f t="shared" si="91"/>
        <v>0</v>
      </c>
      <c r="AK142" s="1053" t="str">
        <f t="shared" si="92"/>
        <v/>
      </c>
      <c r="AL142" s="1053"/>
      <c r="AM142" s="1290">
        <f>_xlfn.XLOOKUP(F142,Proveedores!A:A,Proveedores!G:G)</f>
        <v>0</v>
      </c>
      <c r="AN142" s="1095" t="str">
        <f t="shared" si="105"/>
        <v>OK</v>
      </c>
    </row>
    <row r="143" spans="1:40" ht="15.95">
      <c r="A143" s="1090" t="b">
        <f t="shared" si="80"/>
        <v>1</v>
      </c>
      <c r="B143" s="1091" t="b">
        <f t="shared" si="93"/>
        <v>1</v>
      </c>
      <c r="C143" s="1092" t="str">
        <f t="shared" si="94"/>
        <v>Dólares</v>
      </c>
      <c r="D143" s="14"/>
      <c r="E143" s="743"/>
      <c r="F143" s="17"/>
      <c r="G143" s="17" t="str">
        <f t="shared" si="81"/>
        <v xml:space="preserve"> </v>
      </c>
      <c r="H143" s="12">
        <v>0</v>
      </c>
      <c r="I143" s="16" t="str">
        <f>IFERROR(VLOOKUP(G143,Proveedores!B:C,2,0)," ")</f>
        <v xml:space="preserve"> </v>
      </c>
      <c r="J143" s="745">
        <v>0</v>
      </c>
      <c r="K143" s="745" t="str">
        <f t="shared" si="82"/>
        <v>Not Found</v>
      </c>
      <c r="L143" s="16">
        <f>IF(K143="Importado",Fletes!$B$66,0%)</f>
        <v>0</v>
      </c>
      <c r="M143" s="745">
        <f t="shared" si="95"/>
        <v>0</v>
      </c>
      <c r="N143" s="16">
        <f>IF(K143&lt;&gt;"Importado",0%,IF(Fletes!$B$67&lt;10,15%,IF(Fletes!$B$67&lt;20,10%,5%)))</f>
        <v>0</v>
      </c>
      <c r="O143" s="745" t="str">
        <f>IFERROR(IF(OR(F143="Offiho",F143="Lauco Sofas",F143="Requiez",F143="Labenze",F143="Sunon Mty",F143="Sonara"),(M143*(1-_xlfn.XLOOKUP(F143,Proveedores!A:A,Proveedores!I:I)))*(1+N143),((M143*(1-_xlfn.XLOOKUP(F143,Proveedores!A:A,Proveedores!I:I)))*(1+N143))+U143),"")</f>
        <v/>
      </c>
      <c r="P143" s="1031"/>
      <c r="Q143" s="1133">
        <f>IF(K143&lt;&gt;"Importado",0,IF(P143&gt;0,P143*H143,IFERROR(_xlfn.XLOOKUP(F143,Proveedores!A:A,Proveedores!F:F,0)*H143,0)))</f>
        <v>0</v>
      </c>
      <c r="R143" s="1134" t="e">
        <f t="shared" si="96"/>
        <v>#VALUE!</v>
      </c>
      <c r="S143" s="743"/>
      <c r="T143" s="1034" t="e">
        <f t="shared" si="83"/>
        <v>#N/A</v>
      </c>
      <c r="U143" s="1034" t="e">
        <f t="shared" si="97"/>
        <v>#N/A</v>
      </c>
      <c r="V143" s="1165" t="e">
        <f t="shared" si="84"/>
        <v>#N/A</v>
      </c>
      <c r="W143" s="1034" t="e">
        <f t="shared" si="98"/>
        <v>#N/A</v>
      </c>
      <c r="X143" s="1034" t="b">
        <f t="shared" si="99"/>
        <v>0</v>
      </c>
      <c r="Y143" s="1034">
        <f t="shared" si="100"/>
        <v>0</v>
      </c>
      <c r="Z143" s="1034">
        <f t="shared" si="101"/>
        <v>0</v>
      </c>
      <c r="AA143" s="1034">
        <f t="shared" si="85"/>
        <v>0</v>
      </c>
      <c r="AB143" s="1034">
        <f t="shared" si="86"/>
        <v>0</v>
      </c>
      <c r="AC143" s="1033">
        <f t="shared" si="102"/>
        <v>0</v>
      </c>
      <c r="AD143" s="1266">
        <f t="shared" si="87"/>
        <v>0</v>
      </c>
      <c r="AE143" s="1093">
        <f t="shared" si="103"/>
        <v>0</v>
      </c>
      <c r="AF143" s="1093">
        <f t="shared" si="104"/>
        <v>0</v>
      </c>
      <c r="AG143" s="1093">
        <f t="shared" si="88"/>
        <v>0</v>
      </c>
      <c r="AH143" s="1033" t="e">
        <f t="shared" si="89"/>
        <v>#DIV/0!</v>
      </c>
      <c r="AI143" s="1091">
        <f t="shared" si="90"/>
        <v>0</v>
      </c>
      <c r="AJ143" s="1094">
        <f t="shared" si="91"/>
        <v>0</v>
      </c>
      <c r="AK143" s="1053" t="str">
        <f t="shared" si="92"/>
        <v/>
      </c>
      <c r="AL143" s="1053"/>
      <c r="AM143" s="1290">
        <f>_xlfn.XLOOKUP(F143,Proveedores!A:A,Proveedores!G:G)</f>
        <v>0</v>
      </c>
      <c r="AN143" s="1095" t="str">
        <f t="shared" si="105"/>
        <v>OK</v>
      </c>
    </row>
    <row r="144" spans="1:40" ht="15.95">
      <c r="A144" s="1090" t="b">
        <f t="shared" si="80"/>
        <v>1</v>
      </c>
      <c r="B144" s="1091" t="b">
        <f t="shared" si="93"/>
        <v>1</v>
      </c>
      <c r="C144" s="1092" t="str">
        <f t="shared" si="94"/>
        <v>Dólares</v>
      </c>
      <c r="D144" s="14"/>
      <c r="E144" s="743"/>
      <c r="F144" s="17"/>
      <c r="G144" s="17" t="str">
        <f t="shared" si="81"/>
        <v xml:space="preserve"> </v>
      </c>
      <c r="H144" s="12">
        <v>0</v>
      </c>
      <c r="I144" s="16" t="str">
        <f>IFERROR(VLOOKUP(G144,Proveedores!B:C,2,0)," ")</f>
        <v xml:space="preserve"> </v>
      </c>
      <c r="J144" s="745">
        <v>0</v>
      </c>
      <c r="K144" s="745" t="str">
        <f t="shared" si="82"/>
        <v>Not Found</v>
      </c>
      <c r="L144" s="16">
        <f>IF(K144="Importado",Fletes!$B$66,0%)</f>
        <v>0</v>
      </c>
      <c r="M144" s="745">
        <f t="shared" si="95"/>
        <v>0</v>
      </c>
      <c r="N144" s="16">
        <f>IF(K144&lt;&gt;"Importado",0%,IF(Fletes!$B$67&lt;10,15%,IF(Fletes!$B$67&lt;20,10%,5%)))</f>
        <v>0</v>
      </c>
      <c r="O144" s="745" t="str">
        <f>IFERROR(IF(OR(F144="Offiho",F144="Lauco Sofas",F144="Requiez",F144="Labenze",F144="Sunon Mty",F144="Sonara"),(M144*(1-_xlfn.XLOOKUP(F144,Proveedores!A:A,Proveedores!I:I)))*(1+N144),((M144*(1-_xlfn.XLOOKUP(F144,Proveedores!A:A,Proveedores!I:I)))*(1+N144))+U144),"")</f>
        <v/>
      </c>
      <c r="P144" s="1031"/>
      <c r="Q144" s="1133">
        <f>IF(K144&lt;&gt;"Importado",0,IF(P144&gt;0,P144*H144,IFERROR(_xlfn.XLOOKUP(F144,Proveedores!A:A,Proveedores!F:F,0)*H144,0)))</f>
        <v>0</v>
      </c>
      <c r="R144" s="1134" t="e">
        <f t="shared" si="96"/>
        <v>#VALUE!</v>
      </c>
      <c r="S144" s="743"/>
      <c r="T144" s="1034" t="e">
        <f t="shared" si="83"/>
        <v>#N/A</v>
      </c>
      <c r="U144" s="1034" t="e">
        <f t="shared" si="97"/>
        <v>#N/A</v>
      </c>
      <c r="V144" s="1165" t="e">
        <f t="shared" si="84"/>
        <v>#N/A</v>
      </c>
      <c r="W144" s="1034" t="e">
        <f t="shared" si="98"/>
        <v>#N/A</v>
      </c>
      <c r="X144" s="1034" t="b">
        <f t="shared" si="99"/>
        <v>0</v>
      </c>
      <c r="Y144" s="1034">
        <f t="shared" si="100"/>
        <v>0</v>
      </c>
      <c r="Z144" s="1034">
        <f t="shared" si="101"/>
        <v>0</v>
      </c>
      <c r="AA144" s="1034">
        <f t="shared" si="85"/>
        <v>0</v>
      </c>
      <c r="AB144" s="1034">
        <f t="shared" si="86"/>
        <v>0</v>
      </c>
      <c r="AC144" s="1033">
        <f t="shared" si="102"/>
        <v>0</v>
      </c>
      <c r="AD144" s="1266">
        <f t="shared" si="87"/>
        <v>0</v>
      </c>
      <c r="AE144" s="1093">
        <f t="shared" si="103"/>
        <v>0</v>
      </c>
      <c r="AF144" s="1093">
        <f t="shared" si="104"/>
        <v>0</v>
      </c>
      <c r="AG144" s="1093">
        <f t="shared" si="88"/>
        <v>0</v>
      </c>
      <c r="AH144" s="1033" t="e">
        <f t="shared" si="89"/>
        <v>#DIV/0!</v>
      </c>
      <c r="AI144" s="1091">
        <f t="shared" si="90"/>
        <v>0</v>
      </c>
      <c r="AJ144" s="1094">
        <f t="shared" si="91"/>
        <v>0</v>
      </c>
      <c r="AK144" s="1053" t="str">
        <f t="shared" si="92"/>
        <v/>
      </c>
      <c r="AL144" s="1053"/>
      <c r="AM144" s="1290">
        <f>_xlfn.XLOOKUP(F144,Proveedores!A:A,Proveedores!G:G)</f>
        <v>0</v>
      </c>
      <c r="AN144" s="1095" t="str">
        <f t="shared" si="105"/>
        <v>OK</v>
      </c>
    </row>
    <row r="145" spans="1:40" ht="15.95">
      <c r="A145" s="1090" t="b">
        <f t="shared" si="80"/>
        <v>1</v>
      </c>
      <c r="B145" s="1091" t="b">
        <f t="shared" si="93"/>
        <v>1</v>
      </c>
      <c r="C145" s="1092" t="str">
        <f t="shared" si="94"/>
        <v>Dólares</v>
      </c>
      <c r="D145" s="15"/>
      <c r="E145" s="743"/>
      <c r="F145" s="17"/>
      <c r="G145" s="17" t="str">
        <f t="shared" si="81"/>
        <v xml:space="preserve"> </v>
      </c>
      <c r="H145" s="12">
        <v>0</v>
      </c>
      <c r="I145" s="16" t="str">
        <f>IFERROR(VLOOKUP(G145,Proveedores!B:C,2,0)," ")</f>
        <v xml:space="preserve"> </v>
      </c>
      <c r="J145" s="745">
        <v>0</v>
      </c>
      <c r="K145" s="745" t="str">
        <f t="shared" si="82"/>
        <v>Not Found</v>
      </c>
      <c r="L145" s="16">
        <f>IF(K145="Importado",Fletes!$B$66,0%)</f>
        <v>0</v>
      </c>
      <c r="M145" s="745">
        <f t="shared" si="95"/>
        <v>0</v>
      </c>
      <c r="N145" s="16">
        <f>IF(K145&lt;&gt;"Importado",0%,IF(Fletes!$B$67&lt;10,15%,IF(Fletes!$B$67&lt;20,10%,5%)))</f>
        <v>0</v>
      </c>
      <c r="O145" s="745" t="str">
        <f>IFERROR(IF(OR(F145="Offiho",F145="Lauco Sofas",F145="Requiez",F145="Labenze",F145="Sunon Mty",F145="Sonara"),(M145*(1-_xlfn.XLOOKUP(F145,Proveedores!A:A,Proveedores!I:I)))*(1+N145),((M145*(1-_xlfn.XLOOKUP(F145,Proveedores!A:A,Proveedores!I:I)))*(1+N145))+U145),"")</f>
        <v/>
      </c>
      <c r="P145" s="1031"/>
      <c r="Q145" s="1133">
        <f>IF(K145&lt;&gt;"Importado",0,IF(P145&gt;0,P145*H145,IFERROR(_xlfn.XLOOKUP(F145,Proveedores!A:A,Proveedores!F:F,0)*H145,0)))</f>
        <v>0</v>
      </c>
      <c r="R145" s="1134" t="e">
        <f t="shared" si="96"/>
        <v>#VALUE!</v>
      </c>
      <c r="S145" s="743"/>
      <c r="T145" s="1034" t="e">
        <f t="shared" si="83"/>
        <v>#N/A</v>
      </c>
      <c r="U145" s="1034" t="e">
        <f t="shared" si="97"/>
        <v>#N/A</v>
      </c>
      <c r="V145" s="1165" t="e">
        <f t="shared" si="84"/>
        <v>#N/A</v>
      </c>
      <c r="W145" s="1034" t="e">
        <f t="shared" si="98"/>
        <v>#N/A</v>
      </c>
      <c r="X145" s="1034" t="b">
        <f t="shared" si="99"/>
        <v>0</v>
      </c>
      <c r="Y145" s="1034">
        <f t="shared" si="100"/>
        <v>0</v>
      </c>
      <c r="Z145" s="1034">
        <f t="shared" si="101"/>
        <v>0</v>
      </c>
      <c r="AA145" s="1034">
        <f t="shared" si="85"/>
        <v>0</v>
      </c>
      <c r="AB145" s="1034">
        <f t="shared" si="86"/>
        <v>0</v>
      </c>
      <c r="AC145" s="1033">
        <f t="shared" si="102"/>
        <v>0</v>
      </c>
      <c r="AD145" s="1266">
        <f t="shared" si="87"/>
        <v>0</v>
      </c>
      <c r="AE145" s="1093">
        <f t="shared" si="103"/>
        <v>0</v>
      </c>
      <c r="AF145" s="1093">
        <f t="shared" si="104"/>
        <v>0</v>
      </c>
      <c r="AG145" s="1093">
        <f t="shared" si="88"/>
        <v>0</v>
      </c>
      <c r="AH145" s="1033" t="e">
        <f t="shared" si="89"/>
        <v>#DIV/0!</v>
      </c>
      <c r="AI145" s="1091">
        <f t="shared" si="90"/>
        <v>0</v>
      </c>
      <c r="AJ145" s="1094">
        <f t="shared" si="91"/>
        <v>0</v>
      </c>
      <c r="AK145" s="1053" t="str">
        <f t="shared" si="92"/>
        <v/>
      </c>
      <c r="AL145" s="1053"/>
      <c r="AM145" s="1290">
        <f>_xlfn.XLOOKUP(F145,Proveedores!A:A,Proveedores!G:G)</f>
        <v>0</v>
      </c>
      <c r="AN145" s="1095" t="str">
        <f t="shared" si="105"/>
        <v>OK</v>
      </c>
    </row>
    <row r="146" spans="1:40" ht="15.95">
      <c r="A146" s="1090" t="b">
        <f t="shared" si="80"/>
        <v>1</v>
      </c>
      <c r="B146" s="1091" t="b">
        <f t="shared" si="93"/>
        <v>1</v>
      </c>
      <c r="C146" s="1092" t="str">
        <f t="shared" si="94"/>
        <v>Dólares</v>
      </c>
      <c r="D146" s="15"/>
      <c r="E146" s="743"/>
      <c r="F146" s="17"/>
      <c r="G146" s="17" t="str">
        <f t="shared" si="81"/>
        <v xml:space="preserve"> </v>
      </c>
      <c r="H146" s="12">
        <v>0</v>
      </c>
      <c r="I146" s="16" t="str">
        <f>IFERROR(VLOOKUP(G146,Proveedores!B:C,2,0)," ")</f>
        <v xml:space="preserve"> </v>
      </c>
      <c r="J146" s="745">
        <v>0</v>
      </c>
      <c r="K146" s="745" t="str">
        <f t="shared" si="82"/>
        <v>Not Found</v>
      </c>
      <c r="L146" s="16">
        <f>IF(K146="Importado",Fletes!$B$66,0%)</f>
        <v>0</v>
      </c>
      <c r="M146" s="745">
        <f t="shared" si="95"/>
        <v>0</v>
      </c>
      <c r="N146" s="16">
        <f>IF(K146&lt;&gt;"Importado",0%,IF(Fletes!$B$67&lt;10,15%,IF(Fletes!$B$67&lt;20,10%,5%)))</f>
        <v>0</v>
      </c>
      <c r="O146" s="745" t="str">
        <f>IFERROR(IF(OR(F146="Offiho",F146="Lauco Sofas",F146="Requiez",F146="Labenze",F146="Sunon Mty",F146="Sonara"),(M146*(1-_xlfn.XLOOKUP(F146,Proveedores!A:A,Proveedores!I:I)))*(1+N146),((M146*(1-_xlfn.XLOOKUP(F146,Proveedores!A:A,Proveedores!I:I)))*(1+N146))+U146),"")</f>
        <v/>
      </c>
      <c r="P146" s="1031"/>
      <c r="Q146" s="1133">
        <f>IF(K146&lt;&gt;"Importado",0,IF(P146&gt;0,P146*H146,IFERROR(_xlfn.XLOOKUP(F146,Proveedores!A:A,Proveedores!F:F,0)*H146,0)))</f>
        <v>0</v>
      </c>
      <c r="R146" s="1134" t="e">
        <f t="shared" si="96"/>
        <v>#VALUE!</v>
      </c>
      <c r="S146" s="743"/>
      <c r="T146" s="1034" t="e">
        <f t="shared" si="83"/>
        <v>#N/A</v>
      </c>
      <c r="U146" s="1034" t="e">
        <f t="shared" si="97"/>
        <v>#N/A</v>
      </c>
      <c r="V146" s="1165" t="e">
        <f t="shared" si="84"/>
        <v>#N/A</v>
      </c>
      <c r="W146" s="1034" t="e">
        <f t="shared" si="98"/>
        <v>#N/A</v>
      </c>
      <c r="X146" s="1034" t="b">
        <f t="shared" si="99"/>
        <v>0</v>
      </c>
      <c r="Y146" s="1034">
        <f t="shared" si="100"/>
        <v>0</v>
      </c>
      <c r="Z146" s="1034">
        <f t="shared" si="101"/>
        <v>0</v>
      </c>
      <c r="AA146" s="1034">
        <f t="shared" si="85"/>
        <v>0</v>
      </c>
      <c r="AB146" s="1034">
        <f t="shared" si="86"/>
        <v>0</v>
      </c>
      <c r="AC146" s="1033">
        <f t="shared" si="102"/>
        <v>0</v>
      </c>
      <c r="AD146" s="1266">
        <f t="shared" si="87"/>
        <v>0</v>
      </c>
      <c r="AE146" s="1093">
        <f t="shared" si="103"/>
        <v>0</v>
      </c>
      <c r="AF146" s="1093">
        <f t="shared" si="104"/>
        <v>0</v>
      </c>
      <c r="AG146" s="1093">
        <f t="shared" si="88"/>
        <v>0</v>
      </c>
      <c r="AH146" s="1033" t="e">
        <f t="shared" si="89"/>
        <v>#DIV/0!</v>
      </c>
      <c r="AI146" s="1091">
        <f t="shared" si="90"/>
        <v>0</v>
      </c>
      <c r="AJ146" s="1094">
        <f t="shared" si="91"/>
        <v>0</v>
      </c>
      <c r="AK146" s="1053" t="str">
        <f t="shared" si="92"/>
        <v/>
      </c>
      <c r="AL146" s="1053"/>
      <c r="AM146" s="1290">
        <f>_xlfn.XLOOKUP(F146,Proveedores!A:A,Proveedores!G:G)</f>
        <v>0</v>
      </c>
      <c r="AN146" s="1095" t="str">
        <f t="shared" si="105"/>
        <v>OK</v>
      </c>
    </row>
    <row r="147" spans="1:40" ht="15.95">
      <c r="A147" s="1090" t="b">
        <f t="shared" si="80"/>
        <v>1</v>
      </c>
      <c r="B147" s="1091" t="b">
        <f t="shared" si="93"/>
        <v>1</v>
      </c>
      <c r="C147" s="1092" t="str">
        <f t="shared" si="94"/>
        <v>Dólares</v>
      </c>
      <c r="D147" s="14"/>
      <c r="E147" s="743"/>
      <c r="F147" s="17"/>
      <c r="G147" s="17" t="str">
        <f t="shared" si="81"/>
        <v xml:space="preserve"> </v>
      </c>
      <c r="H147" s="12">
        <v>0</v>
      </c>
      <c r="I147" s="16" t="str">
        <f>IFERROR(VLOOKUP(G147,Proveedores!B:C,2,0)," ")</f>
        <v xml:space="preserve"> </v>
      </c>
      <c r="J147" s="745">
        <v>0</v>
      </c>
      <c r="K147" s="745" t="str">
        <f t="shared" si="82"/>
        <v>Not Found</v>
      </c>
      <c r="L147" s="16">
        <f>IF(K147="Importado",Fletes!$B$66,0%)</f>
        <v>0</v>
      </c>
      <c r="M147" s="745">
        <f t="shared" si="95"/>
        <v>0</v>
      </c>
      <c r="N147" s="16">
        <f>IF(K147&lt;&gt;"Importado",0%,IF(Fletes!$B$67&lt;10,15%,IF(Fletes!$B$67&lt;20,10%,5%)))</f>
        <v>0</v>
      </c>
      <c r="O147" s="745" t="str">
        <f>IFERROR(IF(OR(F147="Offiho",F147="Lauco Sofas",F147="Requiez",F147="Labenze",F147="Sunon Mty",F147="Sonara"),(M147*(1-_xlfn.XLOOKUP(F147,Proveedores!A:A,Proveedores!I:I)))*(1+N147),((M147*(1-_xlfn.XLOOKUP(F147,Proveedores!A:A,Proveedores!I:I)))*(1+N147))+U147),"")</f>
        <v/>
      </c>
      <c r="P147" s="1031"/>
      <c r="Q147" s="1133">
        <f>IF(K147&lt;&gt;"Importado",0,IF(P147&gt;0,P147*H147,IFERROR(_xlfn.XLOOKUP(F147,Proveedores!A:A,Proveedores!F:F,0)*H147,0)))</f>
        <v>0</v>
      </c>
      <c r="R147" s="1134" t="e">
        <f t="shared" si="96"/>
        <v>#VALUE!</v>
      </c>
      <c r="S147" s="743"/>
      <c r="T147" s="1034" t="e">
        <f t="shared" si="83"/>
        <v>#N/A</v>
      </c>
      <c r="U147" s="1034" t="e">
        <f t="shared" si="97"/>
        <v>#N/A</v>
      </c>
      <c r="V147" s="1165" t="e">
        <f t="shared" si="84"/>
        <v>#N/A</v>
      </c>
      <c r="W147" s="1034" t="e">
        <f t="shared" si="98"/>
        <v>#N/A</v>
      </c>
      <c r="X147" s="1034" t="b">
        <f t="shared" si="99"/>
        <v>0</v>
      </c>
      <c r="Y147" s="1034">
        <f t="shared" si="100"/>
        <v>0</v>
      </c>
      <c r="Z147" s="1034">
        <f t="shared" si="101"/>
        <v>0</v>
      </c>
      <c r="AA147" s="1034">
        <f t="shared" si="85"/>
        <v>0</v>
      </c>
      <c r="AB147" s="1034">
        <f t="shared" si="86"/>
        <v>0</v>
      </c>
      <c r="AC147" s="1033">
        <f t="shared" si="102"/>
        <v>0</v>
      </c>
      <c r="AD147" s="1266">
        <f t="shared" si="87"/>
        <v>0</v>
      </c>
      <c r="AE147" s="1093">
        <f t="shared" si="103"/>
        <v>0</v>
      </c>
      <c r="AF147" s="1093">
        <f t="shared" si="104"/>
        <v>0</v>
      </c>
      <c r="AG147" s="1093">
        <f t="shared" si="88"/>
        <v>0</v>
      </c>
      <c r="AH147" s="1033" t="e">
        <f t="shared" si="89"/>
        <v>#DIV/0!</v>
      </c>
      <c r="AI147" s="1091">
        <f t="shared" si="90"/>
        <v>0</v>
      </c>
      <c r="AJ147" s="1094">
        <f t="shared" si="91"/>
        <v>0</v>
      </c>
      <c r="AK147" s="1053" t="str">
        <f t="shared" si="92"/>
        <v/>
      </c>
      <c r="AL147" s="1053"/>
      <c r="AM147" s="1290">
        <f>_xlfn.XLOOKUP(F147,Proveedores!A:A,Proveedores!G:G)</f>
        <v>0</v>
      </c>
      <c r="AN147" s="1095" t="str">
        <f t="shared" si="105"/>
        <v>OK</v>
      </c>
    </row>
    <row r="148" spans="1:40" ht="15.95">
      <c r="A148" s="1090" t="b">
        <f t="shared" si="80"/>
        <v>1</v>
      </c>
      <c r="B148" s="1091" t="b">
        <f t="shared" si="93"/>
        <v>1</v>
      </c>
      <c r="C148" s="1092" t="str">
        <f t="shared" si="94"/>
        <v>Dólares</v>
      </c>
      <c r="D148" s="14"/>
      <c r="E148" s="743"/>
      <c r="F148" s="17"/>
      <c r="G148" s="17" t="str">
        <f t="shared" si="81"/>
        <v xml:space="preserve"> </v>
      </c>
      <c r="H148" s="12">
        <v>0</v>
      </c>
      <c r="I148" s="16" t="str">
        <f>IFERROR(VLOOKUP(G148,Proveedores!B:C,2,0)," ")</f>
        <v xml:space="preserve"> </v>
      </c>
      <c r="J148" s="745">
        <v>0</v>
      </c>
      <c r="K148" s="745" t="str">
        <f t="shared" si="82"/>
        <v>Not Found</v>
      </c>
      <c r="L148" s="16">
        <f>IF(K148="Importado",Fletes!$B$66,0%)</f>
        <v>0</v>
      </c>
      <c r="M148" s="745">
        <f t="shared" si="95"/>
        <v>0</v>
      </c>
      <c r="N148" s="16">
        <f>IF(K148&lt;&gt;"Importado",0%,IF(Fletes!$B$67&lt;10,15%,IF(Fletes!$B$67&lt;20,10%,5%)))</f>
        <v>0</v>
      </c>
      <c r="O148" s="745" t="str">
        <f>IFERROR(IF(OR(F148="Offiho",F148="Lauco Sofas",F148="Requiez",F148="Labenze",F148="Sunon Mty",F148="Sonara"),(M148*(1-_xlfn.XLOOKUP(F148,Proveedores!A:A,Proveedores!I:I)))*(1+N148),((M148*(1-_xlfn.XLOOKUP(F148,Proveedores!A:A,Proveedores!I:I)))*(1+N148))+U148),"")</f>
        <v/>
      </c>
      <c r="P148" s="1031"/>
      <c r="Q148" s="1133">
        <f>IF(K148&lt;&gt;"Importado",0,IF(P148&gt;0,P148*H148,IFERROR(_xlfn.XLOOKUP(F148,Proveedores!A:A,Proveedores!F:F,0)*H148,0)))</f>
        <v>0</v>
      </c>
      <c r="R148" s="1134" t="e">
        <f t="shared" si="96"/>
        <v>#VALUE!</v>
      </c>
      <c r="S148" s="743"/>
      <c r="T148" s="1034" t="e">
        <f t="shared" si="83"/>
        <v>#N/A</v>
      </c>
      <c r="U148" s="1034" t="e">
        <f t="shared" si="97"/>
        <v>#N/A</v>
      </c>
      <c r="V148" s="1165" t="e">
        <f t="shared" si="84"/>
        <v>#N/A</v>
      </c>
      <c r="W148" s="1034" t="e">
        <f t="shared" si="98"/>
        <v>#N/A</v>
      </c>
      <c r="X148" s="1034" t="b">
        <f t="shared" si="99"/>
        <v>0</v>
      </c>
      <c r="Y148" s="1034">
        <f t="shared" si="100"/>
        <v>0</v>
      </c>
      <c r="Z148" s="1034">
        <f t="shared" si="101"/>
        <v>0</v>
      </c>
      <c r="AA148" s="1034">
        <f t="shared" si="85"/>
        <v>0</v>
      </c>
      <c r="AB148" s="1034">
        <f t="shared" si="86"/>
        <v>0</v>
      </c>
      <c r="AC148" s="1033">
        <f t="shared" si="102"/>
        <v>0</v>
      </c>
      <c r="AD148" s="1266">
        <f t="shared" si="87"/>
        <v>0</v>
      </c>
      <c r="AE148" s="1093">
        <f t="shared" si="103"/>
        <v>0</v>
      </c>
      <c r="AF148" s="1093">
        <f t="shared" si="104"/>
        <v>0</v>
      </c>
      <c r="AG148" s="1093">
        <f t="shared" si="88"/>
        <v>0</v>
      </c>
      <c r="AH148" s="1033" t="e">
        <f t="shared" si="89"/>
        <v>#DIV/0!</v>
      </c>
      <c r="AI148" s="1091">
        <f t="shared" si="90"/>
        <v>0</v>
      </c>
      <c r="AJ148" s="1094">
        <f t="shared" si="91"/>
        <v>0</v>
      </c>
      <c r="AK148" s="1053" t="str">
        <f t="shared" si="92"/>
        <v/>
      </c>
      <c r="AL148" s="1053"/>
      <c r="AM148" s="1290">
        <f>_xlfn.XLOOKUP(F148,Proveedores!A:A,Proveedores!G:G)</f>
        <v>0</v>
      </c>
      <c r="AN148" s="1095" t="str">
        <f t="shared" si="105"/>
        <v>OK</v>
      </c>
    </row>
    <row r="149" spans="1:40" ht="15.95">
      <c r="A149" s="1090" t="b">
        <f t="shared" si="80"/>
        <v>1</v>
      </c>
      <c r="B149" s="1091" t="b">
        <f t="shared" si="93"/>
        <v>1</v>
      </c>
      <c r="C149" s="1092" t="str">
        <f t="shared" si="94"/>
        <v>Dólares</v>
      </c>
      <c r="D149" s="14"/>
      <c r="E149" s="743"/>
      <c r="F149" s="17"/>
      <c r="G149" s="17" t="str">
        <f t="shared" si="81"/>
        <v xml:space="preserve"> </v>
      </c>
      <c r="H149" s="12">
        <v>0</v>
      </c>
      <c r="I149" s="16" t="str">
        <f>IFERROR(VLOOKUP(G149,Proveedores!B:C,2,0)," ")</f>
        <v xml:space="preserve"> </v>
      </c>
      <c r="J149" s="745">
        <v>0</v>
      </c>
      <c r="K149" s="745" t="str">
        <f t="shared" si="82"/>
        <v>Not Found</v>
      </c>
      <c r="L149" s="16">
        <f>IF(K149="Importado",Fletes!$B$66,0%)</f>
        <v>0</v>
      </c>
      <c r="M149" s="745">
        <f t="shared" si="95"/>
        <v>0</v>
      </c>
      <c r="N149" s="16">
        <f>IF(K149&lt;&gt;"Importado",0%,IF(Fletes!$B$67&lt;10,15%,IF(Fletes!$B$67&lt;20,10%,5%)))</f>
        <v>0</v>
      </c>
      <c r="O149" s="745" t="str">
        <f>IFERROR(IF(OR(F149="Offiho",F149="Lauco Sofas",F149="Requiez",F149="Labenze",F149="Sunon Mty",F149="Sonara"),(M149*(1-_xlfn.XLOOKUP(F149,Proveedores!A:A,Proveedores!I:I)))*(1+N149),((M149*(1-_xlfn.XLOOKUP(F149,Proveedores!A:A,Proveedores!I:I)))*(1+N149))+U149),"")</f>
        <v/>
      </c>
      <c r="P149" s="1031"/>
      <c r="Q149" s="1133">
        <f>IF(K149&lt;&gt;"Importado",0,IF(P149&gt;0,P149*H149,IFERROR(_xlfn.XLOOKUP(F149,Proveedores!A:A,Proveedores!F:F,0)*H149,0)))</f>
        <v>0</v>
      </c>
      <c r="R149" s="1134" t="e">
        <f t="shared" si="96"/>
        <v>#VALUE!</v>
      </c>
      <c r="S149" s="743"/>
      <c r="T149" s="1034" t="e">
        <f t="shared" si="83"/>
        <v>#N/A</v>
      </c>
      <c r="U149" s="1034" t="e">
        <f t="shared" si="97"/>
        <v>#N/A</v>
      </c>
      <c r="V149" s="1165" t="e">
        <f t="shared" si="84"/>
        <v>#N/A</v>
      </c>
      <c r="W149" s="1034" t="e">
        <f t="shared" si="98"/>
        <v>#N/A</v>
      </c>
      <c r="X149" s="1034" t="b">
        <f t="shared" si="99"/>
        <v>0</v>
      </c>
      <c r="Y149" s="1034">
        <f t="shared" si="100"/>
        <v>0</v>
      </c>
      <c r="Z149" s="1034">
        <f t="shared" si="101"/>
        <v>0</v>
      </c>
      <c r="AA149" s="1034">
        <f t="shared" si="85"/>
        <v>0</v>
      </c>
      <c r="AB149" s="1034">
        <f t="shared" si="86"/>
        <v>0</v>
      </c>
      <c r="AC149" s="1033">
        <f t="shared" si="102"/>
        <v>0</v>
      </c>
      <c r="AD149" s="1266">
        <f t="shared" si="87"/>
        <v>0</v>
      </c>
      <c r="AE149" s="1093">
        <f t="shared" si="103"/>
        <v>0</v>
      </c>
      <c r="AF149" s="1093">
        <f t="shared" si="104"/>
        <v>0</v>
      </c>
      <c r="AG149" s="1093">
        <f t="shared" si="88"/>
        <v>0</v>
      </c>
      <c r="AH149" s="1033" t="e">
        <f t="shared" si="89"/>
        <v>#DIV/0!</v>
      </c>
      <c r="AI149" s="1091">
        <f t="shared" si="90"/>
        <v>0</v>
      </c>
      <c r="AJ149" s="1094">
        <f t="shared" si="91"/>
        <v>0</v>
      </c>
      <c r="AK149" s="1053" t="str">
        <f t="shared" si="92"/>
        <v/>
      </c>
      <c r="AL149" s="1053"/>
      <c r="AM149" s="1290">
        <f>_xlfn.XLOOKUP(F149,Proveedores!A:A,Proveedores!G:G)</f>
        <v>0</v>
      </c>
      <c r="AN149" s="1095" t="str">
        <f t="shared" si="105"/>
        <v>OK</v>
      </c>
    </row>
    <row r="150" spans="1:40" ht="15.95">
      <c r="A150" s="1090" t="b">
        <f t="shared" si="80"/>
        <v>1</v>
      </c>
      <c r="B150" s="1091" t="b">
        <f t="shared" si="93"/>
        <v>1</v>
      </c>
      <c r="C150" s="1092" t="str">
        <f t="shared" si="94"/>
        <v>Dólares</v>
      </c>
      <c r="D150" s="14"/>
      <c r="E150" s="743"/>
      <c r="F150" s="17"/>
      <c r="G150" s="17" t="str">
        <f t="shared" si="81"/>
        <v xml:space="preserve"> </v>
      </c>
      <c r="H150" s="12">
        <v>0</v>
      </c>
      <c r="I150" s="16" t="str">
        <f>IFERROR(VLOOKUP(G150,Proveedores!B:C,2,0)," ")</f>
        <v xml:space="preserve"> </v>
      </c>
      <c r="J150" s="745">
        <v>0</v>
      </c>
      <c r="K150" s="745" t="str">
        <f t="shared" si="82"/>
        <v>Not Found</v>
      </c>
      <c r="L150" s="16">
        <f>IF(K150="Importado",Fletes!$B$66,0%)</f>
        <v>0</v>
      </c>
      <c r="M150" s="745">
        <f t="shared" si="95"/>
        <v>0</v>
      </c>
      <c r="N150" s="16">
        <f>IF(K150&lt;&gt;"Importado",0%,IF(Fletes!$B$67&lt;10,15%,IF(Fletes!$B$67&lt;20,10%,5%)))</f>
        <v>0</v>
      </c>
      <c r="O150" s="745" t="str">
        <f>IFERROR(IF(OR(F150="Offiho",F150="Lauco Sofas",F150="Requiez",F150="Labenze",F150="Sunon Mty",F150="Sonara"),(M150*(1-_xlfn.XLOOKUP(F150,Proveedores!A:A,Proveedores!I:I)))*(1+N150),((M150*(1-_xlfn.XLOOKUP(F150,Proveedores!A:A,Proveedores!I:I)))*(1+N150))+U150),"")</f>
        <v/>
      </c>
      <c r="P150" s="1031"/>
      <c r="Q150" s="1133">
        <f>IF(K150&lt;&gt;"Importado",0,IF(P150&gt;0,P150*H150,IFERROR(_xlfn.XLOOKUP(F150,Proveedores!A:A,Proveedores!F:F,0)*H150,0)))</f>
        <v>0</v>
      </c>
      <c r="R150" s="1134" t="e">
        <f t="shared" si="96"/>
        <v>#VALUE!</v>
      </c>
      <c r="S150" s="743"/>
      <c r="T150" s="1034" t="e">
        <f t="shared" si="83"/>
        <v>#N/A</v>
      </c>
      <c r="U150" s="1034" t="e">
        <f t="shared" si="97"/>
        <v>#N/A</v>
      </c>
      <c r="V150" s="1165" t="e">
        <f t="shared" si="84"/>
        <v>#N/A</v>
      </c>
      <c r="W150" s="1034" t="e">
        <f t="shared" si="98"/>
        <v>#N/A</v>
      </c>
      <c r="X150" s="1034" t="b">
        <f t="shared" si="99"/>
        <v>0</v>
      </c>
      <c r="Y150" s="1034">
        <f t="shared" si="100"/>
        <v>0</v>
      </c>
      <c r="Z150" s="1034">
        <f t="shared" si="101"/>
        <v>0</v>
      </c>
      <c r="AA150" s="1034">
        <f t="shared" si="85"/>
        <v>0</v>
      </c>
      <c r="AB150" s="1034">
        <f t="shared" si="86"/>
        <v>0</v>
      </c>
      <c r="AC150" s="1033">
        <f t="shared" si="102"/>
        <v>0</v>
      </c>
      <c r="AD150" s="1266">
        <f t="shared" si="87"/>
        <v>0</v>
      </c>
      <c r="AE150" s="1093">
        <f t="shared" si="103"/>
        <v>0</v>
      </c>
      <c r="AF150" s="1093">
        <f t="shared" si="104"/>
        <v>0</v>
      </c>
      <c r="AG150" s="1093">
        <f t="shared" si="88"/>
        <v>0</v>
      </c>
      <c r="AH150" s="1033" t="e">
        <f t="shared" si="89"/>
        <v>#DIV/0!</v>
      </c>
      <c r="AI150" s="1091">
        <f t="shared" si="90"/>
        <v>0</v>
      </c>
      <c r="AJ150" s="1094">
        <f t="shared" si="91"/>
        <v>0</v>
      </c>
      <c r="AK150" s="1053" t="str">
        <f t="shared" si="92"/>
        <v/>
      </c>
      <c r="AL150" s="1053"/>
      <c r="AM150" s="1290">
        <f>_xlfn.XLOOKUP(F150,Proveedores!A:A,Proveedores!G:G)</f>
        <v>0</v>
      </c>
      <c r="AN150" s="1095" t="str">
        <f t="shared" si="105"/>
        <v>OK</v>
      </c>
    </row>
    <row r="151" spans="1:40" ht="15.95">
      <c r="A151" s="1090" t="b">
        <f t="shared" si="80"/>
        <v>1</v>
      </c>
      <c r="B151" s="1091" t="b">
        <f t="shared" si="93"/>
        <v>1</v>
      </c>
      <c r="C151" s="1092" t="str">
        <f t="shared" si="94"/>
        <v>Dólares</v>
      </c>
      <c r="D151" s="14"/>
      <c r="E151" s="743"/>
      <c r="F151" s="17"/>
      <c r="G151" s="17" t="str">
        <f t="shared" si="81"/>
        <v xml:space="preserve"> </v>
      </c>
      <c r="H151" s="12">
        <v>0</v>
      </c>
      <c r="I151" s="16" t="str">
        <f>IFERROR(VLOOKUP(G151,Proveedores!B:C,2,0)," ")</f>
        <v xml:space="preserve"> </v>
      </c>
      <c r="J151" s="745">
        <v>0</v>
      </c>
      <c r="K151" s="745" t="str">
        <f t="shared" si="82"/>
        <v>Not Found</v>
      </c>
      <c r="L151" s="16">
        <f>IF(K151="Importado",Fletes!$B$66,0%)</f>
        <v>0</v>
      </c>
      <c r="M151" s="745">
        <f t="shared" si="95"/>
        <v>0</v>
      </c>
      <c r="N151" s="16">
        <f>IF(K151&lt;&gt;"Importado",0%,IF(Fletes!$B$67&lt;10,15%,IF(Fletes!$B$67&lt;20,10%,5%)))</f>
        <v>0</v>
      </c>
      <c r="O151" s="745" t="str">
        <f>IFERROR(IF(OR(F151="Offiho",F151="Lauco Sofas",F151="Requiez",F151="Labenze",F151="Sunon Mty",F151="Sonara"),(M151*(1-_xlfn.XLOOKUP(F151,Proveedores!A:A,Proveedores!I:I)))*(1+N151),((M151*(1-_xlfn.XLOOKUP(F151,Proveedores!A:A,Proveedores!I:I)))*(1+N151))+U151),"")</f>
        <v/>
      </c>
      <c r="P151" s="1031"/>
      <c r="Q151" s="1133">
        <f>IF(K151&lt;&gt;"Importado",0,IF(P151&gt;0,P151*H151,IFERROR(_xlfn.XLOOKUP(F151,Proveedores!A:A,Proveedores!F:F,0)*H151,0)))</f>
        <v>0</v>
      </c>
      <c r="R151" s="1134" t="e">
        <f t="shared" si="96"/>
        <v>#VALUE!</v>
      </c>
      <c r="S151" s="743"/>
      <c r="T151" s="1034" t="e">
        <f t="shared" si="83"/>
        <v>#N/A</v>
      </c>
      <c r="U151" s="1034" t="e">
        <f t="shared" si="97"/>
        <v>#N/A</v>
      </c>
      <c r="V151" s="1165" t="e">
        <f t="shared" si="84"/>
        <v>#N/A</v>
      </c>
      <c r="W151" s="1034" t="e">
        <f t="shared" si="98"/>
        <v>#N/A</v>
      </c>
      <c r="X151" s="1034" t="b">
        <f t="shared" si="99"/>
        <v>0</v>
      </c>
      <c r="Y151" s="1034">
        <f t="shared" si="100"/>
        <v>0</v>
      </c>
      <c r="Z151" s="1034">
        <f t="shared" si="101"/>
        <v>0</v>
      </c>
      <c r="AA151" s="1034">
        <f t="shared" si="85"/>
        <v>0</v>
      </c>
      <c r="AB151" s="1034">
        <f t="shared" si="86"/>
        <v>0</v>
      </c>
      <c r="AC151" s="1033">
        <f t="shared" si="102"/>
        <v>0</v>
      </c>
      <c r="AD151" s="1266">
        <f t="shared" si="87"/>
        <v>0</v>
      </c>
      <c r="AE151" s="1093">
        <f t="shared" si="103"/>
        <v>0</v>
      </c>
      <c r="AF151" s="1093">
        <f t="shared" si="104"/>
        <v>0</v>
      </c>
      <c r="AG151" s="1093">
        <f t="shared" si="88"/>
        <v>0</v>
      </c>
      <c r="AH151" s="1033" t="e">
        <f t="shared" si="89"/>
        <v>#DIV/0!</v>
      </c>
      <c r="AI151" s="1091">
        <f t="shared" si="90"/>
        <v>0</v>
      </c>
      <c r="AJ151" s="1094">
        <f t="shared" si="91"/>
        <v>0</v>
      </c>
      <c r="AK151" s="1053" t="str">
        <f t="shared" si="92"/>
        <v/>
      </c>
      <c r="AL151" s="1053"/>
      <c r="AM151" s="1290">
        <f>_xlfn.XLOOKUP(F151,Proveedores!A:A,Proveedores!G:G)</f>
        <v>0</v>
      </c>
      <c r="AN151" s="1095" t="str">
        <f t="shared" si="105"/>
        <v>OK</v>
      </c>
    </row>
    <row r="152" spans="1:40" ht="15.95">
      <c r="A152" s="1090" t="b">
        <f t="shared" si="80"/>
        <v>1</v>
      </c>
      <c r="B152" s="1091" t="b">
        <f t="shared" si="93"/>
        <v>1</v>
      </c>
      <c r="C152" s="1092" t="str">
        <f t="shared" si="94"/>
        <v>Dólares</v>
      </c>
      <c r="D152" s="14"/>
      <c r="E152" s="743"/>
      <c r="F152" s="17"/>
      <c r="G152" s="17" t="str">
        <f t="shared" si="81"/>
        <v xml:space="preserve"> </v>
      </c>
      <c r="H152" s="12">
        <v>0</v>
      </c>
      <c r="I152" s="16" t="str">
        <f>IFERROR(VLOOKUP(G152,Proveedores!B:C,2,0)," ")</f>
        <v xml:space="preserve"> </v>
      </c>
      <c r="J152" s="745">
        <v>0</v>
      </c>
      <c r="K152" s="745" t="str">
        <f t="shared" si="82"/>
        <v>Not Found</v>
      </c>
      <c r="L152" s="16">
        <f>IF(K152="Importado",Fletes!$B$66,0%)</f>
        <v>0</v>
      </c>
      <c r="M152" s="745">
        <f t="shared" si="95"/>
        <v>0</v>
      </c>
      <c r="N152" s="16">
        <f>IF(K152&lt;&gt;"Importado",0%,IF(Fletes!$B$67&lt;10,15%,IF(Fletes!$B$67&lt;20,10%,5%)))</f>
        <v>0</v>
      </c>
      <c r="O152" s="745" t="str">
        <f>IFERROR(IF(OR(F152="Offiho",F152="Lauco Sofas",F152="Requiez",F152="Labenze",F152="Sunon Mty",F152="Sonara"),(M152*(1-_xlfn.XLOOKUP(F152,Proveedores!A:A,Proveedores!I:I)))*(1+N152),((M152*(1-_xlfn.XLOOKUP(F152,Proveedores!A:A,Proveedores!I:I)))*(1+N152))+U152),"")</f>
        <v/>
      </c>
      <c r="P152" s="1031"/>
      <c r="Q152" s="1133">
        <f>IF(K152&lt;&gt;"Importado",0,IF(P152&gt;0,P152*H152,IFERROR(_xlfn.XLOOKUP(F152,Proveedores!A:A,Proveedores!F:F,0)*H152,0)))</f>
        <v>0</v>
      </c>
      <c r="R152" s="1134" t="e">
        <f t="shared" si="96"/>
        <v>#VALUE!</v>
      </c>
      <c r="S152" s="743"/>
      <c r="T152" s="1034" t="e">
        <f t="shared" si="83"/>
        <v>#N/A</v>
      </c>
      <c r="U152" s="1034" t="e">
        <f t="shared" si="97"/>
        <v>#N/A</v>
      </c>
      <c r="V152" s="1165" t="e">
        <f t="shared" si="84"/>
        <v>#N/A</v>
      </c>
      <c r="W152" s="1034" t="e">
        <f t="shared" si="98"/>
        <v>#N/A</v>
      </c>
      <c r="X152" s="1034" t="b">
        <f t="shared" si="99"/>
        <v>0</v>
      </c>
      <c r="Y152" s="1034">
        <f t="shared" si="100"/>
        <v>0</v>
      </c>
      <c r="Z152" s="1034">
        <f t="shared" si="101"/>
        <v>0</v>
      </c>
      <c r="AA152" s="1034">
        <f t="shared" si="85"/>
        <v>0</v>
      </c>
      <c r="AB152" s="1034">
        <f t="shared" si="86"/>
        <v>0</v>
      </c>
      <c r="AC152" s="1033">
        <f t="shared" si="102"/>
        <v>0</v>
      </c>
      <c r="AD152" s="1266">
        <f t="shared" si="87"/>
        <v>0</v>
      </c>
      <c r="AE152" s="1093">
        <f t="shared" si="103"/>
        <v>0</v>
      </c>
      <c r="AF152" s="1093">
        <f t="shared" si="104"/>
        <v>0</v>
      </c>
      <c r="AG152" s="1093">
        <f t="shared" si="88"/>
        <v>0</v>
      </c>
      <c r="AH152" s="1033" t="str">
        <f t="shared" si="89"/>
        <v>NA</v>
      </c>
      <c r="AI152" s="1091">
        <f t="shared" si="90"/>
        <v>0</v>
      </c>
      <c r="AJ152" s="1094">
        <f t="shared" si="91"/>
        <v>0</v>
      </c>
      <c r="AK152" s="1053" t="str">
        <f t="shared" si="92"/>
        <v/>
      </c>
      <c r="AL152" s="1053"/>
      <c r="AM152" s="1290">
        <f>_xlfn.XLOOKUP(F152,Proveedores!A:A,Proveedores!G:G)</f>
        <v>0</v>
      </c>
      <c r="AN152" s="1095" t="str">
        <f t="shared" si="105"/>
        <v>OK</v>
      </c>
    </row>
    <row r="153" spans="1:40" ht="24" customHeight="1">
      <c r="A153" s="1375" t="s">
        <v>133</v>
      </c>
      <c r="B153" s="1375"/>
      <c r="C153" s="1375"/>
      <c r="D153" s="1375"/>
      <c r="E153" s="1375"/>
      <c r="F153" s="1375"/>
      <c r="G153" s="1099"/>
      <c r="H153" s="1100" cm="1">
        <f t="array" ref="H153">SUM(IFERROR(H120:H152,0))</f>
        <v>0</v>
      </c>
      <c r="I153" s="1099"/>
      <c r="J153" s="1101"/>
      <c r="K153" s="1101"/>
      <c r="L153" s="1101"/>
      <c r="M153" s="1101"/>
      <c r="N153" s="1101"/>
      <c r="O153" s="1101"/>
      <c r="P153" s="1102"/>
      <c r="Q153" s="1100" cm="1">
        <f t="array" ref="Q153">SUM(IFERROR(Q120:Q152,0))</f>
        <v>0</v>
      </c>
      <c r="R153" s="1103" cm="1">
        <f t="array" ref="R153">SUM(IFERROR(R120:R152,0))</f>
        <v>0</v>
      </c>
      <c r="S153" s="1104"/>
      <c r="T153" s="1104"/>
      <c r="U153" s="1104"/>
      <c r="V153" s="1104"/>
      <c r="W153" s="1104"/>
      <c r="X153" s="1104"/>
      <c r="Y153" s="1102"/>
      <c r="Z153" s="1102"/>
      <c r="AA153" s="1102"/>
      <c r="AB153" s="1103" cm="1">
        <f t="array" ref="AB153">SUM(IFERROR(AB120:AB152,0))</f>
        <v>0</v>
      </c>
      <c r="AC153" s="1104" t="s">
        <v>127</v>
      </c>
      <c r="AD153" s="1104"/>
      <c r="AE153" s="1104"/>
      <c r="AF153" s="1104"/>
      <c r="AG153" s="1103" cm="1">
        <f t="array" ref="AG153">SUM(IFERROR(AG120:AG152,0))</f>
        <v>0</v>
      </c>
      <c r="AH153" s="1103"/>
      <c r="AI153" s="1103"/>
      <c r="AJ153" s="1103" cm="1">
        <f t="array" ref="AJ153">SUM(IFERROR(AJ120:AJ152,0))</f>
        <v>0</v>
      </c>
      <c r="AK153" s="1054" cm="1">
        <f t="array" ref="AK153">IFERROR(SUMPRODUCT(IFERROR(AG120:AG152,0),IFERROR(AK120:AK152,0))/SUMPRODUCT(IFERROR(AG120:AG152,0)),0)</f>
        <v>0</v>
      </c>
      <c r="AL153" s="1288"/>
      <c r="AM153" s="1288"/>
      <c r="AN153"/>
    </row>
    <row r="154" spans="1:40" ht="26.1" customHeight="1">
      <c r="A154" s="1397" t="s">
        <v>134</v>
      </c>
      <c r="B154" s="1397"/>
      <c r="C154" s="1397"/>
      <c r="D154" s="1397"/>
      <c r="E154" s="1397"/>
      <c r="F154" s="1397"/>
      <c r="G154" s="1397"/>
      <c r="H154" s="1397"/>
      <c r="I154" s="1397"/>
      <c r="J154" s="1398"/>
      <c r="K154" s="1160"/>
      <c r="L154" s="1160"/>
      <c r="M154" s="1160"/>
      <c r="N154" s="1160"/>
      <c r="O154" s="1160"/>
      <c r="P154" s="1088"/>
      <c r="Q154" s="1088"/>
      <c r="R154" s="1088"/>
      <c r="S154" s="1087"/>
      <c r="T154" s="1087"/>
      <c r="U154" s="1087"/>
      <c r="V154" s="1087"/>
      <c r="W154" s="1087"/>
      <c r="X154" s="1087"/>
      <c r="Y154" s="1055"/>
      <c r="Z154" s="1055"/>
      <c r="AA154" s="1055"/>
      <c r="AB154" s="1055"/>
      <c r="AC154" s="1055"/>
      <c r="AD154" s="1087"/>
      <c r="AE154" s="1087"/>
      <c r="AF154" s="1087"/>
      <c r="AG154" s="1087"/>
      <c r="AH154" s="1087"/>
      <c r="AI154" s="1087"/>
      <c r="AJ154" s="1087"/>
      <c r="AK154" s="1089"/>
      <c r="AL154" s="1287"/>
      <c r="AM154" s="1287"/>
      <c r="AN154"/>
    </row>
    <row r="155" spans="1:40" ht="15.95">
      <c r="A155" s="1090" t="b">
        <f t="shared" ref="A155:A187" si="106">$A$14</f>
        <v>1</v>
      </c>
      <c r="B155" s="1091" t="b">
        <f>A155</f>
        <v>1</v>
      </c>
      <c r="C155" s="1092" t="str">
        <f>$C$14</f>
        <v>Dólares</v>
      </c>
      <c r="D155" s="11"/>
      <c r="E155" s="743"/>
      <c r="F155" s="17"/>
      <c r="G155" s="17" t="str">
        <f t="shared" ref="G155:G187" si="107">IFERROR(VLOOKUP(F155,Tabla_Proveedores_1,2,0)," ")</f>
        <v xml:space="preserve"> </v>
      </c>
      <c r="H155" s="12">
        <v>0</v>
      </c>
      <c r="I155" s="16" t="str">
        <f>IFERROR(VLOOKUP(G155,Proveedores!B:C,2,0)," ")</f>
        <v xml:space="preserve"> </v>
      </c>
      <c r="J155" s="745">
        <v>0</v>
      </c>
      <c r="K155" s="745" t="str">
        <f t="shared" ref="K155:K187" si="108">IFERROR(VLOOKUP(TRIM(F155), ProveedoreS_TC, 5, FALSE), "Not Found")</f>
        <v>Not Found</v>
      </c>
      <c r="L155" s="16">
        <f>IF(K155="Importado",Fletes!$B$66,0%)</f>
        <v>0</v>
      </c>
      <c r="M155" s="745">
        <f>IF(K155="Importado",J155*(1+L155),J155*(1+L155))</f>
        <v>0</v>
      </c>
      <c r="N155" s="16">
        <f>IF(K155&lt;&gt;"Importado",0%,IF(Fletes!$B$67&lt;10,15%,IF(Fletes!$B$67&lt;20,10%,5%)))</f>
        <v>0</v>
      </c>
      <c r="O155" s="745" t="str">
        <f>IFERROR(IF(OR(F155="Offiho",F155="Lauco Sofas",F155="Requiez",F155="Labenze",F155="Sunon Mty",F155="Sonara"),(M155*(1-_xlfn.XLOOKUP(F155,Proveedores!A:A,Proveedores!I:I)))*(1+N155),((M155*(1-_xlfn.XLOOKUP(F155,Proveedores!A:A,Proveedores!I:I)))*(1+N155))+U155),"")</f>
        <v/>
      </c>
      <c r="P155" s="1031"/>
      <c r="Q155" s="1133">
        <f>IF(K155&lt;&gt;"Importado",0,IF(P155&gt;0,P155*H155,IFERROR(_xlfn.XLOOKUP(F155,Proveedores!A:A,Proveedores!F:F,0)*H155,0)))</f>
        <v>0</v>
      </c>
      <c r="R155" s="1134" t="e">
        <f>O155*H155</f>
        <v>#VALUE!</v>
      </c>
      <c r="S155" s="743"/>
      <c r="T155" s="1034" t="e">
        <f t="shared" ref="T155:T187" si="109">IF(H155&gt;15,0,VLOOKUP(E155,Tabla_Instalacion,2,FALSE))</f>
        <v>#N/A</v>
      </c>
      <c r="U155" s="1034" t="e">
        <f>X155/V155</f>
        <v>#N/A</v>
      </c>
      <c r="V155" s="1165" t="e">
        <f t="shared" ref="V155:V187" si="110">VLOOKUP(E155,Tabla_Factor,2,FALSE)</f>
        <v>#N/A</v>
      </c>
      <c r="W155" s="1034" t="e">
        <f>T155*V155</f>
        <v>#N/A</v>
      </c>
      <c r="X155" s="1034" t="b">
        <f>IF(S155="Occidente",W155,IF(S155="Norte",W155*1.5,IF(S155="Centro",W155*1.2,IF(S155="Sur",W155*1.7))))</f>
        <v>0</v>
      </c>
      <c r="Y155" s="1034">
        <f>ROUNDUP(IF(OR(F155="Offiho",F155="Lauco Sofas",F155="Requiez",F155="Labenze",F155="Sunon Mty",F155="Sonara",F155="Santeco"),J155,IF(K155="Nacional",O155/(1-30%),IF(K155="Importado",O155/(1-40%),IF(OR(F155="Lumbro",F155="Idelika"),O155/(1-20%))))),0)</f>
        <v>0</v>
      </c>
      <c r="Z155" s="1034">
        <f>ROUNDUP(IF(OR(F155="Offiho",F155="Lauco Sofas",F155="Requiez",F155="Labenze",F155="Sunon Mty",F155="Sonara",F155="Sonara"),Y155,IF($P$10="MIXTO",IF(K155="Nacional",Y155/(1-50%),Y155/(1-50%)),IF($P$10="IMPORTADO",Y155/(1-50%),IF($P$10="NACIONAL",Y155/(1-20%),Y155/(1-20%))))),0)</f>
        <v>0</v>
      </c>
      <c r="AA155" s="1034">
        <f t="shared" ref="AA155:AA187" si="111">IF(Z155&gt;=Y155,_xlfn.MINIFS($Z$15:$Z$572,$D$15:$D$572,D155),"NO SE ESTA RESPETANDO EL MARGEN")</f>
        <v>0</v>
      </c>
      <c r="AB155" s="1034">
        <f t="shared" ref="AB155:AB187" si="112">IFERROR(AA155*H155,0)</f>
        <v>0</v>
      </c>
      <c r="AC155" s="1033">
        <f>IF($P$10="IMPORTADO",50%,IF($P$10="NACIONAL",20%,IF($P$10="MIXTO",50%,0%)))</f>
        <v>0</v>
      </c>
      <c r="AD155" s="1266">
        <f t="shared" ref="AD155:AD187" si="113">IF(H155&gt;0,$E$5,0)</f>
        <v>0</v>
      </c>
      <c r="AE155" s="1093">
        <f>IFERROR(AA155*AD155,0)</f>
        <v>0</v>
      </c>
      <c r="AF155" s="1093">
        <f>IF($E$5&gt;$E$6,"ERROR",AA155-AE155)</f>
        <v>0</v>
      </c>
      <c r="AG155" s="1093">
        <f t="shared" ref="AG155:AG187" si="114">AF155*H155</f>
        <v>0</v>
      </c>
      <c r="AH155" s="1033" t="e">
        <f t="shared" ref="AH155:AH187" si="115">IF(A156=TRUE,MAX(0,1-(AI155/Z155)),"NA")</f>
        <v>#DIV/0!</v>
      </c>
      <c r="AI155" s="1091">
        <f t="shared" ref="AI155:AI187" si="116">IF(A154=FALSE,"NO APLICA",AF155*(1+$AI$8))</f>
        <v>0</v>
      </c>
      <c r="AJ155" s="1094">
        <f t="shared" ref="AJ155:AJ187" si="117">AI155*H155</f>
        <v>0</v>
      </c>
      <c r="AK155" s="1053" t="str">
        <f t="shared" ref="AK155:AK187" si="118">IFERROR(IF(OR(F155="Offiho",F155="Vandesk",F155="Requiez",F155="Labenze",F155="Idelika",F155="Sunon Mty"),(AG155-(J155*(1-I155)*H155))/AG155,(AG155-R155)/AG155),"")</f>
        <v/>
      </c>
      <c r="AL155" s="1053"/>
      <c r="AM155" s="1290">
        <f>_xlfn.XLOOKUP(F155,Proveedores!A:A,Proveedores!G:G)</f>
        <v>0</v>
      </c>
      <c r="AN155" s="1095" t="str">
        <f>IF(AK155&lt;AM155,"ERROR","OK")</f>
        <v>OK</v>
      </c>
    </row>
    <row r="156" spans="1:40" ht="15.95">
      <c r="A156" s="1090" t="b">
        <f t="shared" si="106"/>
        <v>1</v>
      </c>
      <c r="B156" s="1091" t="b">
        <f t="shared" ref="B156:B187" si="119">A156</f>
        <v>1</v>
      </c>
      <c r="C156" s="1092" t="str">
        <f t="shared" ref="C156:C187" si="120">$C$14</f>
        <v>Dólares</v>
      </c>
      <c r="D156" s="11"/>
      <c r="E156" s="743"/>
      <c r="F156" s="17"/>
      <c r="G156" s="17" t="str">
        <f t="shared" si="107"/>
        <v xml:space="preserve"> </v>
      </c>
      <c r="H156" s="12">
        <v>0</v>
      </c>
      <c r="I156" s="16" t="str">
        <f>IFERROR(VLOOKUP(G156,Proveedores!B:C,2,0)," ")</f>
        <v xml:space="preserve"> </v>
      </c>
      <c r="J156" s="745">
        <v>0</v>
      </c>
      <c r="K156" s="745" t="str">
        <f t="shared" si="108"/>
        <v>Not Found</v>
      </c>
      <c r="L156" s="16">
        <f>IF(K156="Importado",Fletes!$B$66,0%)</f>
        <v>0</v>
      </c>
      <c r="M156" s="745">
        <f t="shared" ref="M156:M187" si="121">IF(K156="Importado",J156*(1+L156),J156*(1+L156))</f>
        <v>0</v>
      </c>
      <c r="N156" s="16">
        <f>IF(K156&lt;&gt;"Importado",0%,IF(Fletes!$B$67&lt;10,15%,IF(Fletes!$B$67&lt;20,10%,5%)))</f>
        <v>0</v>
      </c>
      <c r="O156" s="745" t="str">
        <f>IFERROR(IF(OR(F156="Offiho",F156="Lauco Sofas",F156="Requiez",F156="Labenze",F156="Sunon Mty",F156="Sonara"),(M156*(1-_xlfn.XLOOKUP(F156,Proveedores!A:A,Proveedores!I:I)))*(1+N156),((M156*(1-_xlfn.XLOOKUP(F156,Proveedores!A:A,Proveedores!I:I)))*(1+N156))+U156),"")</f>
        <v/>
      </c>
      <c r="P156" s="1031"/>
      <c r="Q156" s="1133">
        <f>IF(K156&lt;&gt;"Importado",0,IF(P156&gt;0,P156*H156,IFERROR(_xlfn.XLOOKUP(F156,Proveedores!A:A,Proveedores!F:F,0)*H156,0)))</f>
        <v>0</v>
      </c>
      <c r="R156" s="1134" t="e">
        <f t="shared" ref="R156:R187" si="122">O156*H156</f>
        <v>#VALUE!</v>
      </c>
      <c r="S156" s="743"/>
      <c r="T156" s="1034" t="e">
        <f t="shared" si="109"/>
        <v>#N/A</v>
      </c>
      <c r="U156" s="1034" t="e">
        <f t="shared" ref="U156:U187" si="123">X156/V156</f>
        <v>#N/A</v>
      </c>
      <c r="V156" s="1165" t="e">
        <f t="shared" si="110"/>
        <v>#N/A</v>
      </c>
      <c r="W156" s="1034" t="e">
        <f t="shared" ref="W156:W187" si="124">T156*V156</f>
        <v>#N/A</v>
      </c>
      <c r="X156" s="1034" t="b">
        <f t="shared" ref="X156:X187" si="125">IF(S156="Occidente",W156,IF(S156="Norte",W156*1.5,IF(S156="Centro",W156*1.2,IF(S156="Sur",W156*1.7))))</f>
        <v>0</v>
      </c>
      <c r="Y156" s="1034">
        <f t="shared" ref="Y156:Y187" si="126">ROUNDUP(IF(OR(F156="Offiho",F156="Lauco Sofas",F156="Requiez",F156="Labenze",F156="Sunon Mty",F156="Sonara",F156="Santeco"),J156,IF(K156="Nacional",O156/(1-30%),IF(K156="Importado",O156/(1-40%),IF(OR(F156="Lumbro",F156="Idelika"),O156/(1-20%))))),0)</f>
        <v>0</v>
      </c>
      <c r="Z156" s="1034">
        <f t="shared" ref="Z156:Z187" si="127">ROUNDUP(IF(OR(F156="Offiho",F156="Lauco Sofas",F156="Requiez",F156="Labenze",F156="Sunon Mty",F156="Sonara",F156="Sonara"),Y156,IF($P$10="MIXTO",IF(K156="Nacional",Y156/(1-50%),Y156/(1-50%)),IF($P$10="IMPORTADO",Y156/(1-50%),IF($P$10="NACIONAL",Y156/(1-20%),Y156/(1-20%))))),0)</f>
        <v>0</v>
      </c>
      <c r="AA156" s="1034">
        <f t="shared" si="111"/>
        <v>0</v>
      </c>
      <c r="AB156" s="1034">
        <f t="shared" si="112"/>
        <v>0</v>
      </c>
      <c r="AC156" s="1033">
        <f t="shared" ref="AC156:AC187" si="128">IF($P$10="IMPORTADO",50%,IF($P$10="NACIONAL",20%,IF($P$10="MIXTO",50%,0%)))</f>
        <v>0</v>
      </c>
      <c r="AD156" s="1266">
        <f t="shared" si="113"/>
        <v>0</v>
      </c>
      <c r="AE156" s="1093">
        <f t="shared" ref="AE156:AE187" si="129">IFERROR(AA156*AD156,0)</f>
        <v>0</v>
      </c>
      <c r="AF156" s="1093">
        <f t="shared" ref="AF156:AF187" si="130">IF($E$5&gt;$E$6,"ERROR",AA156-AE156)</f>
        <v>0</v>
      </c>
      <c r="AG156" s="1093">
        <f t="shared" si="114"/>
        <v>0</v>
      </c>
      <c r="AH156" s="1033" t="e">
        <f t="shared" si="115"/>
        <v>#DIV/0!</v>
      </c>
      <c r="AI156" s="1091">
        <f t="shared" si="116"/>
        <v>0</v>
      </c>
      <c r="AJ156" s="1094">
        <f t="shared" si="117"/>
        <v>0</v>
      </c>
      <c r="AK156" s="1053" t="str">
        <f t="shared" si="118"/>
        <v/>
      </c>
      <c r="AL156" s="1053"/>
      <c r="AM156" s="1290">
        <f>_xlfn.XLOOKUP(F156,Proveedores!A:A,Proveedores!G:G)</f>
        <v>0</v>
      </c>
      <c r="AN156" s="1095" t="str">
        <f t="shared" ref="AN156:AN187" si="131">IF(AK156&lt;AM156,"ERROR","OK")</f>
        <v>OK</v>
      </c>
    </row>
    <row r="157" spans="1:40" ht="15.95">
      <c r="A157" s="1090" t="b">
        <f t="shared" si="106"/>
        <v>1</v>
      </c>
      <c r="B157" s="1091" t="b">
        <f t="shared" si="119"/>
        <v>1</v>
      </c>
      <c r="C157" s="1092" t="str">
        <f t="shared" si="120"/>
        <v>Dólares</v>
      </c>
      <c r="D157" s="13"/>
      <c r="E157" s="743"/>
      <c r="F157" s="17"/>
      <c r="G157" s="17" t="str">
        <f t="shared" si="107"/>
        <v xml:space="preserve"> </v>
      </c>
      <c r="H157" s="12">
        <v>0</v>
      </c>
      <c r="I157" s="16" t="str">
        <f>IFERROR(VLOOKUP(G157,Proveedores!B:C,2,0)," ")</f>
        <v xml:space="preserve"> </v>
      </c>
      <c r="J157" s="745">
        <v>0</v>
      </c>
      <c r="K157" s="745" t="str">
        <f t="shared" si="108"/>
        <v>Not Found</v>
      </c>
      <c r="L157" s="16">
        <f>IF(K157="Importado",Fletes!$B$66,0%)</f>
        <v>0</v>
      </c>
      <c r="M157" s="745">
        <f t="shared" si="121"/>
        <v>0</v>
      </c>
      <c r="N157" s="16">
        <f>IF(K157&lt;&gt;"Importado",0%,IF(Fletes!$B$67&lt;10,15%,IF(Fletes!$B$67&lt;20,10%,5%)))</f>
        <v>0</v>
      </c>
      <c r="O157" s="745" t="str">
        <f>IFERROR(IF(OR(F157="Offiho",F157="Lauco Sofas",F157="Requiez",F157="Labenze",F157="Sunon Mty",F157="Sonara"),(M157*(1-_xlfn.XLOOKUP(F157,Proveedores!A:A,Proveedores!I:I)))*(1+N157),((M157*(1-_xlfn.XLOOKUP(F157,Proveedores!A:A,Proveedores!I:I)))*(1+N157))+U157),"")</f>
        <v/>
      </c>
      <c r="P157" s="1031"/>
      <c r="Q157" s="1133">
        <f>IF(K157&lt;&gt;"Importado",0,IF(P157&gt;0,P157*H157,IFERROR(_xlfn.XLOOKUP(F157,Proveedores!A:A,Proveedores!F:F,0)*H157,0)))</f>
        <v>0</v>
      </c>
      <c r="R157" s="1134" t="e">
        <f t="shared" si="122"/>
        <v>#VALUE!</v>
      </c>
      <c r="S157" s="743"/>
      <c r="T157" s="1034" t="e">
        <f t="shared" si="109"/>
        <v>#N/A</v>
      </c>
      <c r="U157" s="1034" t="e">
        <f t="shared" si="123"/>
        <v>#N/A</v>
      </c>
      <c r="V157" s="1165" t="e">
        <f t="shared" si="110"/>
        <v>#N/A</v>
      </c>
      <c r="W157" s="1034" t="e">
        <f t="shared" si="124"/>
        <v>#N/A</v>
      </c>
      <c r="X157" s="1034" t="b">
        <f t="shared" si="125"/>
        <v>0</v>
      </c>
      <c r="Y157" s="1034">
        <f t="shared" si="126"/>
        <v>0</v>
      </c>
      <c r="Z157" s="1034">
        <f t="shared" si="127"/>
        <v>0</v>
      </c>
      <c r="AA157" s="1034">
        <f t="shared" si="111"/>
        <v>0</v>
      </c>
      <c r="AB157" s="1034">
        <f t="shared" si="112"/>
        <v>0</v>
      </c>
      <c r="AC157" s="1033">
        <f t="shared" si="128"/>
        <v>0</v>
      </c>
      <c r="AD157" s="1266">
        <f t="shared" si="113"/>
        <v>0</v>
      </c>
      <c r="AE157" s="1093">
        <f t="shared" si="129"/>
        <v>0</v>
      </c>
      <c r="AF157" s="1093">
        <f t="shared" si="130"/>
        <v>0</v>
      </c>
      <c r="AG157" s="1093">
        <f t="shared" si="114"/>
        <v>0</v>
      </c>
      <c r="AH157" s="1033" t="e">
        <f t="shared" si="115"/>
        <v>#DIV/0!</v>
      </c>
      <c r="AI157" s="1091">
        <f t="shared" si="116"/>
        <v>0</v>
      </c>
      <c r="AJ157" s="1094">
        <f t="shared" si="117"/>
        <v>0</v>
      </c>
      <c r="AK157" s="1053" t="str">
        <f t="shared" si="118"/>
        <v/>
      </c>
      <c r="AL157" s="1053"/>
      <c r="AM157" s="1290">
        <f>_xlfn.XLOOKUP(F157,Proveedores!A:A,Proveedores!G:G)</f>
        <v>0</v>
      </c>
      <c r="AN157" s="1095" t="str">
        <f t="shared" si="131"/>
        <v>OK</v>
      </c>
    </row>
    <row r="158" spans="1:40" ht="15.95">
      <c r="A158" s="1090" t="b">
        <f t="shared" si="106"/>
        <v>1</v>
      </c>
      <c r="B158" s="1091" t="b">
        <f t="shared" si="119"/>
        <v>1</v>
      </c>
      <c r="C158" s="1092" t="str">
        <f t="shared" si="120"/>
        <v>Dólares</v>
      </c>
      <c r="D158" s="13"/>
      <c r="E158" s="743"/>
      <c r="F158" s="17"/>
      <c r="G158" s="17" t="str">
        <f t="shared" si="107"/>
        <v xml:space="preserve"> </v>
      </c>
      <c r="H158" s="12">
        <v>0</v>
      </c>
      <c r="I158" s="16" t="str">
        <f>IFERROR(VLOOKUP(G158,Proveedores!B:C,2,0)," ")</f>
        <v xml:space="preserve"> </v>
      </c>
      <c r="J158" s="745">
        <v>0</v>
      </c>
      <c r="K158" s="745" t="str">
        <f t="shared" si="108"/>
        <v>Not Found</v>
      </c>
      <c r="L158" s="16">
        <f>IF(K158="Importado",Fletes!$B$66,0%)</f>
        <v>0</v>
      </c>
      <c r="M158" s="745">
        <f t="shared" si="121"/>
        <v>0</v>
      </c>
      <c r="N158" s="16">
        <f>IF(K158&lt;&gt;"Importado",0%,IF(Fletes!$B$67&lt;10,15%,IF(Fletes!$B$67&lt;20,10%,5%)))</f>
        <v>0</v>
      </c>
      <c r="O158" s="745" t="str">
        <f>IFERROR(IF(OR(F158="Offiho",F158="Lauco Sofas",F158="Requiez",F158="Labenze",F158="Sunon Mty",F158="Sonara"),(M158*(1-_xlfn.XLOOKUP(F158,Proveedores!A:A,Proveedores!I:I)))*(1+N158),((M158*(1-_xlfn.XLOOKUP(F158,Proveedores!A:A,Proveedores!I:I)))*(1+N158))+U158),"")</f>
        <v/>
      </c>
      <c r="P158" s="1031"/>
      <c r="Q158" s="1133">
        <f>IF(K158&lt;&gt;"Importado",0,IF(P158&gt;0,P158*H158,IFERROR(_xlfn.XLOOKUP(F158,Proveedores!A:A,Proveedores!F:F,0)*H158,0)))</f>
        <v>0</v>
      </c>
      <c r="R158" s="1134" t="e">
        <f t="shared" si="122"/>
        <v>#VALUE!</v>
      </c>
      <c r="S158" s="743"/>
      <c r="T158" s="1034" t="e">
        <f t="shared" si="109"/>
        <v>#N/A</v>
      </c>
      <c r="U158" s="1034" t="e">
        <f t="shared" si="123"/>
        <v>#N/A</v>
      </c>
      <c r="V158" s="1165" t="e">
        <f t="shared" si="110"/>
        <v>#N/A</v>
      </c>
      <c r="W158" s="1034" t="e">
        <f t="shared" si="124"/>
        <v>#N/A</v>
      </c>
      <c r="X158" s="1034" t="b">
        <f t="shared" si="125"/>
        <v>0</v>
      </c>
      <c r="Y158" s="1034">
        <f t="shared" si="126"/>
        <v>0</v>
      </c>
      <c r="Z158" s="1034">
        <f t="shared" si="127"/>
        <v>0</v>
      </c>
      <c r="AA158" s="1034">
        <f t="shared" si="111"/>
        <v>0</v>
      </c>
      <c r="AB158" s="1034">
        <f t="shared" si="112"/>
        <v>0</v>
      </c>
      <c r="AC158" s="1033">
        <f t="shared" si="128"/>
        <v>0</v>
      </c>
      <c r="AD158" s="1266">
        <f t="shared" si="113"/>
        <v>0</v>
      </c>
      <c r="AE158" s="1093">
        <f t="shared" si="129"/>
        <v>0</v>
      </c>
      <c r="AF158" s="1093">
        <f t="shared" si="130"/>
        <v>0</v>
      </c>
      <c r="AG158" s="1093">
        <f t="shared" si="114"/>
        <v>0</v>
      </c>
      <c r="AH158" s="1033" t="e">
        <f t="shared" si="115"/>
        <v>#DIV/0!</v>
      </c>
      <c r="AI158" s="1091">
        <f t="shared" si="116"/>
        <v>0</v>
      </c>
      <c r="AJ158" s="1094">
        <f t="shared" si="117"/>
        <v>0</v>
      </c>
      <c r="AK158" s="1053" t="str">
        <f t="shared" si="118"/>
        <v/>
      </c>
      <c r="AL158" s="1053"/>
      <c r="AM158" s="1290">
        <f>_xlfn.XLOOKUP(F158,Proveedores!A:A,Proveedores!G:G)</f>
        <v>0</v>
      </c>
      <c r="AN158" s="1095" t="str">
        <f t="shared" si="131"/>
        <v>OK</v>
      </c>
    </row>
    <row r="159" spans="1:40" ht="15.95">
      <c r="A159" s="1090" t="b">
        <f t="shared" si="106"/>
        <v>1</v>
      </c>
      <c r="B159" s="1091" t="b">
        <f t="shared" si="119"/>
        <v>1</v>
      </c>
      <c r="C159" s="1092" t="str">
        <f t="shared" si="120"/>
        <v>Dólares</v>
      </c>
      <c r="D159" s="13"/>
      <c r="E159" s="743"/>
      <c r="F159" s="17"/>
      <c r="G159" s="17" t="str">
        <f t="shared" si="107"/>
        <v xml:space="preserve"> </v>
      </c>
      <c r="H159" s="12">
        <v>0</v>
      </c>
      <c r="I159" s="16" t="str">
        <f>IFERROR(VLOOKUP(G159,Proveedores!B:C,2,0)," ")</f>
        <v xml:space="preserve"> </v>
      </c>
      <c r="J159" s="745">
        <v>0</v>
      </c>
      <c r="K159" s="745" t="str">
        <f t="shared" si="108"/>
        <v>Not Found</v>
      </c>
      <c r="L159" s="16">
        <f>IF(K159="Importado",Fletes!$B$66,0%)</f>
        <v>0</v>
      </c>
      <c r="M159" s="745">
        <f t="shared" si="121"/>
        <v>0</v>
      </c>
      <c r="N159" s="16">
        <f>IF(K159&lt;&gt;"Importado",0%,IF(Fletes!$B$67&lt;10,15%,IF(Fletes!$B$67&lt;20,10%,5%)))</f>
        <v>0</v>
      </c>
      <c r="O159" s="745" t="str">
        <f>IFERROR(IF(OR(F159="Offiho",F159="Lauco Sofas",F159="Requiez",F159="Labenze",F159="Sunon Mty",F159="Sonara"),(M159*(1-_xlfn.XLOOKUP(F159,Proveedores!A:A,Proveedores!I:I)))*(1+N159),((M159*(1-_xlfn.XLOOKUP(F159,Proveedores!A:A,Proveedores!I:I)))*(1+N159))+U159),"")</f>
        <v/>
      </c>
      <c r="P159" s="1031"/>
      <c r="Q159" s="1133">
        <f>IF(K159&lt;&gt;"Importado",0,IF(P159&gt;0,P159*H159,IFERROR(_xlfn.XLOOKUP(F159,Proveedores!A:A,Proveedores!F:F,0)*H159,0)))</f>
        <v>0</v>
      </c>
      <c r="R159" s="1134" t="e">
        <f t="shared" si="122"/>
        <v>#VALUE!</v>
      </c>
      <c r="S159" s="743"/>
      <c r="T159" s="1034" t="e">
        <f t="shared" si="109"/>
        <v>#N/A</v>
      </c>
      <c r="U159" s="1034" t="e">
        <f t="shared" si="123"/>
        <v>#N/A</v>
      </c>
      <c r="V159" s="1165" t="e">
        <f t="shared" si="110"/>
        <v>#N/A</v>
      </c>
      <c r="W159" s="1034" t="e">
        <f t="shared" si="124"/>
        <v>#N/A</v>
      </c>
      <c r="X159" s="1034" t="b">
        <f t="shared" si="125"/>
        <v>0</v>
      </c>
      <c r="Y159" s="1034">
        <f t="shared" si="126"/>
        <v>0</v>
      </c>
      <c r="Z159" s="1034">
        <f t="shared" si="127"/>
        <v>0</v>
      </c>
      <c r="AA159" s="1034">
        <f t="shared" si="111"/>
        <v>0</v>
      </c>
      <c r="AB159" s="1034">
        <f t="shared" si="112"/>
        <v>0</v>
      </c>
      <c r="AC159" s="1033">
        <f t="shared" si="128"/>
        <v>0</v>
      </c>
      <c r="AD159" s="1266">
        <f t="shared" si="113"/>
        <v>0</v>
      </c>
      <c r="AE159" s="1093">
        <f t="shared" si="129"/>
        <v>0</v>
      </c>
      <c r="AF159" s="1093">
        <f t="shared" si="130"/>
        <v>0</v>
      </c>
      <c r="AG159" s="1093">
        <f t="shared" si="114"/>
        <v>0</v>
      </c>
      <c r="AH159" s="1033" t="e">
        <f t="shared" si="115"/>
        <v>#DIV/0!</v>
      </c>
      <c r="AI159" s="1091">
        <f t="shared" si="116"/>
        <v>0</v>
      </c>
      <c r="AJ159" s="1094">
        <f t="shared" si="117"/>
        <v>0</v>
      </c>
      <c r="AK159" s="1053" t="str">
        <f t="shared" si="118"/>
        <v/>
      </c>
      <c r="AL159" s="1053"/>
      <c r="AM159" s="1290">
        <f>_xlfn.XLOOKUP(F159,Proveedores!A:A,Proveedores!G:G)</f>
        <v>0</v>
      </c>
      <c r="AN159" s="1095" t="str">
        <f t="shared" si="131"/>
        <v>OK</v>
      </c>
    </row>
    <row r="160" spans="1:40" ht="15.95">
      <c r="A160" s="1090" t="b">
        <f t="shared" si="106"/>
        <v>1</v>
      </c>
      <c r="B160" s="1091" t="b">
        <f t="shared" si="119"/>
        <v>1</v>
      </c>
      <c r="C160" s="1092" t="str">
        <f t="shared" si="120"/>
        <v>Dólares</v>
      </c>
      <c r="D160" s="13"/>
      <c r="E160" s="743"/>
      <c r="F160" s="17"/>
      <c r="G160" s="17" t="str">
        <f t="shared" si="107"/>
        <v xml:space="preserve"> </v>
      </c>
      <c r="H160" s="12">
        <v>0</v>
      </c>
      <c r="I160" s="16" t="str">
        <f>IFERROR(VLOOKUP(G160,Proveedores!B:C,2,0)," ")</f>
        <v xml:space="preserve"> </v>
      </c>
      <c r="J160" s="745">
        <v>0</v>
      </c>
      <c r="K160" s="745" t="str">
        <f t="shared" si="108"/>
        <v>Not Found</v>
      </c>
      <c r="L160" s="16">
        <f>IF(K160="Importado",Fletes!$B$66,0%)</f>
        <v>0</v>
      </c>
      <c r="M160" s="745">
        <f t="shared" si="121"/>
        <v>0</v>
      </c>
      <c r="N160" s="16">
        <f>IF(K160&lt;&gt;"Importado",0%,IF(Fletes!$B$67&lt;10,15%,IF(Fletes!$B$67&lt;20,10%,5%)))</f>
        <v>0</v>
      </c>
      <c r="O160" s="745" t="str">
        <f>IFERROR(IF(OR(F160="Offiho",F160="Lauco Sofas",F160="Requiez",F160="Labenze",F160="Sunon Mty",F160="Sonara"),(M160*(1-_xlfn.XLOOKUP(F160,Proveedores!A:A,Proveedores!I:I)))*(1+N160),((M160*(1-_xlfn.XLOOKUP(F160,Proveedores!A:A,Proveedores!I:I)))*(1+N160))+U160),"")</f>
        <v/>
      </c>
      <c r="P160" s="1031"/>
      <c r="Q160" s="1133">
        <f>IF(K160&lt;&gt;"Importado",0,IF(P160&gt;0,P160*H160,IFERROR(_xlfn.XLOOKUP(F160,Proveedores!A:A,Proveedores!F:F,0)*H160,0)))</f>
        <v>0</v>
      </c>
      <c r="R160" s="1134" t="e">
        <f t="shared" si="122"/>
        <v>#VALUE!</v>
      </c>
      <c r="S160" s="743"/>
      <c r="T160" s="1034" t="e">
        <f t="shared" si="109"/>
        <v>#N/A</v>
      </c>
      <c r="U160" s="1034" t="e">
        <f t="shared" si="123"/>
        <v>#N/A</v>
      </c>
      <c r="V160" s="1165" t="e">
        <f t="shared" si="110"/>
        <v>#N/A</v>
      </c>
      <c r="W160" s="1034" t="e">
        <f t="shared" si="124"/>
        <v>#N/A</v>
      </c>
      <c r="X160" s="1034" t="b">
        <f t="shared" si="125"/>
        <v>0</v>
      </c>
      <c r="Y160" s="1034">
        <f t="shared" si="126"/>
        <v>0</v>
      </c>
      <c r="Z160" s="1034">
        <f t="shared" si="127"/>
        <v>0</v>
      </c>
      <c r="AA160" s="1034">
        <f t="shared" si="111"/>
        <v>0</v>
      </c>
      <c r="AB160" s="1034">
        <f t="shared" si="112"/>
        <v>0</v>
      </c>
      <c r="AC160" s="1033">
        <f t="shared" si="128"/>
        <v>0</v>
      </c>
      <c r="AD160" s="1266">
        <f t="shared" si="113"/>
        <v>0</v>
      </c>
      <c r="AE160" s="1093">
        <f t="shared" si="129"/>
        <v>0</v>
      </c>
      <c r="AF160" s="1093">
        <f t="shared" si="130"/>
        <v>0</v>
      </c>
      <c r="AG160" s="1093">
        <f t="shared" si="114"/>
        <v>0</v>
      </c>
      <c r="AH160" s="1033" t="e">
        <f t="shared" si="115"/>
        <v>#DIV/0!</v>
      </c>
      <c r="AI160" s="1091">
        <f t="shared" si="116"/>
        <v>0</v>
      </c>
      <c r="AJ160" s="1094">
        <f t="shared" si="117"/>
        <v>0</v>
      </c>
      <c r="AK160" s="1053" t="str">
        <f t="shared" si="118"/>
        <v/>
      </c>
      <c r="AL160" s="1053"/>
      <c r="AM160" s="1290">
        <f>_xlfn.XLOOKUP(F160,Proveedores!A:A,Proveedores!G:G)</f>
        <v>0</v>
      </c>
      <c r="AN160" s="1095" t="str">
        <f t="shared" si="131"/>
        <v>OK</v>
      </c>
    </row>
    <row r="161" spans="1:40" ht="15.95">
      <c r="A161" s="1090" t="b">
        <f t="shared" si="106"/>
        <v>1</v>
      </c>
      <c r="B161" s="1091" t="b">
        <f t="shared" si="119"/>
        <v>1</v>
      </c>
      <c r="C161" s="1092" t="str">
        <f t="shared" si="120"/>
        <v>Dólares</v>
      </c>
      <c r="D161" s="11"/>
      <c r="E161" s="743"/>
      <c r="F161" s="17"/>
      <c r="G161" s="17" t="str">
        <f t="shared" si="107"/>
        <v xml:space="preserve"> </v>
      </c>
      <c r="H161" s="12">
        <v>0</v>
      </c>
      <c r="I161" s="16" t="str">
        <f>IFERROR(VLOOKUP(G161,Proveedores!B:C,2,0)," ")</f>
        <v xml:space="preserve"> </v>
      </c>
      <c r="J161" s="745">
        <v>0</v>
      </c>
      <c r="K161" s="745" t="str">
        <f t="shared" si="108"/>
        <v>Not Found</v>
      </c>
      <c r="L161" s="16">
        <f>IF(K161="Importado",Fletes!$B$66,0%)</f>
        <v>0</v>
      </c>
      <c r="M161" s="745">
        <f t="shared" si="121"/>
        <v>0</v>
      </c>
      <c r="N161" s="16">
        <f>IF(K161&lt;&gt;"Importado",0%,IF(Fletes!$B$67&lt;10,15%,IF(Fletes!$B$67&lt;20,10%,5%)))</f>
        <v>0</v>
      </c>
      <c r="O161" s="745" t="str">
        <f>IFERROR(IF(OR(F161="Offiho",F161="Lauco Sofas",F161="Requiez",F161="Labenze",F161="Sunon Mty",F161="Sonara"),(M161*(1-_xlfn.XLOOKUP(F161,Proveedores!A:A,Proveedores!I:I)))*(1+N161),((M161*(1-_xlfn.XLOOKUP(F161,Proveedores!A:A,Proveedores!I:I)))*(1+N161))+U161),"")</f>
        <v/>
      </c>
      <c r="P161" s="1031"/>
      <c r="Q161" s="1133">
        <f>IF(K161&lt;&gt;"Importado",0,IF(P161&gt;0,P161*H161,IFERROR(_xlfn.XLOOKUP(F161,Proveedores!A:A,Proveedores!F:F,0)*H161,0)))</f>
        <v>0</v>
      </c>
      <c r="R161" s="1134" t="e">
        <f t="shared" si="122"/>
        <v>#VALUE!</v>
      </c>
      <c r="S161" s="743"/>
      <c r="T161" s="1034" t="e">
        <f t="shared" si="109"/>
        <v>#N/A</v>
      </c>
      <c r="U161" s="1034" t="e">
        <f t="shared" si="123"/>
        <v>#N/A</v>
      </c>
      <c r="V161" s="1165" t="e">
        <f t="shared" si="110"/>
        <v>#N/A</v>
      </c>
      <c r="W161" s="1034" t="e">
        <f t="shared" si="124"/>
        <v>#N/A</v>
      </c>
      <c r="X161" s="1034" t="b">
        <f t="shared" si="125"/>
        <v>0</v>
      </c>
      <c r="Y161" s="1034">
        <f t="shared" si="126"/>
        <v>0</v>
      </c>
      <c r="Z161" s="1034">
        <f t="shared" si="127"/>
        <v>0</v>
      </c>
      <c r="AA161" s="1034">
        <f t="shared" si="111"/>
        <v>0</v>
      </c>
      <c r="AB161" s="1034">
        <f t="shared" si="112"/>
        <v>0</v>
      </c>
      <c r="AC161" s="1033">
        <f t="shared" si="128"/>
        <v>0</v>
      </c>
      <c r="AD161" s="1266">
        <f t="shared" si="113"/>
        <v>0</v>
      </c>
      <c r="AE161" s="1093">
        <f t="shared" si="129"/>
        <v>0</v>
      </c>
      <c r="AF161" s="1093">
        <f t="shared" si="130"/>
        <v>0</v>
      </c>
      <c r="AG161" s="1093">
        <f t="shared" si="114"/>
        <v>0</v>
      </c>
      <c r="AH161" s="1033" t="e">
        <f t="shared" si="115"/>
        <v>#DIV/0!</v>
      </c>
      <c r="AI161" s="1091">
        <f t="shared" si="116"/>
        <v>0</v>
      </c>
      <c r="AJ161" s="1094">
        <f t="shared" si="117"/>
        <v>0</v>
      </c>
      <c r="AK161" s="1053" t="str">
        <f t="shared" si="118"/>
        <v/>
      </c>
      <c r="AL161" s="1053"/>
      <c r="AM161" s="1290">
        <f>_xlfn.XLOOKUP(F161,Proveedores!A:A,Proveedores!G:G)</f>
        <v>0</v>
      </c>
      <c r="AN161" s="1095" t="str">
        <f t="shared" si="131"/>
        <v>OK</v>
      </c>
    </row>
    <row r="162" spans="1:40" ht="15.95">
      <c r="A162" s="1090" t="b">
        <f t="shared" si="106"/>
        <v>1</v>
      </c>
      <c r="B162" s="1091" t="b">
        <f t="shared" si="119"/>
        <v>1</v>
      </c>
      <c r="C162" s="1092" t="str">
        <f t="shared" si="120"/>
        <v>Dólares</v>
      </c>
      <c r="D162" s="11"/>
      <c r="E162" s="743"/>
      <c r="F162" s="17"/>
      <c r="G162" s="17" t="str">
        <f t="shared" si="107"/>
        <v xml:space="preserve"> </v>
      </c>
      <c r="H162" s="12">
        <v>0</v>
      </c>
      <c r="I162" s="16" t="str">
        <f>IFERROR(VLOOKUP(G162,Proveedores!B:C,2,0)," ")</f>
        <v xml:space="preserve"> </v>
      </c>
      <c r="J162" s="745">
        <v>0</v>
      </c>
      <c r="K162" s="745" t="str">
        <f t="shared" si="108"/>
        <v>Not Found</v>
      </c>
      <c r="L162" s="16">
        <f>IF(K162="Importado",Fletes!$B$66,0%)</f>
        <v>0</v>
      </c>
      <c r="M162" s="745">
        <f t="shared" si="121"/>
        <v>0</v>
      </c>
      <c r="N162" s="16">
        <f>IF(K162&lt;&gt;"Importado",0%,IF(Fletes!$B$67&lt;10,15%,IF(Fletes!$B$67&lt;20,10%,5%)))</f>
        <v>0</v>
      </c>
      <c r="O162" s="745" t="str">
        <f>IFERROR(IF(OR(F162="Offiho",F162="Lauco Sofas",F162="Requiez",F162="Labenze",F162="Sunon Mty",F162="Sonara"),(M162*(1-_xlfn.XLOOKUP(F162,Proveedores!A:A,Proveedores!I:I)))*(1+N162),((M162*(1-_xlfn.XLOOKUP(F162,Proveedores!A:A,Proveedores!I:I)))*(1+N162))+U162),"")</f>
        <v/>
      </c>
      <c r="P162" s="1031"/>
      <c r="Q162" s="1133">
        <f>IF(K162&lt;&gt;"Importado",0,IF(P162&gt;0,P162*H162,IFERROR(_xlfn.XLOOKUP(F162,Proveedores!A:A,Proveedores!F:F,0)*H162,0)))</f>
        <v>0</v>
      </c>
      <c r="R162" s="1134" t="e">
        <f t="shared" si="122"/>
        <v>#VALUE!</v>
      </c>
      <c r="S162" s="743"/>
      <c r="T162" s="1034" t="e">
        <f t="shared" si="109"/>
        <v>#N/A</v>
      </c>
      <c r="U162" s="1034" t="e">
        <f t="shared" si="123"/>
        <v>#N/A</v>
      </c>
      <c r="V162" s="1165" t="e">
        <f t="shared" si="110"/>
        <v>#N/A</v>
      </c>
      <c r="W162" s="1034" t="e">
        <f t="shared" si="124"/>
        <v>#N/A</v>
      </c>
      <c r="X162" s="1034" t="b">
        <f t="shared" si="125"/>
        <v>0</v>
      </c>
      <c r="Y162" s="1034">
        <f t="shared" si="126"/>
        <v>0</v>
      </c>
      <c r="Z162" s="1034">
        <f t="shared" si="127"/>
        <v>0</v>
      </c>
      <c r="AA162" s="1034">
        <f t="shared" si="111"/>
        <v>0</v>
      </c>
      <c r="AB162" s="1034">
        <f t="shared" si="112"/>
        <v>0</v>
      </c>
      <c r="AC162" s="1033">
        <f t="shared" si="128"/>
        <v>0</v>
      </c>
      <c r="AD162" s="1266">
        <f t="shared" si="113"/>
        <v>0</v>
      </c>
      <c r="AE162" s="1093">
        <f t="shared" si="129"/>
        <v>0</v>
      </c>
      <c r="AF162" s="1093">
        <f t="shared" si="130"/>
        <v>0</v>
      </c>
      <c r="AG162" s="1093">
        <f t="shared" si="114"/>
        <v>0</v>
      </c>
      <c r="AH162" s="1033" t="e">
        <f t="shared" si="115"/>
        <v>#DIV/0!</v>
      </c>
      <c r="AI162" s="1091">
        <f t="shared" si="116"/>
        <v>0</v>
      </c>
      <c r="AJ162" s="1094">
        <f t="shared" si="117"/>
        <v>0</v>
      </c>
      <c r="AK162" s="1053" t="str">
        <f t="shared" si="118"/>
        <v/>
      </c>
      <c r="AL162" s="1053"/>
      <c r="AM162" s="1290">
        <f>_xlfn.XLOOKUP(F162,Proveedores!A:A,Proveedores!G:G)</f>
        <v>0</v>
      </c>
      <c r="AN162" s="1095" t="str">
        <f t="shared" si="131"/>
        <v>OK</v>
      </c>
    </row>
    <row r="163" spans="1:40" ht="15.95">
      <c r="A163" s="1090" t="b">
        <f t="shared" si="106"/>
        <v>1</v>
      </c>
      <c r="B163" s="1091" t="b">
        <f t="shared" si="119"/>
        <v>1</v>
      </c>
      <c r="C163" s="1092" t="str">
        <f t="shared" si="120"/>
        <v>Dólares</v>
      </c>
      <c r="D163" s="11"/>
      <c r="E163" s="743"/>
      <c r="F163" s="17"/>
      <c r="G163" s="17" t="str">
        <f t="shared" si="107"/>
        <v xml:space="preserve"> </v>
      </c>
      <c r="H163" s="12">
        <v>0</v>
      </c>
      <c r="I163" s="16" t="str">
        <f>IFERROR(VLOOKUP(G163,Proveedores!B:C,2,0)," ")</f>
        <v xml:space="preserve"> </v>
      </c>
      <c r="J163" s="745">
        <v>0</v>
      </c>
      <c r="K163" s="745" t="str">
        <f t="shared" si="108"/>
        <v>Not Found</v>
      </c>
      <c r="L163" s="16">
        <f>IF(K163="Importado",Fletes!$B$66,0%)</f>
        <v>0</v>
      </c>
      <c r="M163" s="745">
        <f t="shared" si="121"/>
        <v>0</v>
      </c>
      <c r="N163" s="16">
        <f>IF(K163&lt;&gt;"Importado",0%,IF(Fletes!$B$67&lt;10,15%,IF(Fletes!$B$67&lt;20,10%,5%)))</f>
        <v>0</v>
      </c>
      <c r="O163" s="745" t="str">
        <f>IFERROR(IF(OR(F163="Offiho",F163="Lauco Sofas",F163="Requiez",F163="Labenze",F163="Sunon Mty",F163="Sonara"),(M163*(1-_xlfn.XLOOKUP(F163,Proveedores!A:A,Proveedores!I:I)))*(1+N163),((M163*(1-_xlfn.XLOOKUP(F163,Proveedores!A:A,Proveedores!I:I)))*(1+N163))+U163),"")</f>
        <v/>
      </c>
      <c r="P163" s="1031"/>
      <c r="Q163" s="1133">
        <f>IF(K163&lt;&gt;"Importado",0,IF(P163&gt;0,P163*H163,IFERROR(_xlfn.XLOOKUP(F163,Proveedores!A:A,Proveedores!F:F,0)*H163,0)))</f>
        <v>0</v>
      </c>
      <c r="R163" s="1134" t="e">
        <f t="shared" si="122"/>
        <v>#VALUE!</v>
      </c>
      <c r="S163" s="743"/>
      <c r="T163" s="1034" t="e">
        <f t="shared" si="109"/>
        <v>#N/A</v>
      </c>
      <c r="U163" s="1034" t="e">
        <f t="shared" si="123"/>
        <v>#N/A</v>
      </c>
      <c r="V163" s="1165" t="e">
        <f t="shared" si="110"/>
        <v>#N/A</v>
      </c>
      <c r="W163" s="1034" t="e">
        <f t="shared" si="124"/>
        <v>#N/A</v>
      </c>
      <c r="X163" s="1034" t="b">
        <f t="shared" si="125"/>
        <v>0</v>
      </c>
      <c r="Y163" s="1034">
        <f t="shared" si="126"/>
        <v>0</v>
      </c>
      <c r="Z163" s="1034">
        <f t="shared" si="127"/>
        <v>0</v>
      </c>
      <c r="AA163" s="1034">
        <f t="shared" si="111"/>
        <v>0</v>
      </c>
      <c r="AB163" s="1034">
        <f t="shared" si="112"/>
        <v>0</v>
      </c>
      <c r="AC163" s="1033">
        <f t="shared" si="128"/>
        <v>0</v>
      </c>
      <c r="AD163" s="1266">
        <f t="shared" si="113"/>
        <v>0</v>
      </c>
      <c r="AE163" s="1093">
        <f t="shared" si="129"/>
        <v>0</v>
      </c>
      <c r="AF163" s="1093">
        <f t="shared" si="130"/>
        <v>0</v>
      </c>
      <c r="AG163" s="1093">
        <f t="shared" si="114"/>
        <v>0</v>
      </c>
      <c r="AH163" s="1033" t="e">
        <f t="shared" si="115"/>
        <v>#DIV/0!</v>
      </c>
      <c r="AI163" s="1091">
        <f t="shared" si="116"/>
        <v>0</v>
      </c>
      <c r="AJ163" s="1094">
        <f t="shared" si="117"/>
        <v>0</v>
      </c>
      <c r="AK163" s="1053" t="str">
        <f t="shared" si="118"/>
        <v/>
      </c>
      <c r="AL163" s="1053"/>
      <c r="AM163" s="1290">
        <f>_xlfn.XLOOKUP(F163,Proveedores!A:A,Proveedores!G:G)</f>
        <v>0</v>
      </c>
      <c r="AN163" s="1095" t="str">
        <f t="shared" si="131"/>
        <v>OK</v>
      </c>
    </row>
    <row r="164" spans="1:40" ht="15.95">
      <c r="A164" s="1090" t="b">
        <f t="shared" si="106"/>
        <v>1</v>
      </c>
      <c r="B164" s="1091" t="b">
        <f t="shared" si="119"/>
        <v>1</v>
      </c>
      <c r="C164" s="1092" t="str">
        <f t="shared" si="120"/>
        <v>Dólares</v>
      </c>
      <c r="D164" s="11"/>
      <c r="E164" s="743"/>
      <c r="F164" s="17"/>
      <c r="G164" s="17" t="str">
        <f t="shared" si="107"/>
        <v xml:space="preserve"> </v>
      </c>
      <c r="H164" s="12">
        <v>0</v>
      </c>
      <c r="I164" s="16" t="str">
        <f>IFERROR(VLOOKUP(G164,Proveedores!B:C,2,0)," ")</f>
        <v xml:space="preserve"> </v>
      </c>
      <c r="J164" s="745">
        <v>0</v>
      </c>
      <c r="K164" s="745" t="str">
        <f t="shared" si="108"/>
        <v>Not Found</v>
      </c>
      <c r="L164" s="16">
        <f>IF(K164="Importado",Fletes!$B$66,0%)</f>
        <v>0</v>
      </c>
      <c r="M164" s="745">
        <f t="shared" si="121"/>
        <v>0</v>
      </c>
      <c r="N164" s="16">
        <f>IF(K164&lt;&gt;"Importado",0%,IF(Fletes!$B$67&lt;10,15%,IF(Fletes!$B$67&lt;20,10%,5%)))</f>
        <v>0</v>
      </c>
      <c r="O164" s="745" t="str">
        <f>IFERROR(IF(OR(F164="Offiho",F164="Lauco Sofas",F164="Requiez",F164="Labenze",F164="Sunon Mty",F164="Sonara"),(M164*(1-_xlfn.XLOOKUP(F164,Proveedores!A:A,Proveedores!I:I)))*(1+N164),((M164*(1-_xlfn.XLOOKUP(F164,Proveedores!A:A,Proveedores!I:I)))*(1+N164))+U164),"")</f>
        <v/>
      </c>
      <c r="P164" s="1031"/>
      <c r="Q164" s="1133">
        <f>IF(K164&lt;&gt;"Importado",0,IF(P164&gt;0,P164*H164,IFERROR(_xlfn.XLOOKUP(F164,Proveedores!A:A,Proveedores!F:F,0)*H164,0)))</f>
        <v>0</v>
      </c>
      <c r="R164" s="1134" t="e">
        <f t="shared" si="122"/>
        <v>#VALUE!</v>
      </c>
      <c r="S164" s="743"/>
      <c r="T164" s="1034" t="e">
        <f t="shared" si="109"/>
        <v>#N/A</v>
      </c>
      <c r="U164" s="1034" t="e">
        <f t="shared" si="123"/>
        <v>#N/A</v>
      </c>
      <c r="V164" s="1165" t="e">
        <f t="shared" si="110"/>
        <v>#N/A</v>
      </c>
      <c r="W164" s="1034" t="e">
        <f t="shared" si="124"/>
        <v>#N/A</v>
      </c>
      <c r="X164" s="1034" t="b">
        <f t="shared" si="125"/>
        <v>0</v>
      </c>
      <c r="Y164" s="1034">
        <f t="shared" si="126"/>
        <v>0</v>
      </c>
      <c r="Z164" s="1034">
        <f t="shared" si="127"/>
        <v>0</v>
      </c>
      <c r="AA164" s="1034">
        <f t="shared" si="111"/>
        <v>0</v>
      </c>
      <c r="AB164" s="1034">
        <f t="shared" si="112"/>
        <v>0</v>
      </c>
      <c r="AC164" s="1033">
        <f t="shared" si="128"/>
        <v>0</v>
      </c>
      <c r="AD164" s="1266">
        <f t="shared" si="113"/>
        <v>0</v>
      </c>
      <c r="AE164" s="1093">
        <f t="shared" si="129"/>
        <v>0</v>
      </c>
      <c r="AF164" s="1093">
        <f t="shared" si="130"/>
        <v>0</v>
      </c>
      <c r="AG164" s="1093">
        <f t="shared" si="114"/>
        <v>0</v>
      </c>
      <c r="AH164" s="1033" t="e">
        <f t="shared" si="115"/>
        <v>#DIV/0!</v>
      </c>
      <c r="AI164" s="1091">
        <f t="shared" si="116"/>
        <v>0</v>
      </c>
      <c r="AJ164" s="1094">
        <f t="shared" si="117"/>
        <v>0</v>
      </c>
      <c r="AK164" s="1053" t="str">
        <f t="shared" si="118"/>
        <v/>
      </c>
      <c r="AL164" s="1053"/>
      <c r="AM164" s="1290">
        <f>_xlfn.XLOOKUP(F164,Proveedores!A:A,Proveedores!G:G)</f>
        <v>0</v>
      </c>
      <c r="AN164" s="1095" t="str">
        <f t="shared" si="131"/>
        <v>OK</v>
      </c>
    </row>
    <row r="165" spans="1:40" ht="15.95">
      <c r="A165" s="1090" t="b">
        <f t="shared" si="106"/>
        <v>1</v>
      </c>
      <c r="B165" s="1091" t="b">
        <f t="shared" si="119"/>
        <v>1</v>
      </c>
      <c r="C165" s="1092" t="str">
        <f t="shared" si="120"/>
        <v>Dólares</v>
      </c>
      <c r="D165" s="13"/>
      <c r="E165" s="743"/>
      <c r="F165" s="17"/>
      <c r="G165" s="17" t="str">
        <f t="shared" si="107"/>
        <v xml:space="preserve"> </v>
      </c>
      <c r="H165" s="12">
        <v>0</v>
      </c>
      <c r="I165" s="16" t="str">
        <f>IFERROR(VLOOKUP(G165,Proveedores!B:C,2,0)," ")</f>
        <v xml:space="preserve"> </v>
      </c>
      <c r="J165" s="745">
        <v>0</v>
      </c>
      <c r="K165" s="745" t="str">
        <f t="shared" si="108"/>
        <v>Not Found</v>
      </c>
      <c r="L165" s="16">
        <f>IF(K165="Importado",Fletes!$B$66,0%)</f>
        <v>0</v>
      </c>
      <c r="M165" s="745">
        <f t="shared" si="121"/>
        <v>0</v>
      </c>
      <c r="N165" s="16">
        <f>IF(K165&lt;&gt;"Importado",0%,IF(Fletes!$B$67&lt;10,15%,IF(Fletes!$B$67&lt;20,10%,5%)))</f>
        <v>0</v>
      </c>
      <c r="O165" s="745" t="str">
        <f>IFERROR(IF(OR(F165="Offiho",F165="Lauco Sofas",F165="Requiez",F165="Labenze",F165="Sunon Mty",F165="Sonara"),(M165*(1-_xlfn.XLOOKUP(F165,Proveedores!A:A,Proveedores!I:I)))*(1+N165),((M165*(1-_xlfn.XLOOKUP(F165,Proveedores!A:A,Proveedores!I:I)))*(1+N165))+U165),"")</f>
        <v/>
      </c>
      <c r="P165" s="1031"/>
      <c r="Q165" s="1133">
        <f>IF(K165&lt;&gt;"Importado",0,IF(P165&gt;0,P165*H165,IFERROR(_xlfn.XLOOKUP(F165,Proveedores!A:A,Proveedores!F:F,0)*H165,0)))</f>
        <v>0</v>
      </c>
      <c r="R165" s="1134" t="e">
        <f t="shared" si="122"/>
        <v>#VALUE!</v>
      </c>
      <c r="S165" s="743"/>
      <c r="T165" s="1034" t="e">
        <f t="shared" si="109"/>
        <v>#N/A</v>
      </c>
      <c r="U165" s="1034" t="e">
        <f t="shared" si="123"/>
        <v>#N/A</v>
      </c>
      <c r="V165" s="1165" t="e">
        <f t="shared" si="110"/>
        <v>#N/A</v>
      </c>
      <c r="W165" s="1034" t="e">
        <f t="shared" si="124"/>
        <v>#N/A</v>
      </c>
      <c r="X165" s="1034" t="b">
        <f t="shared" si="125"/>
        <v>0</v>
      </c>
      <c r="Y165" s="1034">
        <f t="shared" si="126"/>
        <v>0</v>
      </c>
      <c r="Z165" s="1034">
        <f t="shared" si="127"/>
        <v>0</v>
      </c>
      <c r="AA165" s="1034">
        <f t="shared" si="111"/>
        <v>0</v>
      </c>
      <c r="AB165" s="1034">
        <f t="shared" si="112"/>
        <v>0</v>
      </c>
      <c r="AC165" s="1033">
        <f t="shared" si="128"/>
        <v>0</v>
      </c>
      <c r="AD165" s="1266">
        <f t="shared" si="113"/>
        <v>0</v>
      </c>
      <c r="AE165" s="1093">
        <f t="shared" si="129"/>
        <v>0</v>
      </c>
      <c r="AF165" s="1093">
        <f t="shared" si="130"/>
        <v>0</v>
      </c>
      <c r="AG165" s="1093">
        <f t="shared" si="114"/>
        <v>0</v>
      </c>
      <c r="AH165" s="1033" t="e">
        <f t="shared" si="115"/>
        <v>#DIV/0!</v>
      </c>
      <c r="AI165" s="1091">
        <f t="shared" si="116"/>
        <v>0</v>
      </c>
      <c r="AJ165" s="1094">
        <f t="shared" si="117"/>
        <v>0</v>
      </c>
      <c r="AK165" s="1053" t="str">
        <f t="shared" si="118"/>
        <v/>
      </c>
      <c r="AL165" s="1053"/>
      <c r="AM165" s="1290">
        <f>_xlfn.XLOOKUP(F165,Proveedores!A:A,Proveedores!G:G)</f>
        <v>0</v>
      </c>
      <c r="AN165" s="1095" t="str">
        <f t="shared" si="131"/>
        <v>OK</v>
      </c>
    </row>
    <row r="166" spans="1:40" ht="15.95">
      <c r="A166" s="1090" t="b">
        <f t="shared" si="106"/>
        <v>1</v>
      </c>
      <c r="B166" s="1091" t="b">
        <f t="shared" si="119"/>
        <v>1</v>
      </c>
      <c r="C166" s="1092" t="str">
        <f t="shared" si="120"/>
        <v>Dólares</v>
      </c>
      <c r="D166" s="13"/>
      <c r="E166" s="743"/>
      <c r="F166" s="17"/>
      <c r="G166" s="17" t="str">
        <f t="shared" si="107"/>
        <v xml:space="preserve"> </v>
      </c>
      <c r="H166" s="12">
        <v>0</v>
      </c>
      <c r="I166" s="16" t="str">
        <f>IFERROR(VLOOKUP(G166,Proveedores!B:C,2,0)," ")</f>
        <v xml:space="preserve"> </v>
      </c>
      <c r="J166" s="745">
        <v>0</v>
      </c>
      <c r="K166" s="745" t="str">
        <f t="shared" si="108"/>
        <v>Not Found</v>
      </c>
      <c r="L166" s="16">
        <f>IF(K166="Importado",Fletes!$B$66,0%)</f>
        <v>0</v>
      </c>
      <c r="M166" s="745">
        <f t="shared" si="121"/>
        <v>0</v>
      </c>
      <c r="N166" s="16">
        <f>IF(K166&lt;&gt;"Importado",0%,IF(Fletes!$B$67&lt;10,15%,IF(Fletes!$B$67&lt;20,10%,5%)))</f>
        <v>0</v>
      </c>
      <c r="O166" s="745" t="str">
        <f>IFERROR(IF(OR(F166="Offiho",F166="Lauco Sofas",F166="Requiez",F166="Labenze",F166="Sunon Mty",F166="Sonara"),(M166*(1-_xlfn.XLOOKUP(F166,Proveedores!A:A,Proveedores!I:I)))*(1+N166),((M166*(1-_xlfn.XLOOKUP(F166,Proveedores!A:A,Proveedores!I:I)))*(1+N166))+U166),"")</f>
        <v/>
      </c>
      <c r="P166" s="1031"/>
      <c r="Q166" s="1133">
        <f>IF(K166&lt;&gt;"Importado",0,IF(P166&gt;0,P166*H166,IFERROR(_xlfn.XLOOKUP(F166,Proveedores!A:A,Proveedores!F:F,0)*H166,0)))</f>
        <v>0</v>
      </c>
      <c r="R166" s="1134" t="e">
        <f t="shared" si="122"/>
        <v>#VALUE!</v>
      </c>
      <c r="S166" s="743"/>
      <c r="T166" s="1034" t="e">
        <f t="shared" si="109"/>
        <v>#N/A</v>
      </c>
      <c r="U166" s="1034" t="e">
        <f t="shared" si="123"/>
        <v>#N/A</v>
      </c>
      <c r="V166" s="1165" t="e">
        <f t="shared" si="110"/>
        <v>#N/A</v>
      </c>
      <c r="W166" s="1034" t="e">
        <f t="shared" si="124"/>
        <v>#N/A</v>
      </c>
      <c r="X166" s="1034" t="b">
        <f t="shared" si="125"/>
        <v>0</v>
      </c>
      <c r="Y166" s="1034">
        <f t="shared" si="126"/>
        <v>0</v>
      </c>
      <c r="Z166" s="1034">
        <f t="shared" si="127"/>
        <v>0</v>
      </c>
      <c r="AA166" s="1034">
        <f t="shared" si="111"/>
        <v>0</v>
      </c>
      <c r="AB166" s="1034">
        <f t="shared" si="112"/>
        <v>0</v>
      </c>
      <c r="AC166" s="1033">
        <f t="shared" si="128"/>
        <v>0</v>
      </c>
      <c r="AD166" s="1266">
        <f t="shared" si="113"/>
        <v>0</v>
      </c>
      <c r="AE166" s="1093">
        <f t="shared" si="129"/>
        <v>0</v>
      </c>
      <c r="AF166" s="1093">
        <f t="shared" si="130"/>
        <v>0</v>
      </c>
      <c r="AG166" s="1093">
        <f t="shared" si="114"/>
        <v>0</v>
      </c>
      <c r="AH166" s="1033" t="e">
        <f t="shared" si="115"/>
        <v>#DIV/0!</v>
      </c>
      <c r="AI166" s="1091">
        <f t="shared" si="116"/>
        <v>0</v>
      </c>
      <c r="AJ166" s="1094">
        <f t="shared" si="117"/>
        <v>0</v>
      </c>
      <c r="AK166" s="1053" t="str">
        <f t="shared" si="118"/>
        <v/>
      </c>
      <c r="AL166" s="1053"/>
      <c r="AM166" s="1290">
        <f>_xlfn.XLOOKUP(F166,Proveedores!A:A,Proveedores!G:G)</f>
        <v>0</v>
      </c>
      <c r="AN166" s="1095" t="str">
        <f t="shared" si="131"/>
        <v>OK</v>
      </c>
    </row>
    <row r="167" spans="1:40" ht="15.95">
      <c r="A167" s="1090" t="b">
        <f t="shared" si="106"/>
        <v>1</v>
      </c>
      <c r="B167" s="1091" t="b">
        <f t="shared" si="119"/>
        <v>1</v>
      </c>
      <c r="C167" s="1092" t="str">
        <f t="shared" si="120"/>
        <v>Dólares</v>
      </c>
      <c r="D167" s="13"/>
      <c r="E167" s="743"/>
      <c r="F167" s="17"/>
      <c r="G167" s="17" t="str">
        <f t="shared" si="107"/>
        <v xml:space="preserve"> </v>
      </c>
      <c r="H167" s="12">
        <v>0</v>
      </c>
      <c r="I167" s="16" t="str">
        <f>IFERROR(VLOOKUP(G167,Proveedores!B:C,2,0)," ")</f>
        <v xml:space="preserve"> </v>
      </c>
      <c r="J167" s="745">
        <v>0</v>
      </c>
      <c r="K167" s="745" t="str">
        <f t="shared" si="108"/>
        <v>Not Found</v>
      </c>
      <c r="L167" s="16">
        <f>IF(K167="Importado",Fletes!$B$66,0%)</f>
        <v>0</v>
      </c>
      <c r="M167" s="745">
        <f t="shared" si="121"/>
        <v>0</v>
      </c>
      <c r="N167" s="16">
        <f>IF(K167&lt;&gt;"Importado",0%,IF(Fletes!$B$67&lt;10,15%,IF(Fletes!$B$67&lt;20,10%,5%)))</f>
        <v>0</v>
      </c>
      <c r="O167" s="745" t="str">
        <f>IFERROR(IF(OR(F167="Offiho",F167="Lauco Sofas",F167="Requiez",F167="Labenze",F167="Sunon Mty",F167="Sonara"),(M167*(1-_xlfn.XLOOKUP(F167,Proveedores!A:A,Proveedores!I:I)))*(1+N167),((M167*(1-_xlfn.XLOOKUP(F167,Proveedores!A:A,Proveedores!I:I)))*(1+N167))+U167),"")</f>
        <v/>
      </c>
      <c r="P167" s="1031"/>
      <c r="Q167" s="1133">
        <f>IF(K167&lt;&gt;"Importado",0,IF(P167&gt;0,P167*H167,IFERROR(_xlfn.XLOOKUP(F167,Proveedores!A:A,Proveedores!F:F,0)*H167,0)))</f>
        <v>0</v>
      </c>
      <c r="R167" s="1134" t="e">
        <f t="shared" si="122"/>
        <v>#VALUE!</v>
      </c>
      <c r="S167" s="743"/>
      <c r="T167" s="1034" t="e">
        <f t="shared" si="109"/>
        <v>#N/A</v>
      </c>
      <c r="U167" s="1034" t="e">
        <f t="shared" si="123"/>
        <v>#N/A</v>
      </c>
      <c r="V167" s="1165" t="e">
        <f t="shared" si="110"/>
        <v>#N/A</v>
      </c>
      <c r="W167" s="1034" t="e">
        <f t="shared" si="124"/>
        <v>#N/A</v>
      </c>
      <c r="X167" s="1034" t="b">
        <f t="shared" si="125"/>
        <v>0</v>
      </c>
      <c r="Y167" s="1034">
        <f t="shared" si="126"/>
        <v>0</v>
      </c>
      <c r="Z167" s="1034">
        <f t="shared" si="127"/>
        <v>0</v>
      </c>
      <c r="AA167" s="1034">
        <f t="shared" si="111"/>
        <v>0</v>
      </c>
      <c r="AB167" s="1034">
        <f t="shared" si="112"/>
        <v>0</v>
      </c>
      <c r="AC167" s="1033">
        <f t="shared" si="128"/>
        <v>0</v>
      </c>
      <c r="AD167" s="1266">
        <f t="shared" si="113"/>
        <v>0</v>
      </c>
      <c r="AE167" s="1093">
        <f t="shared" si="129"/>
        <v>0</v>
      </c>
      <c r="AF167" s="1093">
        <f t="shared" si="130"/>
        <v>0</v>
      </c>
      <c r="AG167" s="1093">
        <f t="shared" si="114"/>
        <v>0</v>
      </c>
      <c r="AH167" s="1033" t="e">
        <f t="shared" si="115"/>
        <v>#DIV/0!</v>
      </c>
      <c r="AI167" s="1091">
        <f t="shared" si="116"/>
        <v>0</v>
      </c>
      <c r="AJ167" s="1094">
        <f t="shared" si="117"/>
        <v>0</v>
      </c>
      <c r="AK167" s="1053" t="str">
        <f t="shared" si="118"/>
        <v/>
      </c>
      <c r="AL167" s="1053"/>
      <c r="AM167" s="1290">
        <f>_xlfn.XLOOKUP(F167,Proveedores!A:A,Proveedores!G:G)</f>
        <v>0</v>
      </c>
      <c r="AN167" s="1095" t="str">
        <f t="shared" si="131"/>
        <v>OK</v>
      </c>
    </row>
    <row r="168" spans="1:40" ht="15.95">
      <c r="A168" s="1090" t="b">
        <f t="shared" si="106"/>
        <v>1</v>
      </c>
      <c r="B168" s="1091" t="b">
        <f t="shared" si="119"/>
        <v>1</v>
      </c>
      <c r="C168" s="1092" t="str">
        <f t="shared" si="120"/>
        <v>Dólares</v>
      </c>
      <c r="D168" s="13"/>
      <c r="E168" s="743"/>
      <c r="F168" s="17"/>
      <c r="G168" s="17" t="str">
        <f t="shared" si="107"/>
        <v xml:space="preserve"> </v>
      </c>
      <c r="H168" s="12">
        <v>0</v>
      </c>
      <c r="I168" s="16" t="str">
        <f>IFERROR(VLOOKUP(G168,Proveedores!B:C,2,0)," ")</f>
        <v xml:space="preserve"> </v>
      </c>
      <c r="J168" s="745">
        <v>0</v>
      </c>
      <c r="K168" s="745" t="str">
        <f t="shared" si="108"/>
        <v>Not Found</v>
      </c>
      <c r="L168" s="16">
        <f>IF(K168="Importado",Fletes!$B$66,0%)</f>
        <v>0</v>
      </c>
      <c r="M168" s="745">
        <f t="shared" si="121"/>
        <v>0</v>
      </c>
      <c r="N168" s="16">
        <f>IF(K168&lt;&gt;"Importado",0%,IF(Fletes!$B$67&lt;10,15%,IF(Fletes!$B$67&lt;20,10%,5%)))</f>
        <v>0</v>
      </c>
      <c r="O168" s="745" t="str">
        <f>IFERROR(IF(OR(F168="Offiho",F168="Lauco Sofas",F168="Requiez",F168="Labenze",F168="Sunon Mty",F168="Sonara"),(M168*(1-_xlfn.XLOOKUP(F168,Proveedores!A:A,Proveedores!I:I)))*(1+N168),((M168*(1-_xlfn.XLOOKUP(F168,Proveedores!A:A,Proveedores!I:I)))*(1+N168))+U168),"")</f>
        <v/>
      </c>
      <c r="P168" s="1031"/>
      <c r="Q168" s="1133">
        <f>IF(K168&lt;&gt;"Importado",0,IF(P168&gt;0,P168*H168,IFERROR(_xlfn.XLOOKUP(F168,Proveedores!A:A,Proveedores!F:F,0)*H168,0)))</f>
        <v>0</v>
      </c>
      <c r="R168" s="1134" t="e">
        <f t="shared" si="122"/>
        <v>#VALUE!</v>
      </c>
      <c r="S168" s="743"/>
      <c r="T168" s="1034" t="e">
        <f t="shared" si="109"/>
        <v>#N/A</v>
      </c>
      <c r="U168" s="1034" t="e">
        <f t="shared" si="123"/>
        <v>#N/A</v>
      </c>
      <c r="V168" s="1165" t="e">
        <f t="shared" si="110"/>
        <v>#N/A</v>
      </c>
      <c r="W168" s="1034" t="e">
        <f t="shared" si="124"/>
        <v>#N/A</v>
      </c>
      <c r="X168" s="1034" t="b">
        <f t="shared" si="125"/>
        <v>0</v>
      </c>
      <c r="Y168" s="1034">
        <f t="shared" si="126"/>
        <v>0</v>
      </c>
      <c r="Z168" s="1034">
        <f t="shared" si="127"/>
        <v>0</v>
      </c>
      <c r="AA168" s="1034">
        <f t="shared" si="111"/>
        <v>0</v>
      </c>
      <c r="AB168" s="1034">
        <f t="shared" si="112"/>
        <v>0</v>
      </c>
      <c r="AC168" s="1033">
        <f t="shared" si="128"/>
        <v>0</v>
      </c>
      <c r="AD168" s="1266">
        <f t="shared" si="113"/>
        <v>0</v>
      </c>
      <c r="AE168" s="1093">
        <f t="shared" si="129"/>
        <v>0</v>
      </c>
      <c r="AF168" s="1093">
        <f t="shared" si="130"/>
        <v>0</v>
      </c>
      <c r="AG168" s="1093">
        <f t="shared" si="114"/>
        <v>0</v>
      </c>
      <c r="AH168" s="1033" t="e">
        <f t="shared" si="115"/>
        <v>#DIV/0!</v>
      </c>
      <c r="AI168" s="1091">
        <f t="shared" si="116"/>
        <v>0</v>
      </c>
      <c r="AJ168" s="1094">
        <f t="shared" si="117"/>
        <v>0</v>
      </c>
      <c r="AK168" s="1053" t="str">
        <f t="shared" si="118"/>
        <v/>
      </c>
      <c r="AL168" s="1053"/>
      <c r="AM168" s="1290">
        <f>_xlfn.XLOOKUP(F168,Proveedores!A:A,Proveedores!G:G)</f>
        <v>0</v>
      </c>
      <c r="AN168" s="1095" t="str">
        <f t="shared" si="131"/>
        <v>OK</v>
      </c>
    </row>
    <row r="169" spans="1:40" ht="15.95">
      <c r="A169" s="1090" t="b">
        <f t="shared" si="106"/>
        <v>1</v>
      </c>
      <c r="B169" s="1091" t="b">
        <f t="shared" si="119"/>
        <v>1</v>
      </c>
      <c r="C169" s="1092" t="str">
        <f t="shared" si="120"/>
        <v>Dólares</v>
      </c>
      <c r="D169" s="13"/>
      <c r="E169" s="743"/>
      <c r="F169" s="17"/>
      <c r="G169" s="17" t="str">
        <f t="shared" si="107"/>
        <v xml:space="preserve"> </v>
      </c>
      <c r="H169" s="12">
        <v>0</v>
      </c>
      <c r="I169" s="16" t="str">
        <f>IFERROR(VLOOKUP(G169,Proveedores!B:C,2,0)," ")</f>
        <v xml:space="preserve"> </v>
      </c>
      <c r="J169" s="745">
        <v>0</v>
      </c>
      <c r="K169" s="745" t="str">
        <f t="shared" si="108"/>
        <v>Not Found</v>
      </c>
      <c r="L169" s="16">
        <f>IF(K169="Importado",Fletes!$B$66,0%)</f>
        <v>0</v>
      </c>
      <c r="M169" s="745">
        <f t="shared" si="121"/>
        <v>0</v>
      </c>
      <c r="N169" s="16">
        <f>IF(K169&lt;&gt;"Importado",0%,IF(Fletes!$B$67&lt;10,15%,IF(Fletes!$B$67&lt;20,10%,5%)))</f>
        <v>0</v>
      </c>
      <c r="O169" s="745" t="str">
        <f>IFERROR(IF(OR(F169="Offiho",F169="Lauco Sofas",F169="Requiez",F169="Labenze",F169="Sunon Mty",F169="Sonara"),(M169*(1-_xlfn.XLOOKUP(F169,Proveedores!A:A,Proveedores!I:I)))*(1+N169),((M169*(1-_xlfn.XLOOKUP(F169,Proveedores!A:A,Proveedores!I:I)))*(1+N169))+U169),"")</f>
        <v/>
      </c>
      <c r="P169" s="1031"/>
      <c r="Q169" s="1133">
        <f>IF(K169&lt;&gt;"Importado",0,IF(P169&gt;0,P169*H169,IFERROR(_xlfn.XLOOKUP(F169,Proveedores!A:A,Proveedores!F:F,0)*H169,0)))</f>
        <v>0</v>
      </c>
      <c r="R169" s="1134" t="e">
        <f t="shared" si="122"/>
        <v>#VALUE!</v>
      </c>
      <c r="S169" s="743"/>
      <c r="T169" s="1034" t="e">
        <f t="shared" si="109"/>
        <v>#N/A</v>
      </c>
      <c r="U169" s="1034" t="e">
        <f t="shared" si="123"/>
        <v>#N/A</v>
      </c>
      <c r="V169" s="1165" t="e">
        <f t="shared" si="110"/>
        <v>#N/A</v>
      </c>
      <c r="W169" s="1034" t="e">
        <f t="shared" si="124"/>
        <v>#N/A</v>
      </c>
      <c r="X169" s="1034" t="b">
        <f t="shared" si="125"/>
        <v>0</v>
      </c>
      <c r="Y169" s="1034">
        <f t="shared" si="126"/>
        <v>0</v>
      </c>
      <c r="Z169" s="1034">
        <f t="shared" si="127"/>
        <v>0</v>
      </c>
      <c r="AA169" s="1034">
        <f t="shared" si="111"/>
        <v>0</v>
      </c>
      <c r="AB169" s="1034">
        <f t="shared" si="112"/>
        <v>0</v>
      </c>
      <c r="AC169" s="1033">
        <f t="shared" si="128"/>
        <v>0</v>
      </c>
      <c r="AD169" s="1266">
        <f t="shared" si="113"/>
        <v>0</v>
      </c>
      <c r="AE169" s="1093">
        <f t="shared" si="129"/>
        <v>0</v>
      </c>
      <c r="AF169" s="1093">
        <f t="shared" si="130"/>
        <v>0</v>
      </c>
      <c r="AG169" s="1093">
        <f t="shared" si="114"/>
        <v>0</v>
      </c>
      <c r="AH169" s="1033" t="e">
        <f t="shared" si="115"/>
        <v>#DIV/0!</v>
      </c>
      <c r="AI169" s="1091">
        <f t="shared" si="116"/>
        <v>0</v>
      </c>
      <c r="AJ169" s="1094">
        <f t="shared" si="117"/>
        <v>0</v>
      </c>
      <c r="AK169" s="1053" t="str">
        <f t="shared" si="118"/>
        <v/>
      </c>
      <c r="AL169" s="1053"/>
      <c r="AM169" s="1290">
        <f>_xlfn.XLOOKUP(F169,Proveedores!A:A,Proveedores!G:G)</f>
        <v>0</v>
      </c>
      <c r="AN169" s="1095" t="str">
        <f t="shared" si="131"/>
        <v>OK</v>
      </c>
    </row>
    <row r="170" spans="1:40" ht="15.95">
      <c r="A170" s="1090" t="b">
        <f t="shared" si="106"/>
        <v>1</v>
      </c>
      <c r="B170" s="1091" t="b">
        <f t="shared" si="119"/>
        <v>1</v>
      </c>
      <c r="C170" s="1092" t="str">
        <f t="shared" si="120"/>
        <v>Dólares</v>
      </c>
      <c r="D170" s="13"/>
      <c r="E170" s="743"/>
      <c r="F170" s="17"/>
      <c r="G170" s="17" t="str">
        <f t="shared" si="107"/>
        <v xml:space="preserve"> </v>
      </c>
      <c r="H170" s="12">
        <v>0</v>
      </c>
      <c r="I170" s="16" t="str">
        <f>IFERROR(VLOOKUP(G170,Proveedores!B:C,2,0)," ")</f>
        <v xml:space="preserve"> </v>
      </c>
      <c r="J170" s="745">
        <v>0</v>
      </c>
      <c r="K170" s="745" t="str">
        <f t="shared" si="108"/>
        <v>Not Found</v>
      </c>
      <c r="L170" s="16">
        <f>IF(K170="Importado",Fletes!$B$66,0%)</f>
        <v>0</v>
      </c>
      <c r="M170" s="745">
        <f t="shared" si="121"/>
        <v>0</v>
      </c>
      <c r="N170" s="16">
        <f>IF(K170&lt;&gt;"Importado",0%,IF(Fletes!$B$67&lt;10,15%,IF(Fletes!$B$67&lt;20,10%,5%)))</f>
        <v>0</v>
      </c>
      <c r="O170" s="745" t="str">
        <f>IFERROR(IF(OR(F170="Offiho",F170="Lauco Sofas",F170="Requiez",F170="Labenze",F170="Sunon Mty",F170="Sonara"),(M170*(1-_xlfn.XLOOKUP(F170,Proveedores!A:A,Proveedores!I:I)))*(1+N170),((M170*(1-_xlfn.XLOOKUP(F170,Proveedores!A:A,Proveedores!I:I)))*(1+N170))+U170),"")</f>
        <v/>
      </c>
      <c r="P170" s="1031"/>
      <c r="Q170" s="1133">
        <f>IF(K170&lt;&gt;"Importado",0,IF(P170&gt;0,P170*H170,IFERROR(_xlfn.XLOOKUP(F170,Proveedores!A:A,Proveedores!F:F,0)*H170,0)))</f>
        <v>0</v>
      </c>
      <c r="R170" s="1134" t="e">
        <f t="shared" si="122"/>
        <v>#VALUE!</v>
      </c>
      <c r="S170" s="743"/>
      <c r="T170" s="1034" t="e">
        <f t="shared" si="109"/>
        <v>#N/A</v>
      </c>
      <c r="U170" s="1034" t="e">
        <f t="shared" si="123"/>
        <v>#N/A</v>
      </c>
      <c r="V170" s="1165" t="e">
        <f t="shared" si="110"/>
        <v>#N/A</v>
      </c>
      <c r="W170" s="1034" t="e">
        <f t="shared" si="124"/>
        <v>#N/A</v>
      </c>
      <c r="X170" s="1034" t="b">
        <f t="shared" si="125"/>
        <v>0</v>
      </c>
      <c r="Y170" s="1034">
        <f t="shared" si="126"/>
        <v>0</v>
      </c>
      <c r="Z170" s="1034">
        <f t="shared" si="127"/>
        <v>0</v>
      </c>
      <c r="AA170" s="1034">
        <f t="shared" si="111"/>
        <v>0</v>
      </c>
      <c r="AB170" s="1034">
        <f t="shared" si="112"/>
        <v>0</v>
      </c>
      <c r="AC170" s="1033">
        <f t="shared" si="128"/>
        <v>0</v>
      </c>
      <c r="AD170" s="1266">
        <f t="shared" si="113"/>
        <v>0</v>
      </c>
      <c r="AE170" s="1093">
        <f t="shared" si="129"/>
        <v>0</v>
      </c>
      <c r="AF170" s="1093">
        <f t="shared" si="130"/>
        <v>0</v>
      </c>
      <c r="AG170" s="1093">
        <f t="shared" si="114"/>
        <v>0</v>
      </c>
      <c r="AH170" s="1033" t="e">
        <f t="shared" si="115"/>
        <v>#DIV/0!</v>
      </c>
      <c r="AI170" s="1091">
        <f t="shared" si="116"/>
        <v>0</v>
      </c>
      <c r="AJ170" s="1094">
        <f t="shared" si="117"/>
        <v>0</v>
      </c>
      <c r="AK170" s="1053" t="str">
        <f t="shared" si="118"/>
        <v/>
      </c>
      <c r="AL170" s="1053"/>
      <c r="AM170" s="1290">
        <f>_xlfn.XLOOKUP(F170,Proveedores!A:A,Proveedores!G:G)</f>
        <v>0</v>
      </c>
      <c r="AN170" s="1095" t="str">
        <f t="shared" si="131"/>
        <v>OK</v>
      </c>
    </row>
    <row r="171" spans="1:40" ht="15.95">
      <c r="A171" s="1090" t="b">
        <f t="shared" si="106"/>
        <v>1</v>
      </c>
      <c r="B171" s="1091" t="b">
        <f t="shared" si="119"/>
        <v>1</v>
      </c>
      <c r="C171" s="1092" t="str">
        <f t="shared" si="120"/>
        <v>Dólares</v>
      </c>
      <c r="D171" s="13"/>
      <c r="E171" s="743"/>
      <c r="F171" s="17"/>
      <c r="G171" s="17" t="str">
        <f t="shared" si="107"/>
        <v xml:space="preserve"> </v>
      </c>
      <c r="H171" s="12">
        <v>0</v>
      </c>
      <c r="I171" s="16" t="str">
        <f>IFERROR(VLOOKUP(G171,Proveedores!B:C,2,0)," ")</f>
        <v xml:space="preserve"> </v>
      </c>
      <c r="J171" s="745">
        <v>0</v>
      </c>
      <c r="K171" s="745" t="str">
        <f t="shared" si="108"/>
        <v>Not Found</v>
      </c>
      <c r="L171" s="16">
        <f>IF(K171="Importado",Fletes!$B$66,0%)</f>
        <v>0</v>
      </c>
      <c r="M171" s="745">
        <f t="shared" si="121"/>
        <v>0</v>
      </c>
      <c r="N171" s="16">
        <f>IF(K171&lt;&gt;"Importado",0%,IF(Fletes!$B$67&lt;10,15%,IF(Fletes!$B$67&lt;20,10%,5%)))</f>
        <v>0</v>
      </c>
      <c r="O171" s="745" t="str">
        <f>IFERROR(IF(OR(F171="Offiho",F171="Lauco Sofas",F171="Requiez",F171="Labenze",F171="Sunon Mty",F171="Sonara"),(M171*(1-_xlfn.XLOOKUP(F171,Proveedores!A:A,Proveedores!I:I)))*(1+N171),((M171*(1-_xlfn.XLOOKUP(F171,Proveedores!A:A,Proveedores!I:I)))*(1+N171))+U171),"")</f>
        <v/>
      </c>
      <c r="P171" s="1031"/>
      <c r="Q171" s="1133">
        <f>IF(K171&lt;&gt;"Importado",0,IF(P171&gt;0,P171*H171,IFERROR(_xlfn.XLOOKUP(F171,Proveedores!A:A,Proveedores!F:F,0)*H171,0)))</f>
        <v>0</v>
      </c>
      <c r="R171" s="1134" t="e">
        <f t="shared" si="122"/>
        <v>#VALUE!</v>
      </c>
      <c r="S171" s="743"/>
      <c r="T171" s="1034" t="e">
        <f t="shared" si="109"/>
        <v>#N/A</v>
      </c>
      <c r="U171" s="1034" t="e">
        <f t="shared" si="123"/>
        <v>#N/A</v>
      </c>
      <c r="V171" s="1165" t="e">
        <f t="shared" si="110"/>
        <v>#N/A</v>
      </c>
      <c r="W171" s="1034" t="e">
        <f t="shared" si="124"/>
        <v>#N/A</v>
      </c>
      <c r="X171" s="1034" t="b">
        <f t="shared" si="125"/>
        <v>0</v>
      </c>
      <c r="Y171" s="1034">
        <f t="shared" si="126"/>
        <v>0</v>
      </c>
      <c r="Z171" s="1034">
        <f t="shared" si="127"/>
        <v>0</v>
      </c>
      <c r="AA171" s="1034">
        <f t="shared" si="111"/>
        <v>0</v>
      </c>
      <c r="AB171" s="1034">
        <f t="shared" si="112"/>
        <v>0</v>
      </c>
      <c r="AC171" s="1033">
        <f t="shared" si="128"/>
        <v>0</v>
      </c>
      <c r="AD171" s="1266">
        <f t="shared" si="113"/>
        <v>0</v>
      </c>
      <c r="AE171" s="1093">
        <f t="shared" si="129"/>
        <v>0</v>
      </c>
      <c r="AF171" s="1093">
        <f t="shared" si="130"/>
        <v>0</v>
      </c>
      <c r="AG171" s="1093">
        <f t="shared" si="114"/>
        <v>0</v>
      </c>
      <c r="AH171" s="1033" t="e">
        <f t="shared" si="115"/>
        <v>#DIV/0!</v>
      </c>
      <c r="AI171" s="1091">
        <f t="shared" si="116"/>
        <v>0</v>
      </c>
      <c r="AJ171" s="1094">
        <f t="shared" si="117"/>
        <v>0</v>
      </c>
      <c r="AK171" s="1053" t="str">
        <f t="shared" si="118"/>
        <v/>
      </c>
      <c r="AL171" s="1053"/>
      <c r="AM171" s="1290">
        <f>_xlfn.XLOOKUP(F171,Proveedores!A:A,Proveedores!G:G)</f>
        <v>0</v>
      </c>
      <c r="AN171" s="1095" t="str">
        <f t="shared" si="131"/>
        <v>OK</v>
      </c>
    </row>
    <row r="172" spans="1:40" ht="15.95">
      <c r="A172" s="1090" t="b">
        <f t="shared" si="106"/>
        <v>1</v>
      </c>
      <c r="B172" s="1091" t="b">
        <f t="shared" si="119"/>
        <v>1</v>
      </c>
      <c r="C172" s="1092" t="str">
        <f t="shared" si="120"/>
        <v>Dólares</v>
      </c>
      <c r="D172" s="14"/>
      <c r="E172" s="743"/>
      <c r="F172" s="17"/>
      <c r="G172" s="17" t="str">
        <f t="shared" si="107"/>
        <v xml:space="preserve"> </v>
      </c>
      <c r="H172" s="12">
        <v>0</v>
      </c>
      <c r="I172" s="16" t="str">
        <f>IFERROR(VLOOKUP(G172,Proveedores!B:C,2,0)," ")</f>
        <v xml:space="preserve"> </v>
      </c>
      <c r="J172" s="745">
        <v>0</v>
      </c>
      <c r="K172" s="745" t="str">
        <f t="shared" si="108"/>
        <v>Not Found</v>
      </c>
      <c r="L172" s="16">
        <f>IF(K172="Importado",Fletes!$B$66,0%)</f>
        <v>0</v>
      </c>
      <c r="M172" s="745">
        <f t="shared" si="121"/>
        <v>0</v>
      </c>
      <c r="N172" s="16">
        <f>IF(K172&lt;&gt;"Importado",0%,IF(Fletes!$B$67&lt;10,15%,IF(Fletes!$B$67&lt;20,10%,5%)))</f>
        <v>0</v>
      </c>
      <c r="O172" s="745" t="str">
        <f>IFERROR(IF(OR(F172="Offiho",F172="Lauco Sofas",F172="Requiez",F172="Labenze",F172="Sunon Mty",F172="Sonara"),(M172*(1-_xlfn.XLOOKUP(F172,Proveedores!A:A,Proveedores!I:I)))*(1+N172),((M172*(1-_xlfn.XLOOKUP(F172,Proveedores!A:A,Proveedores!I:I)))*(1+N172))+U172),"")</f>
        <v/>
      </c>
      <c r="P172" s="1031"/>
      <c r="Q172" s="1133">
        <f>IF(K172&lt;&gt;"Importado",0,IF(P172&gt;0,P172*H172,IFERROR(_xlfn.XLOOKUP(F172,Proveedores!A:A,Proveedores!F:F,0)*H172,0)))</f>
        <v>0</v>
      </c>
      <c r="R172" s="1134" t="e">
        <f t="shared" si="122"/>
        <v>#VALUE!</v>
      </c>
      <c r="S172" s="743"/>
      <c r="T172" s="1034" t="e">
        <f t="shared" si="109"/>
        <v>#N/A</v>
      </c>
      <c r="U172" s="1034" t="e">
        <f t="shared" si="123"/>
        <v>#N/A</v>
      </c>
      <c r="V172" s="1165" t="e">
        <f t="shared" si="110"/>
        <v>#N/A</v>
      </c>
      <c r="W172" s="1034" t="e">
        <f t="shared" si="124"/>
        <v>#N/A</v>
      </c>
      <c r="X172" s="1034" t="b">
        <f t="shared" si="125"/>
        <v>0</v>
      </c>
      <c r="Y172" s="1034">
        <f t="shared" si="126"/>
        <v>0</v>
      </c>
      <c r="Z172" s="1034">
        <f t="shared" si="127"/>
        <v>0</v>
      </c>
      <c r="AA172" s="1034">
        <f t="shared" si="111"/>
        <v>0</v>
      </c>
      <c r="AB172" s="1034">
        <f t="shared" si="112"/>
        <v>0</v>
      </c>
      <c r="AC172" s="1033">
        <f t="shared" si="128"/>
        <v>0</v>
      </c>
      <c r="AD172" s="1266">
        <f t="shared" si="113"/>
        <v>0</v>
      </c>
      <c r="AE172" s="1093">
        <f t="shared" si="129"/>
        <v>0</v>
      </c>
      <c r="AF172" s="1093">
        <f t="shared" si="130"/>
        <v>0</v>
      </c>
      <c r="AG172" s="1093">
        <f t="shared" si="114"/>
        <v>0</v>
      </c>
      <c r="AH172" s="1033" t="e">
        <f t="shared" si="115"/>
        <v>#DIV/0!</v>
      </c>
      <c r="AI172" s="1091">
        <f t="shared" si="116"/>
        <v>0</v>
      </c>
      <c r="AJ172" s="1094">
        <f t="shared" si="117"/>
        <v>0</v>
      </c>
      <c r="AK172" s="1053" t="str">
        <f t="shared" si="118"/>
        <v/>
      </c>
      <c r="AL172" s="1053"/>
      <c r="AM172" s="1290">
        <f>_xlfn.XLOOKUP(F172,Proveedores!A:A,Proveedores!G:G)</f>
        <v>0</v>
      </c>
      <c r="AN172" s="1095" t="str">
        <f t="shared" si="131"/>
        <v>OK</v>
      </c>
    </row>
    <row r="173" spans="1:40" ht="15.95">
      <c r="A173" s="1090" t="b">
        <f t="shared" si="106"/>
        <v>1</v>
      </c>
      <c r="B173" s="1091" t="b">
        <f t="shared" si="119"/>
        <v>1</v>
      </c>
      <c r="C173" s="1092" t="str">
        <f t="shared" si="120"/>
        <v>Dólares</v>
      </c>
      <c r="D173" s="15"/>
      <c r="E173" s="743"/>
      <c r="F173" s="17"/>
      <c r="G173" s="17" t="str">
        <f t="shared" si="107"/>
        <v xml:space="preserve"> </v>
      </c>
      <c r="H173" s="12">
        <v>0</v>
      </c>
      <c r="I173" s="16" t="str">
        <f>IFERROR(VLOOKUP(G173,Proveedores!B:C,2,0)," ")</f>
        <v xml:space="preserve"> </v>
      </c>
      <c r="J173" s="745">
        <v>0</v>
      </c>
      <c r="K173" s="745" t="str">
        <f t="shared" si="108"/>
        <v>Not Found</v>
      </c>
      <c r="L173" s="16">
        <f>IF(K173="Importado",Fletes!$B$66,0%)</f>
        <v>0</v>
      </c>
      <c r="M173" s="745">
        <f t="shared" si="121"/>
        <v>0</v>
      </c>
      <c r="N173" s="16">
        <f>IF(K173&lt;&gt;"Importado",0%,IF(Fletes!$B$67&lt;10,15%,IF(Fletes!$B$67&lt;20,10%,5%)))</f>
        <v>0</v>
      </c>
      <c r="O173" s="745" t="str">
        <f>IFERROR(IF(OR(F173="Offiho",F173="Lauco Sofas",F173="Requiez",F173="Labenze",F173="Sunon Mty",F173="Sonara"),(M173*(1-_xlfn.XLOOKUP(F173,Proveedores!A:A,Proveedores!I:I)))*(1+N173),((M173*(1-_xlfn.XLOOKUP(F173,Proveedores!A:A,Proveedores!I:I)))*(1+N173))+U173),"")</f>
        <v/>
      </c>
      <c r="P173" s="1031"/>
      <c r="Q173" s="1133">
        <f>IF(K173&lt;&gt;"Importado",0,IF(P173&gt;0,P173*H173,IFERROR(_xlfn.XLOOKUP(F173,Proveedores!A:A,Proveedores!F:F,0)*H173,0)))</f>
        <v>0</v>
      </c>
      <c r="R173" s="1134" t="e">
        <f t="shared" si="122"/>
        <v>#VALUE!</v>
      </c>
      <c r="S173" s="743"/>
      <c r="T173" s="1034" t="e">
        <f t="shared" si="109"/>
        <v>#N/A</v>
      </c>
      <c r="U173" s="1034" t="e">
        <f t="shared" si="123"/>
        <v>#N/A</v>
      </c>
      <c r="V173" s="1165" t="e">
        <f t="shared" si="110"/>
        <v>#N/A</v>
      </c>
      <c r="W173" s="1034" t="e">
        <f t="shared" si="124"/>
        <v>#N/A</v>
      </c>
      <c r="X173" s="1034" t="b">
        <f t="shared" si="125"/>
        <v>0</v>
      </c>
      <c r="Y173" s="1034">
        <f t="shared" si="126"/>
        <v>0</v>
      </c>
      <c r="Z173" s="1034">
        <f t="shared" si="127"/>
        <v>0</v>
      </c>
      <c r="AA173" s="1034">
        <f t="shared" si="111"/>
        <v>0</v>
      </c>
      <c r="AB173" s="1034">
        <f t="shared" si="112"/>
        <v>0</v>
      </c>
      <c r="AC173" s="1033">
        <f t="shared" si="128"/>
        <v>0</v>
      </c>
      <c r="AD173" s="1266">
        <f t="shared" si="113"/>
        <v>0</v>
      </c>
      <c r="AE173" s="1093">
        <f t="shared" si="129"/>
        <v>0</v>
      </c>
      <c r="AF173" s="1093">
        <f t="shared" si="130"/>
        <v>0</v>
      </c>
      <c r="AG173" s="1093">
        <f t="shared" si="114"/>
        <v>0</v>
      </c>
      <c r="AH173" s="1033" t="e">
        <f t="shared" si="115"/>
        <v>#DIV/0!</v>
      </c>
      <c r="AI173" s="1091">
        <f t="shared" si="116"/>
        <v>0</v>
      </c>
      <c r="AJ173" s="1094">
        <f t="shared" si="117"/>
        <v>0</v>
      </c>
      <c r="AK173" s="1053" t="str">
        <f t="shared" si="118"/>
        <v/>
      </c>
      <c r="AL173" s="1053"/>
      <c r="AM173" s="1290">
        <f>_xlfn.XLOOKUP(F173,Proveedores!A:A,Proveedores!G:G)</f>
        <v>0</v>
      </c>
      <c r="AN173" s="1095" t="str">
        <f t="shared" si="131"/>
        <v>OK</v>
      </c>
    </row>
    <row r="174" spans="1:40" ht="15.95">
      <c r="A174" s="1090" t="b">
        <f t="shared" si="106"/>
        <v>1</v>
      </c>
      <c r="B174" s="1091" t="b">
        <f t="shared" si="119"/>
        <v>1</v>
      </c>
      <c r="C174" s="1092" t="str">
        <f t="shared" si="120"/>
        <v>Dólares</v>
      </c>
      <c r="D174" s="15"/>
      <c r="E174" s="743"/>
      <c r="F174" s="17"/>
      <c r="G174" s="17" t="str">
        <f t="shared" si="107"/>
        <v xml:space="preserve"> </v>
      </c>
      <c r="H174" s="12">
        <v>0</v>
      </c>
      <c r="I174" s="16" t="str">
        <f>IFERROR(VLOOKUP(G174,Proveedores!B:C,2,0)," ")</f>
        <v xml:space="preserve"> </v>
      </c>
      <c r="J174" s="745">
        <v>0</v>
      </c>
      <c r="K174" s="745" t="str">
        <f t="shared" si="108"/>
        <v>Not Found</v>
      </c>
      <c r="L174" s="16">
        <f>IF(K174="Importado",Fletes!$B$66,0%)</f>
        <v>0</v>
      </c>
      <c r="M174" s="745">
        <f t="shared" si="121"/>
        <v>0</v>
      </c>
      <c r="N174" s="16">
        <f>IF(K174&lt;&gt;"Importado",0%,IF(Fletes!$B$67&lt;10,15%,IF(Fletes!$B$67&lt;20,10%,5%)))</f>
        <v>0</v>
      </c>
      <c r="O174" s="745" t="str">
        <f>IFERROR(IF(OR(F174="Offiho",F174="Lauco Sofas",F174="Requiez",F174="Labenze",F174="Sunon Mty",F174="Sonara"),(M174*(1-_xlfn.XLOOKUP(F174,Proveedores!A:A,Proveedores!I:I)))*(1+N174),((M174*(1-_xlfn.XLOOKUP(F174,Proveedores!A:A,Proveedores!I:I)))*(1+N174))+U174),"")</f>
        <v/>
      </c>
      <c r="P174" s="1031"/>
      <c r="Q174" s="1133">
        <f>IF(K174&lt;&gt;"Importado",0,IF(P174&gt;0,P174*H174,IFERROR(_xlfn.XLOOKUP(F174,Proveedores!A:A,Proveedores!F:F,0)*H174,0)))</f>
        <v>0</v>
      </c>
      <c r="R174" s="1134" t="e">
        <f t="shared" si="122"/>
        <v>#VALUE!</v>
      </c>
      <c r="S174" s="743"/>
      <c r="T174" s="1034" t="e">
        <f t="shared" si="109"/>
        <v>#N/A</v>
      </c>
      <c r="U174" s="1034" t="e">
        <f t="shared" si="123"/>
        <v>#N/A</v>
      </c>
      <c r="V174" s="1165" t="e">
        <f t="shared" si="110"/>
        <v>#N/A</v>
      </c>
      <c r="W174" s="1034" t="e">
        <f t="shared" si="124"/>
        <v>#N/A</v>
      </c>
      <c r="X174" s="1034" t="b">
        <f t="shared" si="125"/>
        <v>0</v>
      </c>
      <c r="Y174" s="1034">
        <f t="shared" si="126"/>
        <v>0</v>
      </c>
      <c r="Z174" s="1034">
        <f t="shared" si="127"/>
        <v>0</v>
      </c>
      <c r="AA174" s="1034">
        <f t="shared" si="111"/>
        <v>0</v>
      </c>
      <c r="AB174" s="1034">
        <f t="shared" si="112"/>
        <v>0</v>
      </c>
      <c r="AC174" s="1033">
        <f t="shared" si="128"/>
        <v>0</v>
      </c>
      <c r="AD174" s="1266">
        <f t="shared" si="113"/>
        <v>0</v>
      </c>
      <c r="AE174" s="1093">
        <f t="shared" si="129"/>
        <v>0</v>
      </c>
      <c r="AF174" s="1093">
        <f t="shared" si="130"/>
        <v>0</v>
      </c>
      <c r="AG174" s="1093">
        <f t="shared" si="114"/>
        <v>0</v>
      </c>
      <c r="AH174" s="1033" t="e">
        <f t="shared" si="115"/>
        <v>#DIV/0!</v>
      </c>
      <c r="AI174" s="1091">
        <f t="shared" si="116"/>
        <v>0</v>
      </c>
      <c r="AJ174" s="1094">
        <f t="shared" si="117"/>
        <v>0</v>
      </c>
      <c r="AK174" s="1053" t="str">
        <f t="shared" si="118"/>
        <v/>
      </c>
      <c r="AL174" s="1053"/>
      <c r="AM174" s="1290">
        <f>_xlfn.XLOOKUP(F174,Proveedores!A:A,Proveedores!G:G)</f>
        <v>0</v>
      </c>
      <c r="AN174" s="1095" t="str">
        <f t="shared" si="131"/>
        <v>OK</v>
      </c>
    </row>
    <row r="175" spans="1:40" ht="15.95">
      <c r="A175" s="1090" t="b">
        <f t="shared" si="106"/>
        <v>1</v>
      </c>
      <c r="B175" s="1091" t="b">
        <f t="shared" si="119"/>
        <v>1</v>
      </c>
      <c r="C175" s="1092" t="str">
        <f t="shared" si="120"/>
        <v>Dólares</v>
      </c>
      <c r="D175" s="15"/>
      <c r="E175" s="743"/>
      <c r="F175" s="17"/>
      <c r="G175" s="17" t="str">
        <f t="shared" si="107"/>
        <v xml:space="preserve"> </v>
      </c>
      <c r="H175" s="12">
        <v>0</v>
      </c>
      <c r="I175" s="16" t="str">
        <f>IFERROR(VLOOKUP(G175,Proveedores!B:C,2,0)," ")</f>
        <v xml:space="preserve"> </v>
      </c>
      <c r="J175" s="745">
        <v>0</v>
      </c>
      <c r="K175" s="745" t="str">
        <f t="shared" si="108"/>
        <v>Not Found</v>
      </c>
      <c r="L175" s="16">
        <f>IF(K175="Importado",Fletes!$B$66,0%)</f>
        <v>0</v>
      </c>
      <c r="M175" s="745">
        <f t="shared" si="121"/>
        <v>0</v>
      </c>
      <c r="N175" s="16">
        <f>IF(K175&lt;&gt;"Importado",0%,IF(Fletes!$B$67&lt;10,15%,IF(Fletes!$B$67&lt;20,10%,5%)))</f>
        <v>0</v>
      </c>
      <c r="O175" s="745" t="str">
        <f>IFERROR(IF(OR(F175="Offiho",F175="Lauco Sofas",F175="Requiez",F175="Labenze",F175="Sunon Mty",F175="Sonara"),(M175*(1-_xlfn.XLOOKUP(F175,Proveedores!A:A,Proveedores!I:I)))*(1+N175),((M175*(1-_xlfn.XLOOKUP(F175,Proveedores!A:A,Proveedores!I:I)))*(1+N175))+U175),"")</f>
        <v/>
      </c>
      <c r="P175" s="1031"/>
      <c r="Q175" s="1133">
        <f>IF(K175&lt;&gt;"Importado",0,IF(P175&gt;0,P175*H175,IFERROR(_xlfn.XLOOKUP(F175,Proveedores!A:A,Proveedores!F:F,0)*H175,0)))</f>
        <v>0</v>
      </c>
      <c r="R175" s="1134" t="e">
        <f t="shared" si="122"/>
        <v>#VALUE!</v>
      </c>
      <c r="S175" s="743"/>
      <c r="T175" s="1034" t="e">
        <f t="shared" si="109"/>
        <v>#N/A</v>
      </c>
      <c r="U175" s="1034" t="e">
        <f t="shared" si="123"/>
        <v>#N/A</v>
      </c>
      <c r="V175" s="1165" t="e">
        <f t="shared" si="110"/>
        <v>#N/A</v>
      </c>
      <c r="W175" s="1034" t="e">
        <f t="shared" si="124"/>
        <v>#N/A</v>
      </c>
      <c r="X175" s="1034" t="b">
        <f t="shared" si="125"/>
        <v>0</v>
      </c>
      <c r="Y175" s="1034">
        <f t="shared" si="126"/>
        <v>0</v>
      </c>
      <c r="Z175" s="1034">
        <f t="shared" si="127"/>
        <v>0</v>
      </c>
      <c r="AA175" s="1034">
        <f t="shared" si="111"/>
        <v>0</v>
      </c>
      <c r="AB175" s="1034">
        <f t="shared" si="112"/>
        <v>0</v>
      </c>
      <c r="AC175" s="1033">
        <f t="shared" si="128"/>
        <v>0</v>
      </c>
      <c r="AD175" s="1266">
        <f t="shared" si="113"/>
        <v>0</v>
      </c>
      <c r="AE175" s="1093">
        <f t="shared" si="129"/>
        <v>0</v>
      </c>
      <c r="AF175" s="1093">
        <f t="shared" si="130"/>
        <v>0</v>
      </c>
      <c r="AG175" s="1093">
        <f t="shared" si="114"/>
        <v>0</v>
      </c>
      <c r="AH175" s="1033" t="e">
        <f t="shared" si="115"/>
        <v>#DIV/0!</v>
      </c>
      <c r="AI175" s="1091">
        <f t="shared" si="116"/>
        <v>0</v>
      </c>
      <c r="AJ175" s="1094">
        <f t="shared" si="117"/>
        <v>0</v>
      </c>
      <c r="AK175" s="1053" t="str">
        <f t="shared" si="118"/>
        <v/>
      </c>
      <c r="AL175" s="1053"/>
      <c r="AM175" s="1290">
        <f>_xlfn.XLOOKUP(F175,Proveedores!A:A,Proveedores!G:G)</f>
        <v>0</v>
      </c>
      <c r="AN175" s="1095" t="str">
        <f t="shared" si="131"/>
        <v>OK</v>
      </c>
    </row>
    <row r="176" spans="1:40" ht="15.95">
      <c r="A176" s="1090" t="b">
        <f t="shared" si="106"/>
        <v>1</v>
      </c>
      <c r="B176" s="1091" t="b">
        <f t="shared" si="119"/>
        <v>1</v>
      </c>
      <c r="C176" s="1092" t="str">
        <f t="shared" si="120"/>
        <v>Dólares</v>
      </c>
      <c r="D176" s="15"/>
      <c r="E176" s="743"/>
      <c r="F176" s="17"/>
      <c r="G176" s="17" t="str">
        <f t="shared" si="107"/>
        <v xml:space="preserve"> </v>
      </c>
      <c r="H176" s="12">
        <v>0</v>
      </c>
      <c r="I176" s="16" t="str">
        <f>IFERROR(VLOOKUP(G176,Proveedores!B:C,2,0)," ")</f>
        <v xml:space="preserve"> </v>
      </c>
      <c r="J176" s="745">
        <v>0</v>
      </c>
      <c r="K176" s="745" t="str">
        <f t="shared" si="108"/>
        <v>Not Found</v>
      </c>
      <c r="L176" s="16">
        <f>IF(K176="Importado",Fletes!$B$66,0%)</f>
        <v>0</v>
      </c>
      <c r="M176" s="745">
        <f t="shared" si="121"/>
        <v>0</v>
      </c>
      <c r="N176" s="16">
        <f>IF(K176&lt;&gt;"Importado",0%,IF(Fletes!$B$67&lt;10,15%,IF(Fletes!$B$67&lt;20,10%,5%)))</f>
        <v>0</v>
      </c>
      <c r="O176" s="745" t="str">
        <f>IFERROR(IF(OR(F176="Offiho",F176="Lauco Sofas",F176="Requiez",F176="Labenze",F176="Sunon Mty",F176="Sonara"),(M176*(1-_xlfn.XLOOKUP(F176,Proveedores!A:A,Proveedores!I:I)))*(1+N176),((M176*(1-_xlfn.XLOOKUP(F176,Proveedores!A:A,Proveedores!I:I)))*(1+N176))+U176),"")</f>
        <v/>
      </c>
      <c r="P176" s="1031"/>
      <c r="Q176" s="1133">
        <f>IF(K176&lt;&gt;"Importado",0,IF(P176&gt;0,P176*H176,IFERROR(_xlfn.XLOOKUP(F176,Proveedores!A:A,Proveedores!F:F,0)*H176,0)))</f>
        <v>0</v>
      </c>
      <c r="R176" s="1134" t="e">
        <f t="shared" si="122"/>
        <v>#VALUE!</v>
      </c>
      <c r="S176" s="743"/>
      <c r="T176" s="1034" t="e">
        <f t="shared" si="109"/>
        <v>#N/A</v>
      </c>
      <c r="U176" s="1034" t="e">
        <f t="shared" si="123"/>
        <v>#N/A</v>
      </c>
      <c r="V176" s="1165" t="e">
        <f t="shared" si="110"/>
        <v>#N/A</v>
      </c>
      <c r="W176" s="1034" t="e">
        <f t="shared" si="124"/>
        <v>#N/A</v>
      </c>
      <c r="X176" s="1034" t="b">
        <f t="shared" si="125"/>
        <v>0</v>
      </c>
      <c r="Y176" s="1034">
        <f t="shared" si="126"/>
        <v>0</v>
      </c>
      <c r="Z176" s="1034">
        <f t="shared" si="127"/>
        <v>0</v>
      </c>
      <c r="AA176" s="1034">
        <f t="shared" si="111"/>
        <v>0</v>
      </c>
      <c r="AB176" s="1034">
        <f t="shared" si="112"/>
        <v>0</v>
      </c>
      <c r="AC176" s="1033">
        <f t="shared" si="128"/>
        <v>0</v>
      </c>
      <c r="AD176" s="1266">
        <f t="shared" si="113"/>
        <v>0</v>
      </c>
      <c r="AE176" s="1093">
        <f t="shared" si="129"/>
        <v>0</v>
      </c>
      <c r="AF176" s="1093">
        <f t="shared" si="130"/>
        <v>0</v>
      </c>
      <c r="AG176" s="1093">
        <f t="shared" si="114"/>
        <v>0</v>
      </c>
      <c r="AH176" s="1033" t="e">
        <f t="shared" si="115"/>
        <v>#DIV/0!</v>
      </c>
      <c r="AI176" s="1091">
        <f t="shared" si="116"/>
        <v>0</v>
      </c>
      <c r="AJ176" s="1094">
        <f t="shared" si="117"/>
        <v>0</v>
      </c>
      <c r="AK176" s="1053" t="str">
        <f t="shared" si="118"/>
        <v/>
      </c>
      <c r="AL176" s="1053"/>
      <c r="AM176" s="1290">
        <f>_xlfn.XLOOKUP(F176,Proveedores!A:A,Proveedores!G:G)</f>
        <v>0</v>
      </c>
      <c r="AN176" s="1095" t="str">
        <f t="shared" si="131"/>
        <v>OK</v>
      </c>
    </row>
    <row r="177" spans="1:40" ht="15.95">
      <c r="A177" s="1090" t="b">
        <f t="shared" si="106"/>
        <v>1</v>
      </c>
      <c r="B177" s="1091" t="b">
        <f t="shared" si="119"/>
        <v>1</v>
      </c>
      <c r="C177" s="1092" t="str">
        <f t="shared" si="120"/>
        <v>Dólares</v>
      </c>
      <c r="D177" s="14"/>
      <c r="E177" s="743"/>
      <c r="F177" s="17"/>
      <c r="G177" s="17" t="str">
        <f t="shared" si="107"/>
        <v xml:space="preserve"> </v>
      </c>
      <c r="H177" s="12">
        <v>0</v>
      </c>
      <c r="I177" s="16" t="str">
        <f>IFERROR(VLOOKUP(G177,Proveedores!B:C,2,0)," ")</f>
        <v xml:space="preserve"> </v>
      </c>
      <c r="J177" s="745">
        <v>0</v>
      </c>
      <c r="K177" s="745" t="str">
        <f t="shared" si="108"/>
        <v>Not Found</v>
      </c>
      <c r="L177" s="16">
        <f>IF(K177="Importado",Fletes!$B$66,0%)</f>
        <v>0</v>
      </c>
      <c r="M177" s="745">
        <f t="shared" si="121"/>
        <v>0</v>
      </c>
      <c r="N177" s="16">
        <f>IF(K177&lt;&gt;"Importado",0%,IF(Fletes!$B$67&lt;10,15%,IF(Fletes!$B$67&lt;20,10%,5%)))</f>
        <v>0</v>
      </c>
      <c r="O177" s="745" t="str">
        <f>IFERROR(IF(OR(F177="Offiho",F177="Lauco Sofas",F177="Requiez",F177="Labenze",F177="Sunon Mty",F177="Sonara"),(M177*(1-_xlfn.XLOOKUP(F177,Proveedores!A:A,Proveedores!I:I)))*(1+N177),((M177*(1-_xlfn.XLOOKUP(F177,Proveedores!A:A,Proveedores!I:I)))*(1+N177))+U177),"")</f>
        <v/>
      </c>
      <c r="P177" s="1031"/>
      <c r="Q177" s="1133">
        <f>IF(K177&lt;&gt;"Importado",0,IF(P177&gt;0,P177*H177,IFERROR(_xlfn.XLOOKUP(F177,Proveedores!A:A,Proveedores!F:F,0)*H177,0)))</f>
        <v>0</v>
      </c>
      <c r="R177" s="1134" t="e">
        <f t="shared" si="122"/>
        <v>#VALUE!</v>
      </c>
      <c r="S177" s="743"/>
      <c r="T177" s="1034" t="e">
        <f t="shared" si="109"/>
        <v>#N/A</v>
      </c>
      <c r="U177" s="1034" t="e">
        <f t="shared" si="123"/>
        <v>#N/A</v>
      </c>
      <c r="V177" s="1165" t="e">
        <f t="shared" si="110"/>
        <v>#N/A</v>
      </c>
      <c r="W177" s="1034" t="e">
        <f t="shared" si="124"/>
        <v>#N/A</v>
      </c>
      <c r="X177" s="1034" t="b">
        <f t="shared" si="125"/>
        <v>0</v>
      </c>
      <c r="Y177" s="1034">
        <f t="shared" si="126"/>
        <v>0</v>
      </c>
      <c r="Z177" s="1034">
        <f t="shared" si="127"/>
        <v>0</v>
      </c>
      <c r="AA177" s="1034">
        <f t="shared" si="111"/>
        <v>0</v>
      </c>
      <c r="AB177" s="1034">
        <f t="shared" si="112"/>
        <v>0</v>
      </c>
      <c r="AC177" s="1033">
        <f t="shared" si="128"/>
        <v>0</v>
      </c>
      <c r="AD177" s="1266">
        <f t="shared" si="113"/>
        <v>0</v>
      </c>
      <c r="AE177" s="1093">
        <f t="shared" si="129"/>
        <v>0</v>
      </c>
      <c r="AF177" s="1093">
        <f t="shared" si="130"/>
        <v>0</v>
      </c>
      <c r="AG177" s="1093">
        <f t="shared" si="114"/>
        <v>0</v>
      </c>
      <c r="AH177" s="1033" t="e">
        <f t="shared" si="115"/>
        <v>#DIV/0!</v>
      </c>
      <c r="AI177" s="1091">
        <f t="shared" si="116"/>
        <v>0</v>
      </c>
      <c r="AJ177" s="1094">
        <f t="shared" si="117"/>
        <v>0</v>
      </c>
      <c r="AK177" s="1053" t="str">
        <f t="shared" si="118"/>
        <v/>
      </c>
      <c r="AL177" s="1053"/>
      <c r="AM177" s="1290">
        <f>_xlfn.XLOOKUP(F177,Proveedores!A:A,Proveedores!G:G)</f>
        <v>0</v>
      </c>
      <c r="AN177" s="1095" t="str">
        <f t="shared" si="131"/>
        <v>OK</v>
      </c>
    </row>
    <row r="178" spans="1:40" ht="15.95">
      <c r="A178" s="1090" t="b">
        <f t="shared" si="106"/>
        <v>1</v>
      </c>
      <c r="B178" s="1091" t="b">
        <f t="shared" si="119"/>
        <v>1</v>
      </c>
      <c r="C178" s="1092" t="str">
        <f t="shared" si="120"/>
        <v>Dólares</v>
      </c>
      <c r="D178" s="14"/>
      <c r="E178" s="743"/>
      <c r="F178" s="17"/>
      <c r="G178" s="17" t="str">
        <f t="shared" si="107"/>
        <v xml:space="preserve"> </v>
      </c>
      <c r="H178" s="12">
        <v>0</v>
      </c>
      <c r="I178" s="16" t="str">
        <f>IFERROR(VLOOKUP(G178,Proveedores!B:C,2,0)," ")</f>
        <v xml:space="preserve"> </v>
      </c>
      <c r="J178" s="745">
        <v>0</v>
      </c>
      <c r="K178" s="745" t="str">
        <f t="shared" si="108"/>
        <v>Not Found</v>
      </c>
      <c r="L178" s="16">
        <f>IF(K178="Importado",Fletes!$B$66,0%)</f>
        <v>0</v>
      </c>
      <c r="M178" s="745">
        <f t="shared" si="121"/>
        <v>0</v>
      </c>
      <c r="N178" s="16">
        <f>IF(K178&lt;&gt;"Importado",0%,IF(Fletes!$B$67&lt;10,15%,IF(Fletes!$B$67&lt;20,10%,5%)))</f>
        <v>0</v>
      </c>
      <c r="O178" s="745" t="str">
        <f>IFERROR(IF(OR(F178="Offiho",F178="Lauco Sofas",F178="Requiez",F178="Labenze",F178="Sunon Mty",F178="Sonara"),(M178*(1-_xlfn.XLOOKUP(F178,Proveedores!A:A,Proveedores!I:I)))*(1+N178),((M178*(1-_xlfn.XLOOKUP(F178,Proveedores!A:A,Proveedores!I:I)))*(1+N178))+U178),"")</f>
        <v/>
      </c>
      <c r="P178" s="1031"/>
      <c r="Q178" s="1133">
        <f>IF(K178&lt;&gt;"Importado",0,IF(P178&gt;0,P178*H178,IFERROR(_xlfn.XLOOKUP(F178,Proveedores!A:A,Proveedores!F:F,0)*H178,0)))</f>
        <v>0</v>
      </c>
      <c r="R178" s="1134" t="e">
        <f t="shared" si="122"/>
        <v>#VALUE!</v>
      </c>
      <c r="S178" s="743"/>
      <c r="T178" s="1034" t="e">
        <f t="shared" si="109"/>
        <v>#N/A</v>
      </c>
      <c r="U178" s="1034" t="e">
        <f t="shared" si="123"/>
        <v>#N/A</v>
      </c>
      <c r="V178" s="1165" t="e">
        <f t="shared" si="110"/>
        <v>#N/A</v>
      </c>
      <c r="W178" s="1034" t="e">
        <f t="shared" si="124"/>
        <v>#N/A</v>
      </c>
      <c r="X178" s="1034" t="b">
        <f t="shared" si="125"/>
        <v>0</v>
      </c>
      <c r="Y178" s="1034">
        <f t="shared" si="126"/>
        <v>0</v>
      </c>
      <c r="Z178" s="1034">
        <f t="shared" si="127"/>
        <v>0</v>
      </c>
      <c r="AA178" s="1034">
        <f t="shared" si="111"/>
        <v>0</v>
      </c>
      <c r="AB178" s="1034">
        <f t="shared" si="112"/>
        <v>0</v>
      </c>
      <c r="AC178" s="1033">
        <f t="shared" si="128"/>
        <v>0</v>
      </c>
      <c r="AD178" s="1266">
        <f t="shared" si="113"/>
        <v>0</v>
      </c>
      <c r="AE178" s="1093">
        <f t="shared" si="129"/>
        <v>0</v>
      </c>
      <c r="AF178" s="1093">
        <f t="shared" si="130"/>
        <v>0</v>
      </c>
      <c r="AG178" s="1093">
        <f t="shared" si="114"/>
        <v>0</v>
      </c>
      <c r="AH178" s="1033" t="e">
        <f t="shared" si="115"/>
        <v>#DIV/0!</v>
      </c>
      <c r="AI178" s="1091">
        <f t="shared" si="116"/>
        <v>0</v>
      </c>
      <c r="AJ178" s="1094">
        <f t="shared" si="117"/>
        <v>0</v>
      </c>
      <c r="AK178" s="1053" t="str">
        <f t="shared" si="118"/>
        <v/>
      </c>
      <c r="AL178" s="1053"/>
      <c r="AM178" s="1290">
        <f>_xlfn.XLOOKUP(F178,Proveedores!A:A,Proveedores!G:G)</f>
        <v>0</v>
      </c>
      <c r="AN178" s="1095" t="str">
        <f t="shared" si="131"/>
        <v>OK</v>
      </c>
    </row>
    <row r="179" spans="1:40" ht="15.95">
      <c r="A179" s="1090" t="b">
        <f t="shared" si="106"/>
        <v>1</v>
      </c>
      <c r="B179" s="1091" t="b">
        <f t="shared" si="119"/>
        <v>1</v>
      </c>
      <c r="C179" s="1092" t="str">
        <f t="shared" si="120"/>
        <v>Dólares</v>
      </c>
      <c r="D179" s="14"/>
      <c r="E179" s="743"/>
      <c r="F179" s="17"/>
      <c r="G179" s="17" t="str">
        <f t="shared" si="107"/>
        <v xml:space="preserve"> </v>
      </c>
      <c r="H179" s="12">
        <v>0</v>
      </c>
      <c r="I179" s="16" t="str">
        <f>IFERROR(VLOOKUP(G179,Proveedores!B:C,2,0)," ")</f>
        <v xml:space="preserve"> </v>
      </c>
      <c r="J179" s="745">
        <v>0</v>
      </c>
      <c r="K179" s="745" t="str">
        <f t="shared" si="108"/>
        <v>Not Found</v>
      </c>
      <c r="L179" s="16">
        <f>IF(K179="Importado",Fletes!$B$66,0%)</f>
        <v>0</v>
      </c>
      <c r="M179" s="745">
        <f t="shared" si="121"/>
        <v>0</v>
      </c>
      <c r="N179" s="16">
        <f>IF(K179&lt;&gt;"Importado",0%,IF(Fletes!$B$67&lt;10,15%,IF(Fletes!$B$67&lt;20,10%,5%)))</f>
        <v>0</v>
      </c>
      <c r="O179" s="745" t="str">
        <f>IFERROR(IF(OR(F179="Offiho",F179="Lauco Sofas",F179="Requiez",F179="Labenze",F179="Sunon Mty",F179="Sonara"),(M179*(1-_xlfn.XLOOKUP(F179,Proveedores!A:A,Proveedores!I:I)))*(1+N179),((M179*(1-_xlfn.XLOOKUP(F179,Proveedores!A:A,Proveedores!I:I)))*(1+N179))+U179),"")</f>
        <v/>
      </c>
      <c r="P179" s="1031"/>
      <c r="Q179" s="1133">
        <f>IF(K179&lt;&gt;"Importado",0,IF(P179&gt;0,P179*H179,IFERROR(_xlfn.XLOOKUP(F179,Proveedores!A:A,Proveedores!F:F,0)*H179,0)))</f>
        <v>0</v>
      </c>
      <c r="R179" s="1134" t="e">
        <f t="shared" si="122"/>
        <v>#VALUE!</v>
      </c>
      <c r="S179" s="743"/>
      <c r="T179" s="1034" t="e">
        <f t="shared" si="109"/>
        <v>#N/A</v>
      </c>
      <c r="U179" s="1034" t="e">
        <f t="shared" si="123"/>
        <v>#N/A</v>
      </c>
      <c r="V179" s="1165" t="e">
        <f t="shared" si="110"/>
        <v>#N/A</v>
      </c>
      <c r="W179" s="1034" t="e">
        <f t="shared" si="124"/>
        <v>#N/A</v>
      </c>
      <c r="X179" s="1034" t="b">
        <f t="shared" si="125"/>
        <v>0</v>
      </c>
      <c r="Y179" s="1034">
        <f t="shared" si="126"/>
        <v>0</v>
      </c>
      <c r="Z179" s="1034">
        <f t="shared" si="127"/>
        <v>0</v>
      </c>
      <c r="AA179" s="1034">
        <f t="shared" si="111"/>
        <v>0</v>
      </c>
      <c r="AB179" s="1034">
        <f t="shared" si="112"/>
        <v>0</v>
      </c>
      <c r="AC179" s="1033">
        <f t="shared" si="128"/>
        <v>0</v>
      </c>
      <c r="AD179" s="1266">
        <f t="shared" si="113"/>
        <v>0</v>
      </c>
      <c r="AE179" s="1093">
        <f t="shared" si="129"/>
        <v>0</v>
      </c>
      <c r="AF179" s="1093">
        <f t="shared" si="130"/>
        <v>0</v>
      </c>
      <c r="AG179" s="1093">
        <f t="shared" si="114"/>
        <v>0</v>
      </c>
      <c r="AH179" s="1033" t="e">
        <f t="shared" si="115"/>
        <v>#DIV/0!</v>
      </c>
      <c r="AI179" s="1091">
        <f t="shared" si="116"/>
        <v>0</v>
      </c>
      <c r="AJ179" s="1094">
        <f t="shared" si="117"/>
        <v>0</v>
      </c>
      <c r="AK179" s="1053" t="str">
        <f t="shared" si="118"/>
        <v/>
      </c>
      <c r="AL179" s="1053"/>
      <c r="AM179" s="1290">
        <f>_xlfn.XLOOKUP(F179,Proveedores!A:A,Proveedores!G:G)</f>
        <v>0</v>
      </c>
      <c r="AN179" s="1095" t="str">
        <f t="shared" si="131"/>
        <v>OK</v>
      </c>
    </row>
    <row r="180" spans="1:40" ht="15.95">
      <c r="A180" s="1090" t="b">
        <f t="shared" si="106"/>
        <v>1</v>
      </c>
      <c r="B180" s="1091" t="b">
        <f t="shared" si="119"/>
        <v>1</v>
      </c>
      <c r="C180" s="1092" t="str">
        <f t="shared" si="120"/>
        <v>Dólares</v>
      </c>
      <c r="D180" s="15"/>
      <c r="E180" s="743"/>
      <c r="F180" s="17"/>
      <c r="G180" s="17" t="str">
        <f t="shared" si="107"/>
        <v xml:space="preserve"> </v>
      </c>
      <c r="H180" s="12">
        <v>0</v>
      </c>
      <c r="I180" s="16" t="str">
        <f>IFERROR(VLOOKUP(G180,Proveedores!B:C,2,0)," ")</f>
        <v xml:space="preserve"> </v>
      </c>
      <c r="J180" s="745">
        <v>0</v>
      </c>
      <c r="K180" s="745" t="str">
        <f t="shared" si="108"/>
        <v>Not Found</v>
      </c>
      <c r="L180" s="16">
        <f>IF(K180="Importado",Fletes!$B$66,0%)</f>
        <v>0</v>
      </c>
      <c r="M180" s="745">
        <f t="shared" si="121"/>
        <v>0</v>
      </c>
      <c r="N180" s="16">
        <f>IF(K180&lt;&gt;"Importado",0%,IF(Fletes!$B$67&lt;10,15%,IF(Fletes!$B$67&lt;20,10%,5%)))</f>
        <v>0</v>
      </c>
      <c r="O180" s="745" t="str">
        <f>IFERROR(IF(OR(F180="Offiho",F180="Lauco Sofas",F180="Requiez",F180="Labenze",F180="Sunon Mty",F180="Sonara"),(M180*(1-_xlfn.XLOOKUP(F180,Proveedores!A:A,Proveedores!I:I)))*(1+N180),((M180*(1-_xlfn.XLOOKUP(F180,Proveedores!A:A,Proveedores!I:I)))*(1+N180))+U180),"")</f>
        <v/>
      </c>
      <c r="P180" s="1031"/>
      <c r="Q180" s="1133">
        <f>IF(K180&lt;&gt;"Importado",0,IF(P180&gt;0,P180*H180,IFERROR(_xlfn.XLOOKUP(F180,Proveedores!A:A,Proveedores!F:F,0)*H180,0)))</f>
        <v>0</v>
      </c>
      <c r="R180" s="1134" t="e">
        <f t="shared" si="122"/>
        <v>#VALUE!</v>
      </c>
      <c r="S180" s="743"/>
      <c r="T180" s="1034" t="e">
        <f t="shared" si="109"/>
        <v>#N/A</v>
      </c>
      <c r="U180" s="1034" t="e">
        <f t="shared" si="123"/>
        <v>#N/A</v>
      </c>
      <c r="V180" s="1165" t="e">
        <f t="shared" si="110"/>
        <v>#N/A</v>
      </c>
      <c r="W180" s="1034" t="e">
        <f t="shared" si="124"/>
        <v>#N/A</v>
      </c>
      <c r="X180" s="1034" t="b">
        <f t="shared" si="125"/>
        <v>0</v>
      </c>
      <c r="Y180" s="1034">
        <f t="shared" si="126"/>
        <v>0</v>
      </c>
      <c r="Z180" s="1034">
        <f t="shared" si="127"/>
        <v>0</v>
      </c>
      <c r="AA180" s="1034">
        <f t="shared" si="111"/>
        <v>0</v>
      </c>
      <c r="AB180" s="1034">
        <f t="shared" si="112"/>
        <v>0</v>
      </c>
      <c r="AC180" s="1033">
        <f t="shared" si="128"/>
        <v>0</v>
      </c>
      <c r="AD180" s="1266">
        <f t="shared" si="113"/>
        <v>0</v>
      </c>
      <c r="AE180" s="1093">
        <f t="shared" si="129"/>
        <v>0</v>
      </c>
      <c r="AF180" s="1093">
        <f t="shared" si="130"/>
        <v>0</v>
      </c>
      <c r="AG180" s="1093">
        <f t="shared" si="114"/>
        <v>0</v>
      </c>
      <c r="AH180" s="1033" t="e">
        <f t="shared" si="115"/>
        <v>#DIV/0!</v>
      </c>
      <c r="AI180" s="1091">
        <f t="shared" si="116"/>
        <v>0</v>
      </c>
      <c r="AJ180" s="1094">
        <f t="shared" si="117"/>
        <v>0</v>
      </c>
      <c r="AK180" s="1053" t="str">
        <f t="shared" si="118"/>
        <v/>
      </c>
      <c r="AL180" s="1053"/>
      <c r="AM180" s="1290">
        <f>_xlfn.XLOOKUP(F180,Proveedores!A:A,Proveedores!G:G)</f>
        <v>0</v>
      </c>
      <c r="AN180" s="1095" t="str">
        <f t="shared" si="131"/>
        <v>OK</v>
      </c>
    </row>
    <row r="181" spans="1:40" ht="15.95">
      <c r="A181" s="1090" t="b">
        <f t="shared" si="106"/>
        <v>1</v>
      </c>
      <c r="B181" s="1091" t="b">
        <f t="shared" si="119"/>
        <v>1</v>
      </c>
      <c r="C181" s="1092" t="str">
        <f t="shared" si="120"/>
        <v>Dólares</v>
      </c>
      <c r="D181" s="15"/>
      <c r="E181" s="743"/>
      <c r="F181" s="17"/>
      <c r="G181" s="17" t="str">
        <f t="shared" si="107"/>
        <v xml:space="preserve"> </v>
      </c>
      <c r="H181" s="12">
        <v>0</v>
      </c>
      <c r="I181" s="16" t="str">
        <f>IFERROR(VLOOKUP(G181,Proveedores!B:C,2,0)," ")</f>
        <v xml:space="preserve"> </v>
      </c>
      <c r="J181" s="745">
        <v>0</v>
      </c>
      <c r="K181" s="745" t="str">
        <f t="shared" si="108"/>
        <v>Not Found</v>
      </c>
      <c r="L181" s="16">
        <f>IF(K181="Importado",Fletes!$B$66,0%)</f>
        <v>0</v>
      </c>
      <c r="M181" s="745">
        <f t="shared" si="121"/>
        <v>0</v>
      </c>
      <c r="N181" s="16">
        <f>IF(K181&lt;&gt;"Importado",0%,IF(Fletes!$B$67&lt;10,15%,IF(Fletes!$B$67&lt;20,10%,5%)))</f>
        <v>0</v>
      </c>
      <c r="O181" s="745" t="str">
        <f>IFERROR(IF(OR(F181="Offiho",F181="Lauco Sofas",F181="Requiez",F181="Labenze",F181="Sunon Mty",F181="Sonara"),(M181*(1-_xlfn.XLOOKUP(F181,Proveedores!A:A,Proveedores!I:I)))*(1+N181),((M181*(1-_xlfn.XLOOKUP(F181,Proveedores!A:A,Proveedores!I:I)))*(1+N181))+U181),"")</f>
        <v/>
      </c>
      <c r="P181" s="1031"/>
      <c r="Q181" s="1133">
        <f>IF(K181&lt;&gt;"Importado",0,IF(P181&gt;0,P181*H181,IFERROR(_xlfn.XLOOKUP(F181,Proveedores!A:A,Proveedores!F:F,0)*H181,0)))</f>
        <v>0</v>
      </c>
      <c r="R181" s="1134" t="e">
        <f t="shared" si="122"/>
        <v>#VALUE!</v>
      </c>
      <c r="S181" s="743"/>
      <c r="T181" s="1034" t="e">
        <f t="shared" si="109"/>
        <v>#N/A</v>
      </c>
      <c r="U181" s="1034" t="e">
        <f t="shared" si="123"/>
        <v>#N/A</v>
      </c>
      <c r="V181" s="1165" t="e">
        <f t="shared" si="110"/>
        <v>#N/A</v>
      </c>
      <c r="W181" s="1034" t="e">
        <f t="shared" si="124"/>
        <v>#N/A</v>
      </c>
      <c r="X181" s="1034" t="b">
        <f t="shared" si="125"/>
        <v>0</v>
      </c>
      <c r="Y181" s="1034">
        <f t="shared" si="126"/>
        <v>0</v>
      </c>
      <c r="Z181" s="1034">
        <f t="shared" si="127"/>
        <v>0</v>
      </c>
      <c r="AA181" s="1034">
        <f t="shared" si="111"/>
        <v>0</v>
      </c>
      <c r="AB181" s="1034">
        <f t="shared" si="112"/>
        <v>0</v>
      </c>
      <c r="AC181" s="1033">
        <f t="shared" si="128"/>
        <v>0</v>
      </c>
      <c r="AD181" s="1266">
        <f t="shared" si="113"/>
        <v>0</v>
      </c>
      <c r="AE181" s="1093">
        <f t="shared" si="129"/>
        <v>0</v>
      </c>
      <c r="AF181" s="1093">
        <f t="shared" si="130"/>
        <v>0</v>
      </c>
      <c r="AG181" s="1093">
        <f t="shared" si="114"/>
        <v>0</v>
      </c>
      <c r="AH181" s="1033" t="e">
        <f t="shared" si="115"/>
        <v>#DIV/0!</v>
      </c>
      <c r="AI181" s="1091">
        <f t="shared" si="116"/>
        <v>0</v>
      </c>
      <c r="AJ181" s="1094">
        <f t="shared" si="117"/>
        <v>0</v>
      </c>
      <c r="AK181" s="1053" t="str">
        <f t="shared" si="118"/>
        <v/>
      </c>
      <c r="AL181" s="1053"/>
      <c r="AM181" s="1290">
        <f>_xlfn.XLOOKUP(F181,Proveedores!A:A,Proveedores!G:G)</f>
        <v>0</v>
      </c>
      <c r="AN181" s="1095" t="str">
        <f t="shared" si="131"/>
        <v>OK</v>
      </c>
    </row>
    <row r="182" spans="1:40" ht="15.95">
      <c r="A182" s="1090" t="b">
        <f t="shared" si="106"/>
        <v>1</v>
      </c>
      <c r="B182" s="1091" t="b">
        <f t="shared" si="119"/>
        <v>1</v>
      </c>
      <c r="C182" s="1092" t="str">
        <f t="shared" si="120"/>
        <v>Dólares</v>
      </c>
      <c r="D182" s="14"/>
      <c r="E182" s="743"/>
      <c r="F182" s="17"/>
      <c r="G182" s="17" t="str">
        <f t="shared" si="107"/>
        <v xml:space="preserve"> </v>
      </c>
      <c r="H182" s="12">
        <v>0</v>
      </c>
      <c r="I182" s="16" t="str">
        <f>IFERROR(VLOOKUP(G182,Proveedores!B:C,2,0)," ")</f>
        <v xml:space="preserve"> </v>
      </c>
      <c r="J182" s="745">
        <v>0</v>
      </c>
      <c r="K182" s="745" t="str">
        <f t="shared" si="108"/>
        <v>Not Found</v>
      </c>
      <c r="L182" s="16">
        <f>IF(K182="Importado",Fletes!$B$66,0%)</f>
        <v>0</v>
      </c>
      <c r="M182" s="745">
        <f t="shared" si="121"/>
        <v>0</v>
      </c>
      <c r="N182" s="16">
        <f>IF(K182&lt;&gt;"Importado",0%,IF(Fletes!$B$67&lt;10,15%,IF(Fletes!$B$67&lt;20,10%,5%)))</f>
        <v>0</v>
      </c>
      <c r="O182" s="745" t="str">
        <f>IFERROR(IF(OR(F182="Offiho",F182="Lauco Sofas",F182="Requiez",F182="Labenze",F182="Sunon Mty",F182="Sonara"),(M182*(1-_xlfn.XLOOKUP(F182,Proveedores!A:A,Proveedores!I:I)))*(1+N182),((M182*(1-_xlfn.XLOOKUP(F182,Proveedores!A:A,Proveedores!I:I)))*(1+N182))+U182),"")</f>
        <v/>
      </c>
      <c r="P182" s="1031"/>
      <c r="Q182" s="1133">
        <f>IF(K182&lt;&gt;"Importado",0,IF(P182&gt;0,P182*H182,IFERROR(_xlfn.XLOOKUP(F182,Proveedores!A:A,Proveedores!F:F,0)*H182,0)))</f>
        <v>0</v>
      </c>
      <c r="R182" s="1134" t="e">
        <f t="shared" si="122"/>
        <v>#VALUE!</v>
      </c>
      <c r="S182" s="743"/>
      <c r="T182" s="1034" t="e">
        <f t="shared" si="109"/>
        <v>#N/A</v>
      </c>
      <c r="U182" s="1034" t="e">
        <f t="shared" si="123"/>
        <v>#N/A</v>
      </c>
      <c r="V182" s="1165" t="e">
        <f t="shared" si="110"/>
        <v>#N/A</v>
      </c>
      <c r="W182" s="1034" t="e">
        <f t="shared" si="124"/>
        <v>#N/A</v>
      </c>
      <c r="X182" s="1034" t="b">
        <f t="shared" si="125"/>
        <v>0</v>
      </c>
      <c r="Y182" s="1034">
        <f t="shared" si="126"/>
        <v>0</v>
      </c>
      <c r="Z182" s="1034">
        <f t="shared" si="127"/>
        <v>0</v>
      </c>
      <c r="AA182" s="1034">
        <f t="shared" si="111"/>
        <v>0</v>
      </c>
      <c r="AB182" s="1034">
        <f t="shared" si="112"/>
        <v>0</v>
      </c>
      <c r="AC182" s="1033">
        <f t="shared" si="128"/>
        <v>0</v>
      </c>
      <c r="AD182" s="1266">
        <f t="shared" si="113"/>
        <v>0</v>
      </c>
      <c r="AE182" s="1093">
        <f t="shared" si="129"/>
        <v>0</v>
      </c>
      <c r="AF182" s="1093">
        <f t="shared" si="130"/>
        <v>0</v>
      </c>
      <c r="AG182" s="1093">
        <f t="shared" si="114"/>
        <v>0</v>
      </c>
      <c r="AH182" s="1033" t="e">
        <f t="shared" si="115"/>
        <v>#DIV/0!</v>
      </c>
      <c r="AI182" s="1091">
        <f t="shared" si="116"/>
        <v>0</v>
      </c>
      <c r="AJ182" s="1094">
        <f t="shared" si="117"/>
        <v>0</v>
      </c>
      <c r="AK182" s="1053" t="str">
        <f t="shared" si="118"/>
        <v/>
      </c>
      <c r="AL182" s="1053"/>
      <c r="AM182" s="1290">
        <f>_xlfn.XLOOKUP(F182,Proveedores!A:A,Proveedores!G:G)</f>
        <v>0</v>
      </c>
      <c r="AN182" s="1095" t="str">
        <f t="shared" si="131"/>
        <v>OK</v>
      </c>
    </row>
    <row r="183" spans="1:40" ht="15.95">
      <c r="A183" s="1090" t="b">
        <f t="shared" si="106"/>
        <v>1</v>
      </c>
      <c r="B183" s="1091" t="b">
        <f t="shared" si="119"/>
        <v>1</v>
      </c>
      <c r="C183" s="1092" t="str">
        <f t="shared" si="120"/>
        <v>Dólares</v>
      </c>
      <c r="D183" s="14"/>
      <c r="E183" s="743"/>
      <c r="F183" s="17"/>
      <c r="G183" s="17" t="str">
        <f t="shared" si="107"/>
        <v xml:space="preserve"> </v>
      </c>
      <c r="H183" s="12">
        <v>0</v>
      </c>
      <c r="I183" s="16" t="str">
        <f>IFERROR(VLOOKUP(G183,Proveedores!B:C,2,0)," ")</f>
        <v xml:space="preserve"> </v>
      </c>
      <c r="J183" s="745">
        <v>0</v>
      </c>
      <c r="K183" s="745" t="str">
        <f t="shared" si="108"/>
        <v>Not Found</v>
      </c>
      <c r="L183" s="16">
        <f>IF(K183="Importado",Fletes!$B$66,0%)</f>
        <v>0</v>
      </c>
      <c r="M183" s="745">
        <f t="shared" si="121"/>
        <v>0</v>
      </c>
      <c r="N183" s="16">
        <f>IF(K183&lt;&gt;"Importado",0%,IF(Fletes!$B$67&lt;10,15%,IF(Fletes!$B$67&lt;20,10%,5%)))</f>
        <v>0</v>
      </c>
      <c r="O183" s="745" t="str">
        <f>IFERROR(IF(OR(F183="Offiho",F183="Lauco Sofas",F183="Requiez",F183="Labenze",F183="Sunon Mty",F183="Sonara"),(M183*(1-_xlfn.XLOOKUP(F183,Proveedores!A:A,Proveedores!I:I)))*(1+N183),((M183*(1-_xlfn.XLOOKUP(F183,Proveedores!A:A,Proveedores!I:I)))*(1+N183))+U183),"")</f>
        <v/>
      </c>
      <c r="P183" s="1031"/>
      <c r="Q183" s="1133">
        <f>IF(K183&lt;&gt;"Importado",0,IF(P183&gt;0,P183*H183,IFERROR(_xlfn.XLOOKUP(F183,Proveedores!A:A,Proveedores!F:F,0)*H183,0)))</f>
        <v>0</v>
      </c>
      <c r="R183" s="1134" t="e">
        <f t="shared" si="122"/>
        <v>#VALUE!</v>
      </c>
      <c r="S183" s="743"/>
      <c r="T183" s="1034" t="e">
        <f t="shared" si="109"/>
        <v>#N/A</v>
      </c>
      <c r="U183" s="1034" t="e">
        <f t="shared" si="123"/>
        <v>#N/A</v>
      </c>
      <c r="V183" s="1165" t="e">
        <f t="shared" si="110"/>
        <v>#N/A</v>
      </c>
      <c r="W183" s="1034" t="e">
        <f t="shared" si="124"/>
        <v>#N/A</v>
      </c>
      <c r="X183" s="1034" t="b">
        <f t="shared" si="125"/>
        <v>0</v>
      </c>
      <c r="Y183" s="1034">
        <f t="shared" si="126"/>
        <v>0</v>
      </c>
      <c r="Z183" s="1034">
        <f t="shared" si="127"/>
        <v>0</v>
      </c>
      <c r="AA183" s="1034">
        <f t="shared" si="111"/>
        <v>0</v>
      </c>
      <c r="AB183" s="1034">
        <f t="shared" si="112"/>
        <v>0</v>
      </c>
      <c r="AC183" s="1033">
        <f t="shared" si="128"/>
        <v>0</v>
      </c>
      <c r="AD183" s="1266">
        <f t="shared" si="113"/>
        <v>0</v>
      </c>
      <c r="AE183" s="1093">
        <f t="shared" si="129"/>
        <v>0</v>
      </c>
      <c r="AF183" s="1093">
        <f t="shared" si="130"/>
        <v>0</v>
      </c>
      <c r="AG183" s="1093">
        <f t="shared" si="114"/>
        <v>0</v>
      </c>
      <c r="AH183" s="1033" t="e">
        <f t="shared" si="115"/>
        <v>#DIV/0!</v>
      </c>
      <c r="AI183" s="1091">
        <f t="shared" si="116"/>
        <v>0</v>
      </c>
      <c r="AJ183" s="1094">
        <f t="shared" si="117"/>
        <v>0</v>
      </c>
      <c r="AK183" s="1053" t="str">
        <f t="shared" si="118"/>
        <v/>
      </c>
      <c r="AL183" s="1053"/>
      <c r="AM183" s="1290">
        <f>_xlfn.XLOOKUP(F183,Proveedores!A:A,Proveedores!G:G)</f>
        <v>0</v>
      </c>
      <c r="AN183" s="1095" t="str">
        <f t="shared" si="131"/>
        <v>OK</v>
      </c>
    </row>
    <row r="184" spans="1:40" ht="15.95">
      <c r="A184" s="1090" t="b">
        <f t="shared" si="106"/>
        <v>1</v>
      </c>
      <c r="B184" s="1091" t="b">
        <f t="shared" si="119"/>
        <v>1</v>
      </c>
      <c r="C184" s="1092" t="str">
        <f t="shared" si="120"/>
        <v>Dólares</v>
      </c>
      <c r="D184" s="14"/>
      <c r="E184" s="743"/>
      <c r="F184" s="17"/>
      <c r="G184" s="17" t="str">
        <f t="shared" si="107"/>
        <v xml:space="preserve"> </v>
      </c>
      <c r="H184" s="12">
        <v>0</v>
      </c>
      <c r="I184" s="16" t="str">
        <f>IFERROR(VLOOKUP(G184,Proveedores!B:C,2,0)," ")</f>
        <v xml:space="preserve"> </v>
      </c>
      <c r="J184" s="745">
        <v>0</v>
      </c>
      <c r="K184" s="745" t="str">
        <f t="shared" si="108"/>
        <v>Not Found</v>
      </c>
      <c r="L184" s="16">
        <f>IF(K184="Importado",Fletes!$B$66,0%)</f>
        <v>0</v>
      </c>
      <c r="M184" s="745">
        <f t="shared" si="121"/>
        <v>0</v>
      </c>
      <c r="N184" s="16">
        <f>IF(K184&lt;&gt;"Importado",0%,IF(Fletes!$B$67&lt;10,15%,IF(Fletes!$B$67&lt;20,10%,5%)))</f>
        <v>0</v>
      </c>
      <c r="O184" s="745" t="str">
        <f>IFERROR(IF(OR(F184="Offiho",F184="Lauco Sofas",F184="Requiez",F184="Labenze",F184="Sunon Mty",F184="Sonara"),(M184*(1-_xlfn.XLOOKUP(F184,Proveedores!A:A,Proveedores!I:I)))*(1+N184),((M184*(1-_xlfn.XLOOKUP(F184,Proveedores!A:A,Proveedores!I:I)))*(1+N184))+U184),"")</f>
        <v/>
      </c>
      <c r="P184" s="1031"/>
      <c r="Q184" s="1133">
        <f>IF(K184&lt;&gt;"Importado",0,IF(P184&gt;0,P184*H184,IFERROR(_xlfn.XLOOKUP(F184,Proveedores!A:A,Proveedores!F:F,0)*H184,0)))</f>
        <v>0</v>
      </c>
      <c r="R184" s="1134" t="e">
        <f t="shared" si="122"/>
        <v>#VALUE!</v>
      </c>
      <c r="S184" s="743"/>
      <c r="T184" s="1034" t="e">
        <f t="shared" si="109"/>
        <v>#N/A</v>
      </c>
      <c r="U184" s="1034" t="e">
        <f t="shared" si="123"/>
        <v>#N/A</v>
      </c>
      <c r="V184" s="1165" t="e">
        <f t="shared" si="110"/>
        <v>#N/A</v>
      </c>
      <c r="W184" s="1034" t="e">
        <f t="shared" si="124"/>
        <v>#N/A</v>
      </c>
      <c r="X184" s="1034" t="b">
        <f t="shared" si="125"/>
        <v>0</v>
      </c>
      <c r="Y184" s="1034">
        <f t="shared" si="126"/>
        <v>0</v>
      </c>
      <c r="Z184" s="1034">
        <f t="shared" si="127"/>
        <v>0</v>
      </c>
      <c r="AA184" s="1034">
        <f t="shared" si="111"/>
        <v>0</v>
      </c>
      <c r="AB184" s="1034">
        <f t="shared" si="112"/>
        <v>0</v>
      </c>
      <c r="AC184" s="1033">
        <f t="shared" si="128"/>
        <v>0</v>
      </c>
      <c r="AD184" s="1266">
        <f t="shared" si="113"/>
        <v>0</v>
      </c>
      <c r="AE184" s="1093">
        <f t="shared" si="129"/>
        <v>0</v>
      </c>
      <c r="AF184" s="1093">
        <f t="shared" si="130"/>
        <v>0</v>
      </c>
      <c r="AG184" s="1093">
        <f t="shared" si="114"/>
        <v>0</v>
      </c>
      <c r="AH184" s="1033" t="e">
        <f t="shared" si="115"/>
        <v>#DIV/0!</v>
      </c>
      <c r="AI184" s="1091">
        <f t="shared" si="116"/>
        <v>0</v>
      </c>
      <c r="AJ184" s="1094">
        <f t="shared" si="117"/>
        <v>0</v>
      </c>
      <c r="AK184" s="1053" t="str">
        <f t="shared" si="118"/>
        <v/>
      </c>
      <c r="AL184" s="1053"/>
      <c r="AM184" s="1290">
        <f>_xlfn.XLOOKUP(F184,Proveedores!A:A,Proveedores!G:G)</f>
        <v>0</v>
      </c>
      <c r="AN184" s="1095" t="str">
        <f t="shared" si="131"/>
        <v>OK</v>
      </c>
    </row>
    <row r="185" spans="1:40" ht="15.95">
      <c r="A185" s="1090" t="b">
        <f t="shared" si="106"/>
        <v>1</v>
      </c>
      <c r="B185" s="1091" t="b">
        <f t="shared" si="119"/>
        <v>1</v>
      </c>
      <c r="C185" s="1092" t="str">
        <f t="shared" si="120"/>
        <v>Dólares</v>
      </c>
      <c r="D185" s="14"/>
      <c r="E185" s="743"/>
      <c r="F185" s="17"/>
      <c r="G185" s="17" t="str">
        <f t="shared" si="107"/>
        <v xml:space="preserve"> </v>
      </c>
      <c r="H185" s="12">
        <v>0</v>
      </c>
      <c r="I185" s="16" t="str">
        <f>IFERROR(VLOOKUP(G185,Proveedores!B:C,2,0)," ")</f>
        <v xml:space="preserve"> </v>
      </c>
      <c r="J185" s="745">
        <v>0</v>
      </c>
      <c r="K185" s="745" t="str">
        <f t="shared" si="108"/>
        <v>Not Found</v>
      </c>
      <c r="L185" s="16">
        <f>IF(K185="Importado",Fletes!$B$66,0%)</f>
        <v>0</v>
      </c>
      <c r="M185" s="745">
        <f t="shared" si="121"/>
        <v>0</v>
      </c>
      <c r="N185" s="16">
        <f>IF(K185&lt;&gt;"Importado",0%,IF(Fletes!$B$67&lt;10,15%,IF(Fletes!$B$67&lt;20,10%,5%)))</f>
        <v>0</v>
      </c>
      <c r="O185" s="745" t="str">
        <f>IFERROR(IF(OR(F185="Offiho",F185="Lauco Sofas",F185="Requiez",F185="Labenze",F185="Sunon Mty",F185="Sonara"),(M185*(1-_xlfn.XLOOKUP(F185,Proveedores!A:A,Proveedores!I:I)))*(1+N185),((M185*(1-_xlfn.XLOOKUP(F185,Proveedores!A:A,Proveedores!I:I)))*(1+N185))+U185),"")</f>
        <v/>
      </c>
      <c r="P185" s="1031"/>
      <c r="Q185" s="1133">
        <f>IF(K185&lt;&gt;"Importado",0,IF(P185&gt;0,P185*H185,IFERROR(_xlfn.XLOOKUP(F185,Proveedores!A:A,Proveedores!F:F,0)*H185,0)))</f>
        <v>0</v>
      </c>
      <c r="R185" s="1134" t="e">
        <f t="shared" si="122"/>
        <v>#VALUE!</v>
      </c>
      <c r="S185" s="743"/>
      <c r="T185" s="1034" t="e">
        <f t="shared" si="109"/>
        <v>#N/A</v>
      </c>
      <c r="U185" s="1034" t="e">
        <f t="shared" si="123"/>
        <v>#N/A</v>
      </c>
      <c r="V185" s="1165" t="e">
        <f t="shared" si="110"/>
        <v>#N/A</v>
      </c>
      <c r="W185" s="1034" t="e">
        <f t="shared" si="124"/>
        <v>#N/A</v>
      </c>
      <c r="X185" s="1034" t="b">
        <f t="shared" si="125"/>
        <v>0</v>
      </c>
      <c r="Y185" s="1034">
        <f t="shared" si="126"/>
        <v>0</v>
      </c>
      <c r="Z185" s="1034">
        <f t="shared" si="127"/>
        <v>0</v>
      </c>
      <c r="AA185" s="1034">
        <f t="shared" si="111"/>
        <v>0</v>
      </c>
      <c r="AB185" s="1034">
        <f t="shared" si="112"/>
        <v>0</v>
      </c>
      <c r="AC185" s="1033">
        <f t="shared" si="128"/>
        <v>0</v>
      </c>
      <c r="AD185" s="1266">
        <f t="shared" si="113"/>
        <v>0</v>
      </c>
      <c r="AE185" s="1093">
        <f t="shared" si="129"/>
        <v>0</v>
      </c>
      <c r="AF185" s="1093">
        <f t="shared" si="130"/>
        <v>0</v>
      </c>
      <c r="AG185" s="1093">
        <f t="shared" si="114"/>
        <v>0</v>
      </c>
      <c r="AH185" s="1033" t="e">
        <f t="shared" si="115"/>
        <v>#DIV/0!</v>
      </c>
      <c r="AI185" s="1091">
        <f t="shared" si="116"/>
        <v>0</v>
      </c>
      <c r="AJ185" s="1094">
        <f t="shared" si="117"/>
        <v>0</v>
      </c>
      <c r="AK185" s="1053" t="str">
        <f t="shared" si="118"/>
        <v/>
      </c>
      <c r="AL185" s="1053"/>
      <c r="AM185" s="1290">
        <f>_xlfn.XLOOKUP(F185,Proveedores!A:A,Proveedores!G:G)</f>
        <v>0</v>
      </c>
      <c r="AN185" s="1095" t="str">
        <f t="shared" si="131"/>
        <v>OK</v>
      </c>
    </row>
    <row r="186" spans="1:40" ht="15.95">
      <c r="A186" s="1090" t="b">
        <f t="shared" si="106"/>
        <v>1</v>
      </c>
      <c r="B186" s="1091" t="b">
        <f t="shared" si="119"/>
        <v>1</v>
      </c>
      <c r="C186" s="1092" t="str">
        <f t="shared" si="120"/>
        <v>Dólares</v>
      </c>
      <c r="D186" s="14"/>
      <c r="E186" s="743"/>
      <c r="F186" s="17"/>
      <c r="G186" s="17" t="str">
        <f t="shared" si="107"/>
        <v xml:space="preserve"> </v>
      </c>
      <c r="H186" s="12">
        <v>0</v>
      </c>
      <c r="I186" s="16" t="str">
        <f>IFERROR(VLOOKUP(G186,Proveedores!B:C,2,0)," ")</f>
        <v xml:space="preserve"> </v>
      </c>
      <c r="J186" s="745">
        <v>0</v>
      </c>
      <c r="K186" s="745" t="str">
        <f t="shared" si="108"/>
        <v>Not Found</v>
      </c>
      <c r="L186" s="16">
        <f>IF(K186="Importado",Fletes!$B$66,0%)</f>
        <v>0</v>
      </c>
      <c r="M186" s="745">
        <f t="shared" si="121"/>
        <v>0</v>
      </c>
      <c r="N186" s="16">
        <f>IF(K186&lt;&gt;"Importado",0%,IF(Fletes!$B$67&lt;10,15%,IF(Fletes!$B$67&lt;20,10%,5%)))</f>
        <v>0</v>
      </c>
      <c r="O186" s="745" t="str">
        <f>IFERROR(IF(OR(F186="Offiho",F186="Lauco Sofas",F186="Requiez",F186="Labenze",F186="Sunon Mty",F186="Sonara"),(M186*(1-_xlfn.XLOOKUP(F186,Proveedores!A:A,Proveedores!I:I)))*(1+N186),((M186*(1-_xlfn.XLOOKUP(F186,Proveedores!A:A,Proveedores!I:I)))*(1+N186))+U186),"")</f>
        <v/>
      </c>
      <c r="P186" s="1031"/>
      <c r="Q186" s="1133">
        <f>IF(K186&lt;&gt;"Importado",0,IF(P186&gt;0,P186*H186,IFERROR(_xlfn.XLOOKUP(F186,Proveedores!A:A,Proveedores!F:F,0)*H186,0)))</f>
        <v>0</v>
      </c>
      <c r="R186" s="1134" t="e">
        <f t="shared" si="122"/>
        <v>#VALUE!</v>
      </c>
      <c r="S186" s="743"/>
      <c r="T186" s="1034" t="e">
        <f t="shared" si="109"/>
        <v>#N/A</v>
      </c>
      <c r="U186" s="1034" t="e">
        <f t="shared" si="123"/>
        <v>#N/A</v>
      </c>
      <c r="V186" s="1165" t="e">
        <f t="shared" si="110"/>
        <v>#N/A</v>
      </c>
      <c r="W186" s="1034" t="e">
        <f t="shared" si="124"/>
        <v>#N/A</v>
      </c>
      <c r="X186" s="1034" t="b">
        <f t="shared" si="125"/>
        <v>0</v>
      </c>
      <c r="Y186" s="1034">
        <f t="shared" si="126"/>
        <v>0</v>
      </c>
      <c r="Z186" s="1034">
        <f t="shared" si="127"/>
        <v>0</v>
      </c>
      <c r="AA186" s="1034">
        <f t="shared" si="111"/>
        <v>0</v>
      </c>
      <c r="AB186" s="1034">
        <f t="shared" si="112"/>
        <v>0</v>
      </c>
      <c r="AC186" s="1033">
        <f t="shared" si="128"/>
        <v>0</v>
      </c>
      <c r="AD186" s="1266">
        <f t="shared" si="113"/>
        <v>0</v>
      </c>
      <c r="AE186" s="1093">
        <f t="shared" si="129"/>
        <v>0</v>
      </c>
      <c r="AF186" s="1093">
        <f t="shared" si="130"/>
        <v>0</v>
      </c>
      <c r="AG186" s="1093">
        <f t="shared" si="114"/>
        <v>0</v>
      </c>
      <c r="AH186" s="1033" t="e">
        <f t="shared" si="115"/>
        <v>#DIV/0!</v>
      </c>
      <c r="AI186" s="1091">
        <f t="shared" si="116"/>
        <v>0</v>
      </c>
      <c r="AJ186" s="1094">
        <f t="shared" si="117"/>
        <v>0</v>
      </c>
      <c r="AK186" s="1053" t="str">
        <f t="shared" si="118"/>
        <v/>
      </c>
      <c r="AL186" s="1053"/>
      <c r="AM186" s="1290">
        <f>_xlfn.XLOOKUP(F186,Proveedores!A:A,Proveedores!G:G)</f>
        <v>0</v>
      </c>
      <c r="AN186" s="1095" t="str">
        <f t="shared" si="131"/>
        <v>OK</v>
      </c>
    </row>
    <row r="187" spans="1:40" ht="15.95">
      <c r="A187" s="1090" t="b">
        <f t="shared" si="106"/>
        <v>1</v>
      </c>
      <c r="B187" s="1091" t="b">
        <f t="shared" si="119"/>
        <v>1</v>
      </c>
      <c r="C187" s="1092" t="str">
        <f t="shared" si="120"/>
        <v>Dólares</v>
      </c>
      <c r="D187" s="14"/>
      <c r="E187" s="743"/>
      <c r="F187" s="17"/>
      <c r="G187" s="17" t="str">
        <f t="shared" si="107"/>
        <v xml:space="preserve"> </v>
      </c>
      <c r="H187" s="12">
        <v>0</v>
      </c>
      <c r="I187" s="16" t="str">
        <f>IFERROR(VLOOKUP(G187,Proveedores!B:C,2,0)," ")</f>
        <v xml:space="preserve"> </v>
      </c>
      <c r="J187" s="745">
        <v>0</v>
      </c>
      <c r="K187" s="745" t="str">
        <f t="shared" si="108"/>
        <v>Not Found</v>
      </c>
      <c r="L187" s="16">
        <f>IF(K187="Importado",Fletes!$B$66,0%)</f>
        <v>0</v>
      </c>
      <c r="M187" s="745">
        <f t="shared" si="121"/>
        <v>0</v>
      </c>
      <c r="N187" s="16">
        <f>IF(K187&lt;&gt;"Importado",0%,IF(Fletes!$B$67&lt;10,15%,IF(Fletes!$B$67&lt;20,10%,5%)))</f>
        <v>0</v>
      </c>
      <c r="O187" s="745" t="str">
        <f>IFERROR(IF(OR(F187="Offiho",F187="Lauco Sofas",F187="Requiez",F187="Labenze",F187="Sunon Mty",F187="Sonara"),(M187*(1-_xlfn.XLOOKUP(F187,Proveedores!A:A,Proveedores!I:I)))*(1+N187),((M187*(1-_xlfn.XLOOKUP(F187,Proveedores!A:A,Proveedores!I:I)))*(1+N187))+U187),"")</f>
        <v/>
      </c>
      <c r="P187" s="1031"/>
      <c r="Q187" s="1133">
        <f>IF(K187&lt;&gt;"Importado",0,IF(P187&gt;0,P187*H187,IFERROR(_xlfn.XLOOKUP(F187,Proveedores!A:A,Proveedores!F:F,0)*H187,0)))</f>
        <v>0</v>
      </c>
      <c r="R187" s="1134" t="e">
        <f t="shared" si="122"/>
        <v>#VALUE!</v>
      </c>
      <c r="S187" s="743"/>
      <c r="T187" s="1034" t="e">
        <f t="shared" si="109"/>
        <v>#N/A</v>
      </c>
      <c r="U187" s="1034" t="e">
        <f t="shared" si="123"/>
        <v>#N/A</v>
      </c>
      <c r="V187" s="1165" t="e">
        <f t="shared" si="110"/>
        <v>#N/A</v>
      </c>
      <c r="W187" s="1034" t="e">
        <f t="shared" si="124"/>
        <v>#N/A</v>
      </c>
      <c r="X187" s="1034" t="b">
        <f t="shared" si="125"/>
        <v>0</v>
      </c>
      <c r="Y187" s="1034">
        <f t="shared" si="126"/>
        <v>0</v>
      </c>
      <c r="Z187" s="1034">
        <f t="shared" si="127"/>
        <v>0</v>
      </c>
      <c r="AA187" s="1034">
        <f t="shared" si="111"/>
        <v>0</v>
      </c>
      <c r="AB187" s="1034">
        <f t="shared" si="112"/>
        <v>0</v>
      </c>
      <c r="AC187" s="1033">
        <f t="shared" si="128"/>
        <v>0</v>
      </c>
      <c r="AD187" s="1266">
        <f t="shared" si="113"/>
        <v>0</v>
      </c>
      <c r="AE187" s="1093">
        <f t="shared" si="129"/>
        <v>0</v>
      </c>
      <c r="AF187" s="1093">
        <f t="shared" si="130"/>
        <v>0</v>
      </c>
      <c r="AG187" s="1093">
        <f t="shared" si="114"/>
        <v>0</v>
      </c>
      <c r="AH187" s="1033" t="str">
        <f t="shared" si="115"/>
        <v>NA</v>
      </c>
      <c r="AI187" s="1091">
        <f t="shared" si="116"/>
        <v>0</v>
      </c>
      <c r="AJ187" s="1094">
        <f t="shared" si="117"/>
        <v>0</v>
      </c>
      <c r="AK187" s="1053" t="str">
        <f t="shared" si="118"/>
        <v/>
      </c>
      <c r="AL187" s="1053"/>
      <c r="AM187" s="1290">
        <f>_xlfn.XLOOKUP(F187,Proveedores!A:A,Proveedores!G:G)</f>
        <v>0</v>
      </c>
      <c r="AN187" s="1095" t="str">
        <f t="shared" si="131"/>
        <v>OK</v>
      </c>
    </row>
    <row r="188" spans="1:40" ht="24" customHeight="1">
      <c r="A188" s="1375" t="s">
        <v>135</v>
      </c>
      <c r="B188" s="1375"/>
      <c r="C188" s="1375"/>
      <c r="D188" s="1375"/>
      <c r="E188" s="1375"/>
      <c r="F188" s="1375"/>
      <c r="G188" s="1099"/>
      <c r="H188" s="1100" cm="1">
        <f t="array" ref="H188">SUM(IFERROR(H155:H187,0))</f>
        <v>0</v>
      </c>
      <c r="I188" s="1099"/>
      <c r="J188" s="1101"/>
      <c r="K188" s="1101"/>
      <c r="L188" s="1101"/>
      <c r="M188" s="1101"/>
      <c r="N188" s="1101"/>
      <c r="O188" s="1101"/>
      <c r="P188" s="1102"/>
      <c r="Q188" s="1100" cm="1">
        <f t="array" ref="Q188">SUM(IFERROR(Q155:Q187,0))</f>
        <v>0</v>
      </c>
      <c r="R188" s="1103" cm="1">
        <f t="array" ref="R188">SUM(IFERROR(R155:R187,0))</f>
        <v>0</v>
      </c>
      <c r="S188" s="1104"/>
      <c r="T188" s="1104"/>
      <c r="U188" s="1104"/>
      <c r="V188" s="1104"/>
      <c r="W188" s="1104"/>
      <c r="X188" s="1104"/>
      <c r="Y188" s="1102"/>
      <c r="Z188" s="1102"/>
      <c r="AA188" s="1102"/>
      <c r="AB188" s="1103" cm="1">
        <f t="array" ref="AB188">SUM(IFERROR(AB155:AB187,0))</f>
        <v>0</v>
      </c>
      <c r="AC188" s="1104" t="s">
        <v>127</v>
      </c>
      <c r="AD188" s="1104"/>
      <c r="AE188" s="1104"/>
      <c r="AF188" s="1104"/>
      <c r="AG188" s="1103" cm="1">
        <f t="array" ref="AG188">SUM(IFERROR(AG155:AG187,0))</f>
        <v>0</v>
      </c>
      <c r="AH188" s="1103"/>
      <c r="AI188" s="1103"/>
      <c r="AJ188" s="1103" cm="1">
        <f t="array" ref="AJ188">SUM(IFERROR(AJ155:AJ187,0))</f>
        <v>0</v>
      </c>
      <c r="AK188" s="1054" cm="1">
        <f t="array" ref="AK188">IFERROR(SUMPRODUCT(IFERROR(AG155:AG187,0),IFERROR(AK155:AK187,0))/SUMPRODUCT(IFERROR(AG155:AG187,0)),0)</f>
        <v>0</v>
      </c>
      <c r="AL188" s="1288"/>
      <c r="AM188" s="1288"/>
      <c r="AN188"/>
    </row>
    <row r="189" spans="1:40" ht="26.1" customHeight="1">
      <c r="A189" s="1397" t="s">
        <v>136</v>
      </c>
      <c r="B189" s="1397"/>
      <c r="C189" s="1397"/>
      <c r="D189" s="1397"/>
      <c r="E189" s="1397"/>
      <c r="F189" s="1397"/>
      <c r="G189" s="1397"/>
      <c r="H189" s="1397"/>
      <c r="I189" s="1397"/>
      <c r="J189" s="1398"/>
      <c r="K189" s="1160"/>
      <c r="L189" s="1160"/>
      <c r="M189" s="1160"/>
      <c r="N189" s="1160"/>
      <c r="O189" s="1160"/>
      <c r="P189" s="1088"/>
      <c r="Q189" s="1088"/>
      <c r="R189" s="1088"/>
      <c r="S189" s="1087"/>
      <c r="T189" s="1087"/>
      <c r="U189" s="1087"/>
      <c r="V189" s="1087"/>
      <c r="W189" s="1087"/>
      <c r="X189" s="1087"/>
      <c r="Y189" s="1055"/>
      <c r="Z189" s="1055"/>
      <c r="AA189" s="1055"/>
      <c r="AB189" s="1055"/>
      <c r="AC189" s="1055"/>
      <c r="AD189" s="1087"/>
      <c r="AE189" s="1087"/>
      <c r="AF189" s="1087"/>
      <c r="AG189" s="1087"/>
      <c r="AH189" s="1087"/>
      <c r="AI189" s="1087"/>
      <c r="AJ189" s="1087"/>
      <c r="AK189" s="1089"/>
      <c r="AL189" s="1287"/>
      <c r="AM189" s="1287"/>
      <c r="AN189"/>
    </row>
    <row r="190" spans="1:40" ht="15.95">
      <c r="A190" s="1090" t="b">
        <f t="shared" ref="A190:A222" si="132">$A$14</f>
        <v>1</v>
      </c>
      <c r="B190" s="1091" t="b">
        <f>A190</f>
        <v>1</v>
      </c>
      <c r="C190" s="1092" t="str">
        <f>$C$14</f>
        <v>Dólares</v>
      </c>
      <c r="D190" s="11"/>
      <c r="E190" s="743"/>
      <c r="F190" s="17"/>
      <c r="G190" s="17" t="str">
        <f t="shared" ref="G190:G222" si="133">IFERROR(VLOOKUP(F190,Tabla_Proveedores_1,2,0)," ")</f>
        <v xml:space="preserve"> </v>
      </c>
      <c r="H190" s="12">
        <v>0</v>
      </c>
      <c r="I190" s="16" t="str">
        <f>IFERROR(VLOOKUP(G190,Proveedores!B:C,2,0)," ")</f>
        <v xml:space="preserve"> </v>
      </c>
      <c r="J190" s="745">
        <v>0</v>
      </c>
      <c r="K190" s="745" t="str">
        <f t="shared" ref="K190:K222" si="134">IFERROR(VLOOKUP(TRIM(F190), ProveedoreS_TC, 5, FALSE), "Not Found")</f>
        <v>Not Found</v>
      </c>
      <c r="L190" s="16">
        <f>IF(K190="Importado",Fletes!$B$66,0%)</f>
        <v>0</v>
      </c>
      <c r="M190" s="745">
        <f>IF(K190="Importado",J190*(1+L190),J190*(1+L190))</f>
        <v>0</v>
      </c>
      <c r="N190" s="16">
        <f>IF(K190&lt;&gt;"Importado",0%,IF(Fletes!$B$67&lt;10,15%,IF(Fletes!$B$67&lt;20,10%,5%)))</f>
        <v>0</v>
      </c>
      <c r="O190" s="745" t="str">
        <f>IFERROR(IF(OR(F190="Offiho",F190="Lauco Sofas",F190="Requiez",F190="Labenze",F190="Sunon Mty",F190="Sonara"),(M190*(1-_xlfn.XLOOKUP(F190,Proveedores!A:A,Proveedores!I:I)))*(1+N190),((M190*(1-_xlfn.XLOOKUP(F190,Proveedores!A:A,Proveedores!I:I)))*(1+N190))+U190),"")</f>
        <v/>
      </c>
      <c r="P190" s="1031"/>
      <c r="Q190" s="1133">
        <f>IF(K190&lt;&gt;"Importado",0,IF(P190&gt;0,P190*H190,IFERROR(_xlfn.XLOOKUP(F190,Proveedores!A:A,Proveedores!F:F,0)*H190,0)))</f>
        <v>0</v>
      </c>
      <c r="R190" s="1134" t="e">
        <f>O190*H190</f>
        <v>#VALUE!</v>
      </c>
      <c r="S190" s="743"/>
      <c r="T190" s="1034" t="e">
        <f t="shared" ref="T190:T222" si="135">IF(H190&gt;15,0,VLOOKUP(E190,Tabla_Instalacion,2,FALSE))</f>
        <v>#N/A</v>
      </c>
      <c r="U190" s="1034" t="e">
        <f>X190/V190</f>
        <v>#N/A</v>
      </c>
      <c r="V190" s="1165" t="e">
        <f t="shared" ref="V190:V222" si="136">VLOOKUP(E190,Tabla_Factor,2,FALSE)</f>
        <v>#N/A</v>
      </c>
      <c r="W190" s="1034" t="e">
        <f>T190*V190</f>
        <v>#N/A</v>
      </c>
      <c r="X190" s="1034" t="b">
        <f>IF(S190="Occidente",W190,IF(S190="Norte",W190*1.5,IF(S190="Centro",W190*1.2,IF(S190="Sur",W190*1.7))))</f>
        <v>0</v>
      </c>
      <c r="Y190" s="1034">
        <f>ROUNDUP(IF(OR(F190="Offiho",F190="Lauco Sofas",F190="Requiez",F190="Labenze",F190="Sunon Mty",F190="Sonara",F190="Santeco"),J190,IF(K190="Nacional",O190/(1-30%),IF(K190="Importado",O190/(1-40%),IF(OR(F190="Lumbro",F190="Idelika"),O190/(1-20%))))),0)</f>
        <v>0</v>
      </c>
      <c r="Z190" s="1034">
        <f>ROUNDUP(IF(OR(F190="Offiho",F190="Lauco Sofas",F190="Requiez",F190="Labenze",F190="Sunon Mty",F190="Sonara",F190="Sonara"),Y190,IF($P$10="MIXTO",IF(K190="Nacional",Y190/(1-50%),Y190/(1-50%)),IF($P$10="IMPORTADO",Y190/(1-50%),IF($P$10="NACIONAL",Y190/(1-20%),Y190/(1-20%))))),0)</f>
        <v>0</v>
      </c>
      <c r="AA190" s="1034">
        <f t="shared" ref="AA190:AA222" si="137">IF(Z190&gt;=Y190,_xlfn.MINIFS($Z$15:$Z$572,$D$15:$D$572,D190),"NO SE ESTA RESPETANDO EL MARGEN")</f>
        <v>0</v>
      </c>
      <c r="AB190" s="1034">
        <f t="shared" ref="AB190:AB222" si="138">IFERROR(AA190*H190,0)</f>
        <v>0</v>
      </c>
      <c r="AC190" s="1033">
        <f>IF($P$10="IMPORTADO",50%,IF($P$10="NACIONAL",20%,IF($P$10="MIXTO",50%,0%)))</f>
        <v>0</v>
      </c>
      <c r="AD190" s="1266">
        <f t="shared" ref="AD190:AD222" si="139">IF(H190&gt;0,$E$5,0)</f>
        <v>0</v>
      </c>
      <c r="AE190" s="1093">
        <f>IFERROR(AA190*AD190,0)</f>
        <v>0</v>
      </c>
      <c r="AF190" s="1093">
        <f>IF($E$5&gt;$E$6,"ERROR",AA190-AE190)</f>
        <v>0</v>
      </c>
      <c r="AG190" s="1093">
        <f t="shared" ref="AG190:AG222" si="140">AF190*H190</f>
        <v>0</v>
      </c>
      <c r="AH190" s="1033" t="e">
        <f t="shared" ref="AH190:AH222" si="141">IF(A191=TRUE,MAX(0,1-(AI190/Z190)),"NA")</f>
        <v>#DIV/0!</v>
      </c>
      <c r="AI190" s="1091">
        <f t="shared" ref="AI190:AI222" si="142">IF(A189=FALSE,"NO APLICA",AF190*(1+$AI$8))</f>
        <v>0</v>
      </c>
      <c r="AJ190" s="1094">
        <f t="shared" ref="AJ190:AJ222" si="143">AI190*H190</f>
        <v>0</v>
      </c>
      <c r="AK190" s="1053" t="str">
        <f t="shared" ref="AK190:AK222" si="144">IFERROR(IF(OR(F190="Offiho",F190="Vandesk",F190="Requiez",F190="Labenze",F190="Idelika",F190="Sunon Mty"),(AG190-(J190*(1-I190)*H190))/AG190,(AG190-R190)/AG190),"")</f>
        <v/>
      </c>
      <c r="AL190" s="1053"/>
      <c r="AM190" s="1290">
        <f>_xlfn.XLOOKUP(F190,Proveedores!A:A,Proveedores!G:G)</f>
        <v>0</v>
      </c>
      <c r="AN190" s="1095" t="str">
        <f>IF(AK190&lt;AM190,"ERROR","OK")</f>
        <v>OK</v>
      </c>
    </row>
    <row r="191" spans="1:40" ht="15.95">
      <c r="A191" s="1090" t="b">
        <f t="shared" si="132"/>
        <v>1</v>
      </c>
      <c r="B191" s="1091" t="b">
        <f t="shared" ref="B191:B222" si="145">A191</f>
        <v>1</v>
      </c>
      <c r="C191" s="1092" t="str">
        <f t="shared" ref="C191:C222" si="146">$C$14</f>
        <v>Dólares</v>
      </c>
      <c r="D191" s="13"/>
      <c r="E191" s="743"/>
      <c r="F191" s="17"/>
      <c r="G191" s="17" t="str">
        <f t="shared" si="133"/>
        <v xml:space="preserve"> </v>
      </c>
      <c r="H191" s="12">
        <v>0</v>
      </c>
      <c r="I191" s="16" t="str">
        <f>IFERROR(VLOOKUP(G191,Proveedores!B:C,2,0)," ")</f>
        <v xml:space="preserve"> </v>
      </c>
      <c r="J191" s="745">
        <v>0</v>
      </c>
      <c r="K191" s="745" t="str">
        <f t="shared" si="134"/>
        <v>Not Found</v>
      </c>
      <c r="L191" s="16">
        <f>IF(K191="Importado",Fletes!$B$66,0%)</f>
        <v>0</v>
      </c>
      <c r="M191" s="745">
        <f t="shared" ref="M191:M222" si="147">IF(K191="Importado",J191*(1+L191),J191*(1+L191))</f>
        <v>0</v>
      </c>
      <c r="N191" s="16">
        <f>IF(K191&lt;&gt;"Importado",0%,IF(Fletes!$B$67&lt;10,15%,IF(Fletes!$B$67&lt;20,10%,5%)))</f>
        <v>0</v>
      </c>
      <c r="O191" s="745" t="str">
        <f>IFERROR(IF(OR(F191="Offiho",F191="Lauco Sofas",F191="Requiez",F191="Labenze",F191="Sunon Mty",F191="Sonara"),(M191*(1-_xlfn.XLOOKUP(F191,Proveedores!A:A,Proveedores!I:I)))*(1+N191),((M191*(1-_xlfn.XLOOKUP(F191,Proveedores!A:A,Proveedores!I:I)))*(1+N191))+U191),"")</f>
        <v/>
      </c>
      <c r="P191" s="1031"/>
      <c r="Q191" s="1133">
        <f>IF(K191&lt;&gt;"Importado",0,IF(P191&gt;0,P191*H191,IFERROR(_xlfn.XLOOKUP(F191,Proveedores!A:A,Proveedores!F:F,0)*H191,0)))</f>
        <v>0</v>
      </c>
      <c r="R191" s="1134" t="e">
        <f t="shared" ref="R191:R222" si="148">O191*H191</f>
        <v>#VALUE!</v>
      </c>
      <c r="S191" s="743"/>
      <c r="T191" s="1034" t="e">
        <f t="shared" si="135"/>
        <v>#N/A</v>
      </c>
      <c r="U191" s="1034" t="e">
        <f t="shared" ref="U191:U222" si="149">X191/V191</f>
        <v>#N/A</v>
      </c>
      <c r="V191" s="1165" t="e">
        <f t="shared" si="136"/>
        <v>#N/A</v>
      </c>
      <c r="W191" s="1034" t="e">
        <f t="shared" ref="W191:W222" si="150">T191*V191</f>
        <v>#N/A</v>
      </c>
      <c r="X191" s="1034" t="b">
        <f t="shared" ref="X191:X222" si="151">IF(S191="Occidente",W191,IF(S191="Norte",W191*1.5,IF(S191="Centro",W191*1.2,IF(S191="Sur",W191*1.7))))</f>
        <v>0</v>
      </c>
      <c r="Y191" s="1034">
        <f t="shared" ref="Y191:Y222" si="152">ROUNDUP(IF(OR(F191="Offiho",F191="Lauco Sofas",F191="Requiez",F191="Labenze",F191="Sunon Mty",F191="Sonara",F191="Santeco"),J191,IF(K191="Nacional",O191/(1-30%),IF(K191="Importado",O191/(1-40%),IF(OR(F191="Lumbro",F191="Idelika"),O191/(1-20%))))),0)</f>
        <v>0</v>
      </c>
      <c r="Z191" s="1034">
        <f t="shared" ref="Z191:Z222" si="153">ROUNDUP(IF(OR(F191="Offiho",F191="Lauco Sofas",F191="Requiez",F191="Labenze",F191="Sunon Mty",F191="Sonara",F191="Sonara"),Y191,IF($P$10="MIXTO",IF(K191="Nacional",Y191/(1-50%),Y191/(1-50%)),IF($P$10="IMPORTADO",Y191/(1-50%),IF($P$10="NACIONAL",Y191/(1-20%),Y191/(1-20%))))),0)</f>
        <v>0</v>
      </c>
      <c r="AA191" s="1034">
        <f t="shared" si="137"/>
        <v>0</v>
      </c>
      <c r="AB191" s="1034">
        <f t="shared" si="138"/>
        <v>0</v>
      </c>
      <c r="AC191" s="1033">
        <f t="shared" ref="AC191:AC222" si="154">IF($P$10="IMPORTADO",50%,IF($P$10="NACIONAL",20%,IF($P$10="MIXTO",50%,0%)))</f>
        <v>0</v>
      </c>
      <c r="AD191" s="1266">
        <f t="shared" si="139"/>
        <v>0</v>
      </c>
      <c r="AE191" s="1093">
        <f t="shared" ref="AE191:AE222" si="155">IFERROR(AA191*AD191,0)</f>
        <v>0</v>
      </c>
      <c r="AF191" s="1093">
        <f t="shared" ref="AF191:AF222" si="156">IF($E$5&gt;$E$6,"ERROR",AA191-AE191)</f>
        <v>0</v>
      </c>
      <c r="AG191" s="1093">
        <f t="shared" si="140"/>
        <v>0</v>
      </c>
      <c r="AH191" s="1033" t="e">
        <f t="shared" si="141"/>
        <v>#DIV/0!</v>
      </c>
      <c r="AI191" s="1091">
        <f t="shared" si="142"/>
        <v>0</v>
      </c>
      <c r="AJ191" s="1094">
        <f t="shared" si="143"/>
        <v>0</v>
      </c>
      <c r="AK191" s="1053" t="str">
        <f t="shared" si="144"/>
        <v/>
      </c>
      <c r="AL191" s="1053"/>
      <c r="AM191" s="1290">
        <f>_xlfn.XLOOKUP(F191,Proveedores!A:A,Proveedores!G:G)</f>
        <v>0</v>
      </c>
      <c r="AN191" s="1095" t="str">
        <f t="shared" ref="AN191:AN222" si="157">IF(AK191&lt;AM191,"ERROR","OK")</f>
        <v>OK</v>
      </c>
    </row>
    <row r="192" spans="1:40" ht="15.95">
      <c r="A192" s="1090" t="b">
        <f t="shared" si="132"/>
        <v>1</v>
      </c>
      <c r="B192" s="1091" t="b">
        <f t="shared" si="145"/>
        <v>1</v>
      </c>
      <c r="C192" s="1092" t="str">
        <f t="shared" si="146"/>
        <v>Dólares</v>
      </c>
      <c r="D192" s="13"/>
      <c r="E192" s="743"/>
      <c r="F192" s="17"/>
      <c r="G192" s="17" t="str">
        <f t="shared" si="133"/>
        <v xml:space="preserve"> </v>
      </c>
      <c r="H192" s="12">
        <v>0</v>
      </c>
      <c r="I192" s="16" t="str">
        <f>IFERROR(VLOOKUP(G192,Proveedores!B:C,2,0)," ")</f>
        <v xml:space="preserve"> </v>
      </c>
      <c r="J192" s="745">
        <v>0</v>
      </c>
      <c r="K192" s="745" t="str">
        <f t="shared" si="134"/>
        <v>Not Found</v>
      </c>
      <c r="L192" s="16">
        <f>IF(K192="Importado",Fletes!$B$66,0%)</f>
        <v>0</v>
      </c>
      <c r="M192" s="745">
        <f t="shared" si="147"/>
        <v>0</v>
      </c>
      <c r="N192" s="16">
        <f>IF(K192&lt;&gt;"Importado",0%,IF(Fletes!$B$67&lt;10,15%,IF(Fletes!$B$67&lt;20,10%,5%)))</f>
        <v>0</v>
      </c>
      <c r="O192" s="745" t="str">
        <f>IFERROR(IF(OR(F192="Offiho",F192="Lauco Sofas",F192="Requiez",F192="Labenze",F192="Sunon Mty",F192="Sonara"),(M192*(1-_xlfn.XLOOKUP(F192,Proveedores!A:A,Proveedores!I:I)))*(1+N192),((M192*(1-_xlfn.XLOOKUP(F192,Proveedores!A:A,Proveedores!I:I)))*(1+N192))+U192),"")</f>
        <v/>
      </c>
      <c r="P192" s="1031"/>
      <c r="Q192" s="1133">
        <f>IF(K192&lt;&gt;"Importado",0,IF(P192&gt;0,P192*H192,IFERROR(_xlfn.XLOOKUP(F192,Proveedores!A:A,Proveedores!F:F,0)*H192,0)))</f>
        <v>0</v>
      </c>
      <c r="R192" s="1134" t="e">
        <f t="shared" si="148"/>
        <v>#VALUE!</v>
      </c>
      <c r="S192" s="743"/>
      <c r="T192" s="1034" t="e">
        <f t="shared" si="135"/>
        <v>#N/A</v>
      </c>
      <c r="U192" s="1034" t="e">
        <f t="shared" si="149"/>
        <v>#N/A</v>
      </c>
      <c r="V192" s="1165" t="e">
        <f t="shared" si="136"/>
        <v>#N/A</v>
      </c>
      <c r="W192" s="1034" t="e">
        <f t="shared" si="150"/>
        <v>#N/A</v>
      </c>
      <c r="X192" s="1034" t="b">
        <f t="shared" si="151"/>
        <v>0</v>
      </c>
      <c r="Y192" s="1034">
        <f t="shared" si="152"/>
        <v>0</v>
      </c>
      <c r="Z192" s="1034">
        <f t="shared" si="153"/>
        <v>0</v>
      </c>
      <c r="AA192" s="1034">
        <f t="shared" si="137"/>
        <v>0</v>
      </c>
      <c r="AB192" s="1034">
        <f t="shared" si="138"/>
        <v>0</v>
      </c>
      <c r="AC192" s="1033">
        <f t="shared" si="154"/>
        <v>0</v>
      </c>
      <c r="AD192" s="1266">
        <f t="shared" si="139"/>
        <v>0</v>
      </c>
      <c r="AE192" s="1093">
        <f t="shared" si="155"/>
        <v>0</v>
      </c>
      <c r="AF192" s="1093">
        <f t="shared" si="156"/>
        <v>0</v>
      </c>
      <c r="AG192" s="1093">
        <f t="shared" si="140"/>
        <v>0</v>
      </c>
      <c r="AH192" s="1033" t="e">
        <f t="shared" si="141"/>
        <v>#DIV/0!</v>
      </c>
      <c r="AI192" s="1091">
        <f t="shared" si="142"/>
        <v>0</v>
      </c>
      <c r="AJ192" s="1094">
        <f t="shared" si="143"/>
        <v>0</v>
      </c>
      <c r="AK192" s="1053" t="str">
        <f t="shared" si="144"/>
        <v/>
      </c>
      <c r="AL192" s="1053"/>
      <c r="AM192" s="1290">
        <f>_xlfn.XLOOKUP(F192,Proveedores!A:A,Proveedores!G:G)</f>
        <v>0</v>
      </c>
      <c r="AN192" s="1095" t="str">
        <f t="shared" si="157"/>
        <v>OK</v>
      </c>
    </row>
    <row r="193" spans="1:40" ht="15.95">
      <c r="A193" s="1090" t="b">
        <f t="shared" si="132"/>
        <v>1</v>
      </c>
      <c r="B193" s="1091" t="b">
        <f t="shared" si="145"/>
        <v>1</v>
      </c>
      <c r="C193" s="1092" t="str">
        <f t="shared" si="146"/>
        <v>Dólares</v>
      </c>
      <c r="D193" s="13"/>
      <c r="E193" s="743"/>
      <c r="F193" s="17"/>
      <c r="G193" s="17" t="str">
        <f t="shared" si="133"/>
        <v xml:space="preserve"> </v>
      </c>
      <c r="H193" s="12">
        <v>0</v>
      </c>
      <c r="I193" s="16" t="str">
        <f>IFERROR(VLOOKUP(G193,Proveedores!B:C,2,0)," ")</f>
        <v xml:space="preserve"> </v>
      </c>
      <c r="J193" s="745">
        <v>0</v>
      </c>
      <c r="K193" s="745" t="str">
        <f t="shared" si="134"/>
        <v>Not Found</v>
      </c>
      <c r="L193" s="16">
        <f>IF(K193="Importado",Fletes!$B$66,0%)</f>
        <v>0</v>
      </c>
      <c r="M193" s="745">
        <f t="shared" si="147"/>
        <v>0</v>
      </c>
      <c r="N193" s="16">
        <f>IF(K193&lt;&gt;"Importado",0%,IF(Fletes!$B$67&lt;10,15%,IF(Fletes!$B$67&lt;20,10%,5%)))</f>
        <v>0</v>
      </c>
      <c r="O193" s="745" t="str">
        <f>IFERROR(IF(OR(F193="Offiho",F193="Lauco Sofas",F193="Requiez",F193="Labenze",F193="Sunon Mty",F193="Sonara"),(M193*(1-_xlfn.XLOOKUP(F193,Proveedores!A:A,Proveedores!I:I)))*(1+N193),((M193*(1-_xlfn.XLOOKUP(F193,Proveedores!A:A,Proveedores!I:I)))*(1+N193))+U193),"")</f>
        <v/>
      </c>
      <c r="P193" s="1031"/>
      <c r="Q193" s="1133">
        <f>IF(K193&lt;&gt;"Importado",0,IF(P193&gt;0,P193*H193,IFERROR(_xlfn.XLOOKUP(F193,Proveedores!A:A,Proveedores!F:F,0)*H193,0)))</f>
        <v>0</v>
      </c>
      <c r="R193" s="1134" t="e">
        <f t="shared" si="148"/>
        <v>#VALUE!</v>
      </c>
      <c r="S193" s="743"/>
      <c r="T193" s="1034" t="e">
        <f t="shared" si="135"/>
        <v>#N/A</v>
      </c>
      <c r="U193" s="1034" t="e">
        <f t="shared" si="149"/>
        <v>#N/A</v>
      </c>
      <c r="V193" s="1165" t="e">
        <f t="shared" si="136"/>
        <v>#N/A</v>
      </c>
      <c r="W193" s="1034" t="e">
        <f t="shared" si="150"/>
        <v>#N/A</v>
      </c>
      <c r="X193" s="1034" t="b">
        <f t="shared" si="151"/>
        <v>0</v>
      </c>
      <c r="Y193" s="1034">
        <f t="shared" si="152"/>
        <v>0</v>
      </c>
      <c r="Z193" s="1034">
        <f t="shared" si="153"/>
        <v>0</v>
      </c>
      <c r="AA193" s="1034">
        <f t="shared" si="137"/>
        <v>0</v>
      </c>
      <c r="AB193" s="1034">
        <f t="shared" si="138"/>
        <v>0</v>
      </c>
      <c r="AC193" s="1033">
        <f t="shared" si="154"/>
        <v>0</v>
      </c>
      <c r="AD193" s="1266">
        <f t="shared" si="139"/>
        <v>0</v>
      </c>
      <c r="AE193" s="1093">
        <f t="shared" si="155"/>
        <v>0</v>
      </c>
      <c r="AF193" s="1093">
        <f t="shared" si="156"/>
        <v>0</v>
      </c>
      <c r="AG193" s="1093">
        <f t="shared" si="140"/>
        <v>0</v>
      </c>
      <c r="AH193" s="1033" t="e">
        <f t="shared" si="141"/>
        <v>#DIV/0!</v>
      </c>
      <c r="AI193" s="1091">
        <f t="shared" si="142"/>
        <v>0</v>
      </c>
      <c r="AJ193" s="1094">
        <f t="shared" si="143"/>
        <v>0</v>
      </c>
      <c r="AK193" s="1053" t="str">
        <f t="shared" si="144"/>
        <v/>
      </c>
      <c r="AL193" s="1053"/>
      <c r="AM193" s="1290">
        <f>_xlfn.XLOOKUP(F193,Proveedores!A:A,Proveedores!G:G)</f>
        <v>0</v>
      </c>
      <c r="AN193" s="1095" t="str">
        <f t="shared" si="157"/>
        <v>OK</v>
      </c>
    </row>
    <row r="194" spans="1:40" ht="15.95">
      <c r="A194" s="1090" t="b">
        <f t="shared" si="132"/>
        <v>1</v>
      </c>
      <c r="B194" s="1091" t="b">
        <f t="shared" si="145"/>
        <v>1</v>
      </c>
      <c r="C194" s="1092" t="str">
        <f t="shared" si="146"/>
        <v>Dólares</v>
      </c>
      <c r="D194" s="13"/>
      <c r="E194" s="743"/>
      <c r="F194" s="17"/>
      <c r="G194" s="17" t="str">
        <f t="shared" si="133"/>
        <v xml:space="preserve"> </v>
      </c>
      <c r="H194" s="12">
        <v>0</v>
      </c>
      <c r="I194" s="16" t="str">
        <f>IFERROR(VLOOKUP(G194,Proveedores!B:C,2,0)," ")</f>
        <v xml:space="preserve"> </v>
      </c>
      <c r="J194" s="745">
        <v>0</v>
      </c>
      <c r="K194" s="745" t="str">
        <f t="shared" si="134"/>
        <v>Not Found</v>
      </c>
      <c r="L194" s="16">
        <f>IF(K194="Importado",Fletes!$B$66,0%)</f>
        <v>0</v>
      </c>
      <c r="M194" s="745">
        <f t="shared" si="147"/>
        <v>0</v>
      </c>
      <c r="N194" s="16">
        <f>IF(K194&lt;&gt;"Importado",0%,IF(Fletes!$B$67&lt;10,15%,IF(Fletes!$B$67&lt;20,10%,5%)))</f>
        <v>0</v>
      </c>
      <c r="O194" s="745" t="str">
        <f>IFERROR(IF(OR(F194="Offiho",F194="Lauco Sofas",F194="Requiez",F194="Labenze",F194="Sunon Mty",F194="Sonara"),(M194*(1-_xlfn.XLOOKUP(F194,Proveedores!A:A,Proveedores!I:I)))*(1+N194),((M194*(1-_xlfn.XLOOKUP(F194,Proveedores!A:A,Proveedores!I:I)))*(1+N194))+U194),"")</f>
        <v/>
      </c>
      <c r="P194" s="1031"/>
      <c r="Q194" s="1133">
        <f>IF(K194&lt;&gt;"Importado",0,IF(P194&gt;0,P194*H194,IFERROR(_xlfn.XLOOKUP(F194,Proveedores!A:A,Proveedores!F:F,0)*H194,0)))</f>
        <v>0</v>
      </c>
      <c r="R194" s="1134" t="e">
        <f t="shared" si="148"/>
        <v>#VALUE!</v>
      </c>
      <c r="S194" s="743"/>
      <c r="T194" s="1034" t="e">
        <f t="shared" si="135"/>
        <v>#N/A</v>
      </c>
      <c r="U194" s="1034" t="e">
        <f t="shared" si="149"/>
        <v>#N/A</v>
      </c>
      <c r="V194" s="1165" t="e">
        <f t="shared" si="136"/>
        <v>#N/A</v>
      </c>
      <c r="W194" s="1034" t="e">
        <f t="shared" si="150"/>
        <v>#N/A</v>
      </c>
      <c r="X194" s="1034" t="b">
        <f t="shared" si="151"/>
        <v>0</v>
      </c>
      <c r="Y194" s="1034">
        <f t="shared" si="152"/>
        <v>0</v>
      </c>
      <c r="Z194" s="1034">
        <f t="shared" si="153"/>
        <v>0</v>
      </c>
      <c r="AA194" s="1034">
        <f t="shared" si="137"/>
        <v>0</v>
      </c>
      <c r="AB194" s="1034">
        <f t="shared" si="138"/>
        <v>0</v>
      </c>
      <c r="AC194" s="1033">
        <f t="shared" si="154"/>
        <v>0</v>
      </c>
      <c r="AD194" s="1266">
        <f t="shared" si="139"/>
        <v>0</v>
      </c>
      <c r="AE194" s="1093">
        <f t="shared" si="155"/>
        <v>0</v>
      </c>
      <c r="AF194" s="1093">
        <f t="shared" si="156"/>
        <v>0</v>
      </c>
      <c r="AG194" s="1093">
        <f t="shared" si="140"/>
        <v>0</v>
      </c>
      <c r="AH194" s="1033" t="e">
        <f t="shared" si="141"/>
        <v>#DIV/0!</v>
      </c>
      <c r="AI194" s="1091">
        <f t="shared" si="142"/>
        <v>0</v>
      </c>
      <c r="AJ194" s="1094">
        <f t="shared" si="143"/>
        <v>0</v>
      </c>
      <c r="AK194" s="1053" t="str">
        <f t="shared" si="144"/>
        <v/>
      </c>
      <c r="AL194" s="1053"/>
      <c r="AM194" s="1290">
        <f>_xlfn.XLOOKUP(F194,Proveedores!A:A,Proveedores!G:G)</f>
        <v>0</v>
      </c>
      <c r="AN194" s="1095" t="str">
        <f t="shared" si="157"/>
        <v>OK</v>
      </c>
    </row>
    <row r="195" spans="1:40" ht="15.95">
      <c r="A195" s="1090" t="b">
        <f t="shared" si="132"/>
        <v>1</v>
      </c>
      <c r="B195" s="1091" t="b">
        <f t="shared" si="145"/>
        <v>1</v>
      </c>
      <c r="C195" s="1092" t="str">
        <f t="shared" si="146"/>
        <v>Dólares</v>
      </c>
      <c r="D195" s="13"/>
      <c r="E195" s="743"/>
      <c r="F195" s="17"/>
      <c r="G195" s="17" t="str">
        <f t="shared" si="133"/>
        <v xml:space="preserve"> </v>
      </c>
      <c r="H195" s="12">
        <v>0</v>
      </c>
      <c r="I195" s="16" t="str">
        <f>IFERROR(VLOOKUP(G195,Proveedores!B:C,2,0)," ")</f>
        <v xml:space="preserve"> </v>
      </c>
      <c r="J195" s="745">
        <v>0</v>
      </c>
      <c r="K195" s="745" t="str">
        <f t="shared" si="134"/>
        <v>Not Found</v>
      </c>
      <c r="L195" s="16">
        <f>IF(K195="Importado",Fletes!$B$66,0%)</f>
        <v>0</v>
      </c>
      <c r="M195" s="745">
        <f t="shared" si="147"/>
        <v>0</v>
      </c>
      <c r="N195" s="16">
        <f>IF(K195&lt;&gt;"Importado",0%,IF(Fletes!$B$67&lt;10,15%,IF(Fletes!$B$67&lt;20,10%,5%)))</f>
        <v>0</v>
      </c>
      <c r="O195" s="745" t="str">
        <f>IFERROR(IF(OR(F195="Offiho",F195="Lauco Sofas",F195="Requiez",F195="Labenze",F195="Sunon Mty",F195="Sonara"),(M195*(1-_xlfn.XLOOKUP(F195,Proveedores!A:A,Proveedores!I:I)))*(1+N195),((M195*(1-_xlfn.XLOOKUP(F195,Proveedores!A:A,Proveedores!I:I)))*(1+N195))+U195),"")</f>
        <v/>
      </c>
      <c r="P195" s="1031"/>
      <c r="Q195" s="1133">
        <f>IF(K195&lt;&gt;"Importado",0,IF(P195&gt;0,P195*H195,IFERROR(_xlfn.XLOOKUP(F195,Proveedores!A:A,Proveedores!F:F,0)*H195,0)))</f>
        <v>0</v>
      </c>
      <c r="R195" s="1134" t="e">
        <f t="shared" si="148"/>
        <v>#VALUE!</v>
      </c>
      <c r="S195" s="743"/>
      <c r="T195" s="1034" t="e">
        <f t="shared" si="135"/>
        <v>#N/A</v>
      </c>
      <c r="U195" s="1034" t="e">
        <f t="shared" si="149"/>
        <v>#N/A</v>
      </c>
      <c r="V195" s="1165" t="e">
        <f t="shared" si="136"/>
        <v>#N/A</v>
      </c>
      <c r="W195" s="1034" t="e">
        <f t="shared" si="150"/>
        <v>#N/A</v>
      </c>
      <c r="X195" s="1034" t="b">
        <f t="shared" si="151"/>
        <v>0</v>
      </c>
      <c r="Y195" s="1034">
        <f t="shared" si="152"/>
        <v>0</v>
      </c>
      <c r="Z195" s="1034">
        <f t="shared" si="153"/>
        <v>0</v>
      </c>
      <c r="AA195" s="1034">
        <f t="shared" si="137"/>
        <v>0</v>
      </c>
      <c r="AB195" s="1034">
        <f t="shared" si="138"/>
        <v>0</v>
      </c>
      <c r="AC195" s="1033">
        <f t="shared" si="154"/>
        <v>0</v>
      </c>
      <c r="AD195" s="1266">
        <f t="shared" si="139"/>
        <v>0</v>
      </c>
      <c r="AE195" s="1093">
        <f t="shared" si="155"/>
        <v>0</v>
      </c>
      <c r="AF195" s="1093">
        <f t="shared" si="156"/>
        <v>0</v>
      </c>
      <c r="AG195" s="1093">
        <f t="shared" si="140"/>
        <v>0</v>
      </c>
      <c r="AH195" s="1033" t="e">
        <f t="shared" si="141"/>
        <v>#DIV/0!</v>
      </c>
      <c r="AI195" s="1091">
        <f t="shared" si="142"/>
        <v>0</v>
      </c>
      <c r="AJ195" s="1094">
        <f t="shared" si="143"/>
        <v>0</v>
      </c>
      <c r="AK195" s="1053" t="str">
        <f t="shared" si="144"/>
        <v/>
      </c>
      <c r="AL195" s="1053"/>
      <c r="AM195" s="1290">
        <f>_xlfn.XLOOKUP(F195,Proveedores!A:A,Proveedores!G:G)</f>
        <v>0</v>
      </c>
      <c r="AN195" s="1095" t="str">
        <f t="shared" si="157"/>
        <v>OK</v>
      </c>
    </row>
    <row r="196" spans="1:40" ht="15.95">
      <c r="A196" s="1090" t="b">
        <f t="shared" si="132"/>
        <v>1</v>
      </c>
      <c r="B196" s="1091" t="b">
        <f t="shared" si="145"/>
        <v>1</v>
      </c>
      <c r="C196" s="1092" t="str">
        <f t="shared" si="146"/>
        <v>Dólares</v>
      </c>
      <c r="D196" s="11"/>
      <c r="E196" s="743"/>
      <c r="F196" s="17"/>
      <c r="G196" s="17" t="str">
        <f t="shared" si="133"/>
        <v xml:space="preserve"> </v>
      </c>
      <c r="H196" s="12">
        <v>0</v>
      </c>
      <c r="I196" s="16" t="str">
        <f>IFERROR(VLOOKUP(G196,Proveedores!B:C,2,0)," ")</f>
        <v xml:space="preserve"> </v>
      </c>
      <c r="J196" s="745">
        <v>0</v>
      </c>
      <c r="K196" s="745" t="str">
        <f t="shared" si="134"/>
        <v>Not Found</v>
      </c>
      <c r="L196" s="16">
        <f>IF(K196="Importado",Fletes!$B$66,0%)</f>
        <v>0</v>
      </c>
      <c r="M196" s="745">
        <f t="shared" si="147"/>
        <v>0</v>
      </c>
      <c r="N196" s="16">
        <f>IF(K196&lt;&gt;"Importado",0%,IF(Fletes!$B$67&lt;10,15%,IF(Fletes!$B$67&lt;20,10%,5%)))</f>
        <v>0</v>
      </c>
      <c r="O196" s="745" t="str">
        <f>IFERROR(IF(OR(F196="Offiho",F196="Lauco Sofas",F196="Requiez",F196="Labenze",F196="Sunon Mty",F196="Sonara"),(M196*(1-_xlfn.XLOOKUP(F196,Proveedores!A:A,Proveedores!I:I)))*(1+N196),((M196*(1-_xlfn.XLOOKUP(F196,Proveedores!A:A,Proveedores!I:I)))*(1+N196))+U196),"")</f>
        <v/>
      </c>
      <c r="P196" s="1031"/>
      <c r="Q196" s="1133">
        <f>IF(K196&lt;&gt;"Importado",0,IF(P196&gt;0,P196*H196,IFERROR(_xlfn.XLOOKUP(F196,Proveedores!A:A,Proveedores!F:F,0)*H196,0)))</f>
        <v>0</v>
      </c>
      <c r="R196" s="1134" t="e">
        <f t="shared" si="148"/>
        <v>#VALUE!</v>
      </c>
      <c r="S196" s="743"/>
      <c r="T196" s="1034" t="e">
        <f t="shared" si="135"/>
        <v>#N/A</v>
      </c>
      <c r="U196" s="1034" t="e">
        <f t="shared" si="149"/>
        <v>#N/A</v>
      </c>
      <c r="V196" s="1165" t="e">
        <f t="shared" si="136"/>
        <v>#N/A</v>
      </c>
      <c r="W196" s="1034" t="e">
        <f t="shared" si="150"/>
        <v>#N/A</v>
      </c>
      <c r="X196" s="1034" t="b">
        <f t="shared" si="151"/>
        <v>0</v>
      </c>
      <c r="Y196" s="1034">
        <f t="shared" si="152"/>
        <v>0</v>
      </c>
      <c r="Z196" s="1034">
        <f t="shared" si="153"/>
        <v>0</v>
      </c>
      <c r="AA196" s="1034">
        <f t="shared" si="137"/>
        <v>0</v>
      </c>
      <c r="AB196" s="1034">
        <f t="shared" si="138"/>
        <v>0</v>
      </c>
      <c r="AC196" s="1033">
        <f t="shared" si="154"/>
        <v>0</v>
      </c>
      <c r="AD196" s="1266">
        <f t="shared" si="139"/>
        <v>0</v>
      </c>
      <c r="AE196" s="1093">
        <f t="shared" si="155"/>
        <v>0</v>
      </c>
      <c r="AF196" s="1093">
        <f t="shared" si="156"/>
        <v>0</v>
      </c>
      <c r="AG196" s="1093">
        <f t="shared" si="140"/>
        <v>0</v>
      </c>
      <c r="AH196" s="1033" t="e">
        <f t="shared" si="141"/>
        <v>#DIV/0!</v>
      </c>
      <c r="AI196" s="1091">
        <f t="shared" si="142"/>
        <v>0</v>
      </c>
      <c r="AJ196" s="1094">
        <f t="shared" si="143"/>
        <v>0</v>
      </c>
      <c r="AK196" s="1053" t="str">
        <f t="shared" si="144"/>
        <v/>
      </c>
      <c r="AL196" s="1053"/>
      <c r="AM196" s="1290">
        <f>_xlfn.XLOOKUP(F196,Proveedores!A:A,Proveedores!G:G)</f>
        <v>0</v>
      </c>
      <c r="AN196" s="1095" t="str">
        <f t="shared" si="157"/>
        <v>OK</v>
      </c>
    </row>
    <row r="197" spans="1:40" ht="15.95">
      <c r="A197" s="1090" t="b">
        <f t="shared" si="132"/>
        <v>1</v>
      </c>
      <c r="B197" s="1091" t="b">
        <f t="shared" si="145"/>
        <v>1</v>
      </c>
      <c r="C197" s="1092" t="str">
        <f t="shared" si="146"/>
        <v>Dólares</v>
      </c>
      <c r="D197" s="11"/>
      <c r="E197" s="743"/>
      <c r="F197" s="17"/>
      <c r="G197" s="17" t="str">
        <f t="shared" si="133"/>
        <v xml:space="preserve"> </v>
      </c>
      <c r="H197" s="12">
        <v>0</v>
      </c>
      <c r="I197" s="16" t="str">
        <f>IFERROR(VLOOKUP(G197,Proveedores!B:C,2,0)," ")</f>
        <v xml:space="preserve"> </v>
      </c>
      <c r="J197" s="745">
        <v>0</v>
      </c>
      <c r="K197" s="745" t="str">
        <f t="shared" si="134"/>
        <v>Not Found</v>
      </c>
      <c r="L197" s="16">
        <f>IF(K197="Importado",Fletes!$B$66,0%)</f>
        <v>0</v>
      </c>
      <c r="M197" s="745">
        <f t="shared" si="147"/>
        <v>0</v>
      </c>
      <c r="N197" s="16">
        <f>IF(K197&lt;&gt;"Importado",0%,IF(Fletes!$B$67&lt;10,15%,IF(Fletes!$B$67&lt;20,10%,5%)))</f>
        <v>0</v>
      </c>
      <c r="O197" s="745" t="str">
        <f>IFERROR(IF(OR(F197="Offiho",F197="Lauco Sofas",F197="Requiez",F197="Labenze",F197="Sunon Mty",F197="Sonara"),(M197*(1-_xlfn.XLOOKUP(F197,Proveedores!A:A,Proveedores!I:I)))*(1+N197),((M197*(1-_xlfn.XLOOKUP(F197,Proveedores!A:A,Proveedores!I:I)))*(1+N197))+U197),"")</f>
        <v/>
      </c>
      <c r="P197" s="1031"/>
      <c r="Q197" s="1133">
        <f>IF(K197&lt;&gt;"Importado",0,IF(P197&gt;0,P197*H197,IFERROR(_xlfn.XLOOKUP(F197,Proveedores!A:A,Proveedores!F:F,0)*H197,0)))</f>
        <v>0</v>
      </c>
      <c r="R197" s="1134" t="e">
        <f t="shared" si="148"/>
        <v>#VALUE!</v>
      </c>
      <c r="S197" s="743"/>
      <c r="T197" s="1034" t="e">
        <f t="shared" si="135"/>
        <v>#N/A</v>
      </c>
      <c r="U197" s="1034" t="e">
        <f t="shared" si="149"/>
        <v>#N/A</v>
      </c>
      <c r="V197" s="1165" t="e">
        <f t="shared" si="136"/>
        <v>#N/A</v>
      </c>
      <c r="W197" s="1034" t="e">
        <f t="shared" si="150"/>
        <v>#N/A</v>
      </c>
      <c r="X197" s="1034" t="b">
        <f t="shared" si="151"/>
        <v>0</v>
      </c>
      <c r="Y197" s="1034">
        <f t="shared" si="152"/>
        <v>0</v>
      </c>
      <c r="Z197" s="1034">
        <f t="shared" si="153"/>
        <v>0</v>
      </c>
      <c r="AA197" s="1034">
        <f t="shared" si="137"/>
        <v>0</v>
      </c>
      <c r="AB197" s="1034">
        <f t="shared" si="138"/>
        <v>0</v>
      </c>
      <c r="AC197" s="1033">
        <f t="shared" si="154"/>
        <v>0</v>
      </c>
      <c r="AD197" s="1266">
        <f t="shared" si="139"/>
        <v>0</v>
      </c>
      <c r="AE197" s="1093">
        <f t="shared" si="155"/>
        <v>0</v>
      </c>
      <c r="AF197" s="1093">
        <f t="shared" si="156"/>
        <v>0</v>
      </c>
      <c r="AG197" s="1093">
        <f t="shared" si="140"/>
        <v>0</v>
      </c>
      <c r="AH197" s="1033" t="e">
        <f t="shared" si="141"/>
        <v>#DIV/0!</v>
      </c>
      <c r="AI197" s="1091">
        <f t="shared" si="142"/>
        <v>0</v>
      </c>
      <c r="AJ197" s="1094">
        <f t="shared" si="143"/>
        <v>0</v>
      </c>
      <c r="AK197" s="1053" t="str">
        <f t="shared" si="144"/>
        <v/>
      </c>
      <c r="AL197" s="1053"/>
      <c r="AM197" s="1290">
        <f>_xlfn.XLOOKUP(F197,Proveedores!A:A,Proveedores!G:G)</f>
        <v>0</v>
      </c>
      <c r="AN197" s="1095" t="str">
        <f t="shared" si="157"/>
        <v>OK</v>
      </c>
    </row>
    <row r="198" spans="1:40" ht="15.95">
      <c r="A198" s="1090" t="b">
        <f t="shared" si="132"/>
        <v>1</v>
      </c>
      <c r="B198" s="1091" t="b">
        <f t="shared" si="145"/>
        <v>1</v>
      </c>
      <c r="C198" s="1092" t="str">
        <f t="shared" si="146"/>
        <v>Dólares</v>
      </c>
      <c r="D198" s="11"/>
      <c r="E198" s="743"/>
      <c r="F198" s="17"/>
      <c r="G198" s="17" t="str">
        <f t="shared" si="133"/>
        <v xml:space="preserve"> </v>
      </c>
      <c r="H198" s="12">
        <v>0</v>
      </c>
      <c r="I198" s="16" t="str">
        <f>IFERROR(VLOOKUP(G198,Proveedores!B:C,2,0)," ")</f>
        <v xml:space="preserve"> </v>
      </c>
      <c r="J198" s="745">
        <v>0</v>
      </c>
      <c r="K198" s="745" t="str">
        <f t="shared" si="134"/>
        <v>Not Found</v>
      </c>
      <c r="L198" s="16">
        <f>IF(K198="Importado",Fletes!$B$66,0%)</f>
        <v>0</v>
      </c>
      <c r="M198" s="745">
        <f t="shared" si="147"/>
        <v>0</v>
      </c>
      <c r="N198" s="16">
        <f>IF(K198&lt;&gt;"Importado",0%,IF(Fletes!$B$67&lt;10,15%,IF(Fletes!$B$67&lt;20,10%,5%)))</f>
        <v>0</v>
      </c>
      <c r="O198" s="745" t="str">
        <f>IFERROR(IF(OR(F198="Offiho",F198="Lauco Sofas",F198="Requiez",F198="Labenze",F198="Sunon Mty",F198="Sonara"),(M198*(1-_xlfn.XLOOKUP(F198,Proveedores!A:A,Proveedores!I:I)))*(1+N198),((M198*(1-_xlfn.XLOOKUP(F198,Proveedores!A:A,Proveedores!I:I)))*(1+N198))+U198),"")</f>
        <v/>
      </c>
      <c r="P198" s="1031"/>
      <c r="Q198" s="1133">
        <f>IF(K198&lt;&gt;"Importado",0,IF(P198&gt;0,P198*H198,IFERROR(_xlfn.XLOOKUP(F198,Proveedores!A:A,Proveedores!F:F,0)*H198,0)))</f>
        <v>0</v>
      </c>
      <c r="R198" s="1134" t="e">
        <f t="shared" si="148"/>
        <v>#VALUE!</v>
      </c>
      <c r="S198" s="743"/>
      <c r="T198" s="1034" t="e">
        <f t="shared" si="135"/>
        <v>#N/A</v>
      </c>
      <c r="U198" s="1034" t="e">
        <f t="shared" si="149"/>
        <v>#N/A</v>
      </c>
      <c r="V198" s="1165" t="e">
        <f t="shared" si="136"/>
        <v>#N/A</v>
      </c>
      <c r="W198" s="1034" t="e">
        <f t="shared" si="150"/>
        <v>#N/A</v>
      </c>
      <c r="X198" s="1034" t="b">
        <f t="shared" si="151"/>
        <v>0</v>
      </c>
      <c r="Y198" s="1034">
        <f t="shared" si="152"/>
        <v>0</v>
      </c>
      <c r="Z198" s="1034">
        <f t="shared" si="153"/>
        <v>0</v>
      </c>
      <c r="AA198" s="1034">
        <f t="shared" si="137"/>
        <v>0</v>
      </c>
      <c r="AB198" s="1034">
        <f t="shared" si="138"/>
        <v>0</v>
      </c>
      <c r="AC198" s="1033">
        <f t="shared" si="154"/>
        <v>0</v>
      </c>
      <c r="AD198" s="1266">
        <f t="shared" si="139"/>
        <v>0</v>
      </c>
      <c r="AE198" s="1093">
        <f t="shared" si="155"/>
        <v>0</v>
      </c>
      <c r="AF198" s="1093">
        <f t="shared" si="156"/>
        <v>0</v>
      </c>
      <c r="AG198" s="1093">
        <f t="shared" si="140"/>
        <v>0</v>
      </c>
      <c r="AH198" s="1033" t="e">
        <f t="shared" si="141"/>
        <v>#DIV/0!</v>
      </c>
      <c r="AI198" s="1091">
        <f t="shared" si="142"/>
        <v>0</v>
      </c>
      <c r="AJ198" s="1094">
        <f t="shared" si="143"/>
        <v>0</v>
      </c>
      <c r="AK198" s="1053" t="str">
        <f t="shared" si="144"/>
        <v/>
      </c>
      <c r="AL198" s="1053"/>
      <c r="AM198" s="1290">
        <f>_xlfn.XLOOKUP(F198,Proveedores!A:A,Proveedores!G:G)</f>
        <v>0</v>
      </c>
      <c r="AN198" s="1095" t="str">
        <f t="shared" si="157"/>
        <v>OK</v>
      </c>
    </row>
    <row r="199" spans="1:40" ht="15.95">
      <c r="A199" s="1090" t="b">
        <f t="shared" si="132"/>
        <v>1</v>
      </c>
      <c r="B199" s="1091" t="b">
        <f t="shared" si="145"/>
        <v>1</v>
      </c>
      <c r="C199" s="1092" t="str">
        <f t="shared" si="146"/>
        <v>Dólares</v>
      </c>
      <c r="D199" s="11"/>
      <c r="E199" s="743"/>
      <c r="F199" s="17"/>
      <c r="G199" s="17" t="str">
        <f t="shared" si="133"/>
        <v xml:space="preserve"> </v>
      </c>
      <c r="H199" s="12">
        <v>0</v>
      </c>
      <c r="I199" s="16" t="str">
        <f>IFERROR(VLOOKUP(G199,Proveedores!B:C,2,0)," ")</f>
        <v xml:space="preserve"> </v>
      </c>
      <c r="J199" s="745">
        <v>0</v>
      </c>
      <c r="K199" s="745" t="str">
        <f t="shared" si="134"/>
        <v>Not Found</v>
      </c>
      <c r="L199" s="16">
        <f>IF(K199="Importado",Fletes!$B$66,0%)</f>
        <v>0</v>
      </c>
      <c r="M199" s="745">
        <f t="shared" si="147"/>
        <v>0</v>
      </c>
      <c r="N199" s="16">
        <f>IF(K199&lt;&gt;"Importado",0%,IF(Fletes!$B$67&lt;10,15%,IF(Fletes!$B$67&lt;20,10%,5%)))</f>
        <v>0</v>
      </c>
      <c r="O199" s="745" t="str">
        <f>IFERROR(IF(OR(F199="Offiho",F199="Lauco Sofas",F199="Requiez",F199="Labenze",F199="Sunon Mty",F199="Sonara"),(M199*(1-_xlfn.XLOOKUP(F199,Proveedores!A:A,Proveedores!I:I)))*(1+N199),((M199*(1-_xlfn.XLOOKUP(F199,Proveedores!A:A,Proveedores!I:I)))*(1+N199))+U199),"")</f>
        <v/>
      </c>
      <c r="P199" s="1031"/>
      <c r="Q199" s="1133">
        <f>IF(K199&lt;&gt;"Importado",0,IF(P199&gt;0,P199*H199,IFERROR(_xlfn.XLOOKUP(F199,Proveedores!A:A,Proveedores!F:F,0)*H199,0)))</f>
        <v>0</v>
      </c>
      <c r="R199" s="1134" t="e">
        <f t="shared" si="148"/>
        <v>#VALUE!</v>
      </c>
      <c r="S199" s="743"/>
      <c r="T199" s="1034" t="e">
        <f t="shared" si="135"/>
        <v>#N/A</v>
      </c>
      <c r="U199" s="1034" t="e">
        <f t="shared" si="149"/>
        <v>#N/A</v>
      </c>
      <c r="V199" s="1165" t="e">
        <f t="shared" si="136"/>
        <v>#N/A</v>
      </c>
      <c r="W199" s="1034" t="e">
        <f t="shared" si="150"/>
        <v>#N/A</v>
      </c>
      <c r="X199" s="1034" t="b">
        <f t="shared" si="151"/>
        <v>0</v>
      </c>
      <c r="Y199" s="1034">
        <f t="shared" si="152"/>
        <v>0</v>
      </c>
      <c r="Z199" s="1034">
        <f t="shared" si="153"/>
        <v>0</v>
      </c>
      <c r="AA199" s="1034">
        <f t="shared" si="137"/>
        <v>0</v>
      </c>
      <c r="AB199" s="1034">
        <f t="shared" si="138"/>
        <v>0</v>
      </c>
      <c r="AC199" s="1033">
        <f t="shared" si="154"/>
        <v>0</v>
      </c>
      <c r="AD199" s="1266">
        <f t="shared" si="139"/>
        <v>0</v>
      </c>
      <c r="AE199" s="1093">
        <f t="shared" si="155"/>
        <v>0</v>
      </c>
      <c r="AF199" s="1093">
        <f t="shared" si="156"/>
        <v>0</v>
      </c>
      <c r="AG199" s="1093">
        <f t="shared" si="140"/>
        <v>0</v>
      </c>
      <c r="AH199" s="1033" t="e">
        <f t="shared" si="141"/>
        <v>#DIV/0!</v>
      </c>
      <c r="AI199" s="1091">
        <f t="shared" si="142"/>
        <v>0</v>
      </c>
      <c r="AJ199" s="1094">
        <f t="shared" si="143"/>
        <v>0</v>
      </c>
      <c r="AK199" s="1053" t="str">
        <f t="shared" si="144"/>
        <v/>
      </c>
      <c r="AL199" s="1053"/>
      <c r="AM199" s="1290">
        <f>_xlfn.XLOOKUP(F199,Proveedores!A:A,Proveedores!G:G)</f>
        <v>0</v>
      </c>
      <c r="AN199" s="1095" t="str">
        <f t="shared" si="157"/>
        <v>OK</v>
      </c>
    </row>
    <row r="200" spans="1:40" ht="15.95">
      <c r="A200" s="1090" t="b">
        <f t="shared" si="132"/>
        <v>1</v>
      </c>
      <c r="B200" s="1091" t="b">
        <f t="shared" si="145"/>
        <v>1</v>
      </c>
      <c r="C200" s="1092" t="str">
        <f t="shared" si="146"/>
        <v>Dólares</v>
      </c>
      <c r="D200" s="13"/>
      <c r="E200" s="743"/>
      <c r="F200" s="17"/>
      <c r="G200" s="17" t="str">
        <f t="shared" si="133"/>
        <v xml:space="preserve"> </v>
      </c>
      <c r="H200" s="12">
        <v>0</v>
      </c>
      <c r="I200" s="16" t="str">
        <f>IFERROR(VLOOKUP(G200,Proveedores!B:C,2,0)," ")</f>
        <v xml:space="preserve"> </v>
      </c>
      <c r="J200" s="745">
        <v>0</v>
      </c>
      <c r="K200" s="745" t="str">
        <f t="shared" si="134"/>
        <v>Not Found</v>
      </c>
      <c r="L200" s="16">
        <f>IF(K200="Importado",Fletes!$B$66,0%)</f>
        <v>0</v>
      </c>
      <c r="M200" s="745">
        <f t="shared" si="147"/>
        <v>0</v>
      </c>
      <c r="N200" s="16">
        <f>IF(K200&lt;&gt;"Importado",0%,IF(Fletes!$B$67&lt;10,15%,IF(Fletes!$B$67&lt;20,10%,5%)))</f>
        <v>0</v>
      </c>
      <c r="O200" s="745" t="str">
        <f>IFERROR(IF(OR(F200="Offiho",F200="Lauco Sofas",F200="Requiez",F200="Labenze",F200="Sunon Mty",F200="Sonara"),(M200*(1-_xlfn.XLOOKUP(F200,Proveedores!A:A,Proveedores!I:I)))*(1+N200),((M200*(1-_xlfn.XLOOKUP(F200,Proveedores!A:A,Proveedores!I:I)))*(1+N200))+U200),"")</f>
        <v/>
      </c>
      <c r="P200" s="1031"/>
      <c r="Q200" s="1133">
        <f>IF(K200&lt;&gt;"Importado",0,IF(P200&gt;0,P200*H200,IFERROR(_xlfn.XLOOKUP(F200,Proveedores!A:A,Proveedores!F:F,0)*H200,0)))</f>
        <v>0</v>
      </c>
      <c r="R200" s="1134" t="e">
        <f t="shared" si="148"/>
        <v>#VALUE!</v>
      </c>
      <c r="S200" s="743"/>
      <c r="T200" s="1034" t="e">
        <f t="shared" si="135"/>
        <v>#N/A</v>
      </c>
      <c r="U200" s="1034" t="e">
        <f t="shared" si="149"/>
        <v>#N/A</v>
      </c>
      <c r="V200" s="1165" t="e">
        <f t="shared" si="136"/>
        <v>#N/A</v>
      </c>
      <c r="W200" s="1034" t="e">
        <f t="shared" si="150"/>
        <v>#N/A</v>
      </c>
      <c r="X200" s="1034" t="b">
        <f t="shared" si="151"/>
        <v>0</v>
      </c>
      <c r="Y200" s="1034">
        <f t="shared" si="152"/>
        <v>0</v>
      </c>
      <c r="Z200" s="1034">
        <f t="shared" si="153"/>
        <v>0</v>
      </c>
      <c r="AA200" s="1034">
        <f t="shared" si="137"/>
        <v>0</v>
      </c>
      <c r="AB200" s="1034">
        <f t="shared" si="138"/>
        <v>0</v>
      </c>
      <c r="AC200" s="1033">
        <f t="shared" si="154"/>
        <v>0</v>
      </c>
      <c r="AD200" s="1266">
        <f t="shared" si="139"/>
        <v>0</v>
      </c>
      <c r="AE200" s="1093">
        <f t="shared" si="155"/>
        <v>0</v>
      </c>
      <c r="AF200" s="1093">
        <f t="shared" si="156"/>
        <v>0</v>
      </c>
      <c r="AG200" s="1093">
        <f t="shared" si="140"/>
        <v>0</v>
      </c>
      <c r="AH200" s="1033" t="e">
        <f t="shared" si="141"/>
        <v>#DIV/0!</v>
      </c>
      <c r="AI200" s="1091">
        <f t="shared" si="142"/>
        <v>0</v>
      </c>
      <c r="AJ200" s="1094">
        <f t="shared" si="143"/>
        <v>0</v>
      </c>
      <c r="AK200" s="1053" t="str">
        <f t="shared" si="144"/>
        <v/>
      </c>
      <c r="AL200" s="1053"/>
      <c r="AM200" s="1290">
        <f>_xlfn.XLOOKUP(F200,Proveedores!A:A,Proveedores!G:G)</f>
        <v>0</v>
      </c>
      <c r="AN200" s="1095" t="str">
        <f t="shared" si="157"/>
        <v>OK</v>
      </c>
    </row>
    <row r="201" spans="1:40" ht="15.95">
      <c r="A201" s="1090" t="b">
        <f t="shared" si="132"/>
        <v>1</v>
      </c>
      <c r="B201" s="1091" t="b">
        <f t="shared" si="145"/>
        <v>1</v>
      </c>
      <c r="C201" s="1092" t="str">
        <f t="shared" si="146"/>
        <v>Dólares</v>
      </c>
      <c r="D201" s="13"/>
      <c r="E201" s="743"/>
      <c r="F201" s="17"/>
      <c r="G201" s="17" t="str">
        <f t="shared" si="133"/>
        <v xml:space="preserve"> </v>
      </c>
      <c r="H201" s="12">
        <v>0</v>
      </c>
      <c r="I201" s="16" t="str">
        <f>IFERROR(VLOOKUP(G201,Proveedores!B:C,2,0)," ")</f>
        <v xml:space="preserve"> </v>
      </c>
      <c r="J201" s="745">
        <v>0</v>
      </c>
      <c r="K201" s="745" t="str">
        <f t="shared" si="134"/>
        <v>Not Found</v>
      </c>
      <c r="L201" s="16">
        <f>IF(K201="Importado",Fletes!$B$66,0%)</f>
        <v>0</v>
      </c>
      <c r="M201" s="745">
        <f t="shared" si="147"/>
        <v>0</v>
      </c>
      <c r="N201" s="16">
        <f>IF(K201&lt;&gt;"Importado",0%,IF(Fletes!$B$67&lt;10,15%,IF(Fletes!$B$67&lt;20,10%,5%)))</f>
        <v>0</v>
      </c>
      <c r="O201" s="745" t="str">
        <f>IFERROR(IF(OR(F201="Offiho",F201="Lauco Sofas",F201="Requiez",F201="Labenze",F201="Sunon Mty",F201="Sonara"),(M201*(1-_xlfn.XLOOKUP(F201,Proveedores!A:A,Proveedores!I:I)))*(1+N201),((M201*(1-_xlfn.XLOOKUP(F201,Proveedores!A:A,Proveedores!I:I)))*(1+N201))+U201),"")</f>
        <v/>
      </c>
      <c r="P201" s="1031"/>
      <c r="Q201" s="1133">
        <f>IF(K201&lt;&gt;"Importado",0,IF(P201&gt;0,P201*H201,IFERROR(_xlfn.XLOOKUP(F201,Proveedores!A:A,Proveedores!F:F,0)*H201,0)))</f>
        <v>0</v>
      </c>
      <c r="R201" s="1134" t="e">
        <f t="shared" si="148"/>
        <v>#VALUE!</v>
      </c>
      <c r="S201" s="743"/>
      <c r="T201" s="1034" t="e">
        <f t="shared" si="135"/>
        <v>#N/A</v>
      </c>
      <c r="U201" s="1034" t="e">
        <f t="shared" si="149"/>
        <v>#N/A</v>
      </c>
      <c r="V201" s="1165" t="e">
        <f t="shared" si="136"/>
        <v>#N/A</v>
      </c>
      <c r="W201" s="1034" t="e">
        <f t="shared" si="150"/>
        <v>#N/A</v>
      </c>
      <c r="X201" s="1034" t="b">
        <f t="shared" si="151"/>
        <v>0</v>
      </c>
      <c r="Y201" s="1034">
        <f t="shared" si="152"/>
        <v>0</v>
      </c>
      <c r="Z201" s="1034">
        <f t="shared" si="153"/>
        <v>0</v>
      </c>
      <c r="AA201" s="1034">
        <f t="shared" si="137"/>
        <v>0</v>
      </c>
      <c r="AB201" s="1034">
        <f t="shared" si="138"/>
        <v>0</v>
      </c>
      <c r="AC201" s="1033">
        <f t="shared" si="154"/>
        <v>0</v>
      </c>
      <c r="AD201" s="1266">
        <f t="shared" si="139"/>
        <v>0</v>
      </c>
      <c r="AE201" s="1093">
        <f t="shared" si="155"/>
        <v>0</v>
      </c>
      <c r="AF201" s="1093">
        <f t="shared" si="156"/>
        <v>0</v>
      </c>
      <c r="AG201" s="1093">
        <f t="shared" si="140"/>
        <v>0</v>
      </c>
      <c r="AH201" s="1033" t="e">
        <f t="shared" si="141"/>
        <v>#DIV/0!</v>
      </c>
      <c r="AI201" s="1091">
        <f t="shared" si="142"/>
        <v>0</v>
      </c>
      <c r="AJ201" s="1094">
        <f t="shared" si="143"/>
        <v>0</v>
      </c>
      <c r="AK201" s="1053" t="str">
        <f t="shared" si="144"/>
        <v/>
      </c>
      <c r="AL201" s="1053"/>
      <c r="AM201" s="1290">
        <f>_xlfn.XLOOKUP(F201,Proveedores!A:A,Proveedores!G:G)</f>
        <v>0</v>
      </c>
      <c r="AN201" s="1095" t="str">
        <f t="shared" si="157"/>
        <v>OK</v>
      </c>
    </row>
    <row r="202" spans="1:40" ht="15.95">
      <c r="A202" s="1090" t="b">
        <f t="shared" si="132"/>
        <v>1</v>
      </c>
      <c r="B202" s="1091" t="b">
        <f t="shared" si="145"/>
        <v>1</v>
      </c>
      <c r="C202" s="1092" t="str">
        <f t="shared" si="146"/>
        <v>Dólares</v>
      </c>
      <c r="D202" s="13"/>
      <c r="E202" s="743"/>
      <c r="F202" s="17"/>
      <c r="G202" s="17" t="str">
        <f t="shared" si="133"/>
        <v xml:space="preserve"> </v>
      </c>
      <c r="H202" s="12">
        <v>0</v>
      </c>
      <c r="I202" s="16" t="str">
        <f>IFERROR(VLOOKUP(G202,Proveedores!B:C,2,0)," ")</f>
        <v xml:space="preserve"> </v>
      </c>
      <c r="J202" s="745">
        <v>0</v>
      </c>
      <c r="K202" s="745" t="str">
        <f t="shared" si="134"/>
        <v>Not Found</v>
      </c>
      <c r="L202" s="16">
        <f>IF(K202="Importado",Fletes!$B$66,0%)</f>
        <v>0</v>
      </c>
      <c r="M202" s="745">
        <f t="shared" si="147"/>
        <v>0</v>
      </c>
      <c r="N202" s="16">
        <f>IF(K202&lt;&gt;"Importado",0%,IF(Fletes!$B$67&lt;10,15%,IF(Fletes!$B$67&lt;20,10%,5%)))</f>
        <v>0</v>
      </c>
      <c r="O202" s="745" t="str">
        <f>IFERROR(IF(OR(F202="Offiho",F202="Lauco Sofas",F202="Requiez",F202="Labenze",F202="Sunon Mty",F202="Sonara"),(M202*(1-_xlfn.XLOOKUP(F202,Proveedores!A:A,Proveedores!I:I)))*(1+N202),((M202*(1-_xlfn.XLOOKUP(F202,Proveedores!A:A,Proveedores!I:I)))*(1+N202))+U202),"")</f>
        <v/>
      </c>
      <c r="P202" s="1031"/>
      <c r="Q202" s="1133">
        <f>IF(K202&lt;&gt;"Importado",0,IF(P202&gt;0,P202*H202,IFERROR(_xlfn.XLOOKUP(F202,Proveedores!A:A,Proveedores!F:F,0)*H202,0)))</f>
        <v>0</v>
      </c>
      <c r="R202" s="1134" t="e">
        <f t="shared" si="148"/>
        <v>#VALUE!</v>
      </c>
      <c r="S202" s="743"/>
      <c r="T202" s="1034" t="e">
        <f t="shared" si="135"/>
        <v>#N/A</v>
      </c>
      <c r="U202" s="1034" t="e">
        <f t="shared" si="149"/>
        <v>#N/A</v>
      </c>
      <c r="V202" s="1165" t="e">
        <f t="shared" si="136"/>
        <v>#N/A</v>
      </c>
      <c r="W202" s="1034" t="e">
        <f t="shared" si="150"/>
        <v>#N/A</v>
      </c>
      <c r="X202" s="1034" t="b">
        <f t="shared" si="151"/>
        <v>0</v>
      </c>
      <c r="Y202" s="1034">
        <f t="shared" si="152"/>
        <v>0</v>
      </c>
      <c r="Z202" s="1034">
        <f t="shared" si="153"/>
        <v>0</v>
      </c>
      <c r="AA202" s="1034">
        <f t="shared" si="137"/>
        <v>0</v>
      </c>
      <c r="AB202" s="1034">
        <f t="shared" si="138"/>
        <v>0</v>
      </c>
      <c r="AC202" s="1033">
        <f t="shared" si="154"/>
        <v>0</v>
      </c>
      <c r="AD202" s="1266">
        <f t="shared" si="139"/>
        <v>0</v>
      </c>
      <c r="AE202" s="1093">
        <f t="shared" si="155"/>
        <v>0</v>
      </c>
      <c r="AF202" s="1093">
        <f t="shared" si="156"/>
        <v>0</v>
      </c>
      <c r="AG202" s="1093">
        <f t="shared" si="140"/>
        <v>0</v>
      </c>
      <c r="AH202" s="1033" t="e">
        <f t="shared" si="141"/>
        <v>#DIV/0!</v>
      </c>
      <c r="AI202" s="1091">
        <f t="shared" si="142"/>
        <v>0</v>
      </c>
      <c r="AJ202" s="1094">
        <f t="shared" si="143"/>
        <v>0</v>
      </c>
      <c r="AK202" s="1053" t="str">
        <f t="shared" si="144"/>
        <v/>
      </c>
      <c r="AL202" s="1053"/>
      <c r="AM202" s="1290">
        <f>_xlfn.XLOOKUP(F202,Proveedores!A:A,Proveedores!G:G)</f>
        <v>0</v>
      </c>
      <c r="AN202" s="1095" t="str">
        <f t="shared" si="157"/>
        <v>OK</v>
      </c>
    </row>
    <row r="203" spans="1:40" ht="15.95">
      <c r="A203" s="1090" t="b">
        <f t="shared" si="132"/>
        <v>1</v>
      </c>
      <c r="B203" s="1091" t="b">
        <f t="shared" si="145"/>
        <v>1</v>
      </c>
      <c r="C203" s="1092" t="str">
        <f t="shared" si="146"/>
        <v>Dólares</v>
      </c>
      <c r="D203" s="13"/>
      <c r="E203" s="743"/>
      <c r="F203" s="17"/>
      <c r="G203" s="17" t="str">
        <f t="shared" si="133"/>
        <v xml:space="preserve"> </v>
      </c>
      <c r="H203" s="12">
        <v>0</v>
      </c>
      <c r="I203" s="16" t="str">
        <f>IFERROR(VLOOKUP(G203,Proveedores!B:C,2,0)," ")</f>
        <v xml:space="preserve"> </v>
      </c>
      <c r="J203" s="745">
        <v>0</v>
      </c>
      <c r="K203" s="745" t="str">
        <f t="shared" si="134"/>
        <v>Not Found</v>
      </c>
      <c r="L203" s="16">
        <f>IF(K203="Importado",Fletes!$B$66,0%)</f>
        <v>0</v>
      </c>
      <c r="M203" s="745">
        <f t="shared" si="147"/>
        <v>0</v>
      </c>
      <c r="N203" s="16">
        <f>IF(K203&lt;&gt;"Importado",0%,IF(Fletes!$B$67&lt;10,15%,IF(Fletes!$B$67&lt;20,10%,5%)))</f>
        <v>0</v>
      </c>
      <c r="O203" s="745" t="str">
        <f>IFERROR(IF(OR(F203="Offiho",F203="Lauco Sofas",F203="Requiez",F203="Labenze",F203="Sunon Mty",F203="Sonara"),(M203*(1-_xlfn.XLOOKUP(F203,Proveedores!A:A,Proveedores!I:I)))*(1+N203),((M203*(1-_xlfn.XLOOKUP(F203,Proveedores!A:A,Proveedores!I:I)))*(1+N203))+U203),"")</f>
        <v/>
      </c>
      <c r="P203" s="1031"/>
      <c r="Q203" s="1133">
        <f>IF(K203&lt;&gt;"Importado",0,IF(P203&gt;0,P203*H203,IFERROR(_xlfn.XLOOKUP(F203,Proveedores!A:A,Proveedores!F:F,0)*H203,0)))</f>
        <v>0</v>
      </c>
      <c r="R203" s="1134" t="e">
        <f t="shared" si="148"/>
        <v>#VALUE!</v>
      </c>
      <c r="S203" s="743"/>
      <c r="T203" s="1034" t="e">
        <f t="shared" si="135"/>
        <v>#N/A</v>
      </c>
      <c r="U203" s="1034" t="e">
        <f t="shared" si="149"/>
        <v>#N/A</v>
      </c>
      <c r="V203" s="1165" t="e">
        <f t="shared" si="136"/>
        <v>#N/A</v>
      </c>
      <c r="W203" s="1034" t="e">
        <f t="shared" si="150"/>
        <v>#N/A</v>
      </c>
      <c r="X203" s="1034" t="b">
        <f t="shared" si="151"/>
        <v>0</v>
      </c>
      <c r="Y203" s="1034">
        <f t="shared" si="152"/>
        <v>0</v>
      </c>
      <c r="Z203" s="1034">
        <f t="shared" si="153"/>
        <v>0</v>
      </c>
      <c r="AA203" s="1034">
        <f t="shared" si="137"/>
        <v>0</v>
      </c>
      <c r="AB203" s="1034">
        <f t="shared" si="138"/>
        <v>0</v>
      </c>
      <c r="AC203" s="1033">
        <f t="shared" si="154"/>
        <v>0</v>
      </c>
      <c r="AD203" s="1266">
        <f t="shared" si="139"/>
        <v>0</v>
      </c>
      <c r="AE203" s="1093">
        <f t="shared" si="155"/>
        <v>0</v>
      </c>
      <c r="AF203" s="1093">
        <f t="shared" si="156"/>
        <v>0</v>
      </c>
      <c r="AG203" s="1093">
        <f t="shared" si="140"/>
        <v>0</v>
      </c>
      <c r="AH203" s="1033" t="e">
        <f t="shared" si="141"/>
        <v>#DIV/0!</v>
      </c>
      <c r="AI203" s="1091">
        <f t="shared" si="142"/>
        <v>0</v>
      </c>
      <c r="AJ203" s="1094">
        <f t="shared" si="143"/>
        <v>0</v>
      </c>
      <c r="AK203" s="1053" t="str">
        <f t="shared" si="144"/>
        <v/>
      </c>
      <c r="AL203" s="1053"/>
      <c r="AM203" s="1290">
        <f>_xlfn.XLOOKUP(F203,Proveedores!A:A,Proveedores!G:G)</f>
        <v>0</v>
      </c>
      <c r="AN203" s="1095" t="str">
        <f t="shared" si="157"/>
        <v>OK</v>
      </c>
    </row>
    <row r="204" spans="1:40" ht="15.95">
      <c r="A204" s="1090" t="b">
        <f t="shared" si="132"/>
        <v>1</v>
      </c>
      <c r="B204" s="1091" t="b">
        <f t="shared" si="145"/>
        <v>1</v>
      </c>
      <c r="C204" s="1092" t="str">
        <f t="shared" si="146"/>
        <v>Dólares</v>
      </c>
      <c r="D204" s="13"/>
      <c r="E204" s="743"/>
      <c r="F204" s="17"/>
      <c r="G204" s="17" t="str">
        <f t="shared" si="133"/>
        <v xml:space="preserve"> </v>
      </c>
      <c r="H204" s="12">
        <v>0</v>
      </c>
      <c r="I204" s="16" t="str">
        <f>IFERROR(VLOOKUP(G204,Proveedores!B:C,2,0)," ")</f>
        <v xml:space="preserve"> </v>
      </c>
      <c r="J204" s="745">
        <v>0</v>
      </c>
      <c r="K204" s="745" t="str">
        <f t="shared" si="134"/>
        <v>Not Found</v>
      </c>
      <c r="L204" s="16">
        <f>IF(K204="Importado",Fletes!$B$66,0%)</f>
        <v>0</v>
      </c>
      <c r="M204" s="745">
        <f t="shared" si="147"/>
        <v>0</v>
      </c>
      <c r="N204" s="16">
        <f>IF(K204&lt;&gt;"Importado",0%,IF(Fletes!$B$67&lt;10,15%,IF(Fletes!$B$67&lt;20,10%,5%)))</f>
        <v>0</v>
      </c>
      <c r="O204" s="745" t="str">
        <f>IFERROR(IF(OR(F204="Offiho",F204="Lauco Sofas",F204="Requiez",F204="Labenze",F204="Sunon Mty",F204="Sonara"),(M204*(1-_xlfn.XLOOKUP(F204,Proveedores!A:A,Proveedores!I:I)))*(1+N204),((M204*(1-_xlfn.XLOOKUP(F204,Proveedores!A:A,Proveedores!I:I)))*(1+N204))+U204),"")</f>
        <v/>
      </c>
      <c r="P204" s="1031"/>
      <c r="Q204" s="1133">
        <f>IF(K204&lt;&gt;"Importado",0,IF(P204&gt;0,P204*H204,IFERROR(_xlfn.XLOOKUP(F204,Proveedores!A:A,Proveedores!F:F,0)*H204,0)))</f>
        <v>0</v>
      </c>
      <c r="R204" s="1134" t="e">
        <f t="shared" si="148"/>
        <v>#VALUE!</v>
      </c>
      <c r="S204" s="743"/>
      <c r="T204" s="1034" t="e">
        <f t="shared" si="135"/>
        <v>#N/A</v>
      </c>
      <c r="U204" s="1034" t="e">
        <f t="shared" si="149"/>
        <v>#N/A</v>
      </c>
      <c r="V204" s="1165" t="e">
        <f t="shared" si="136"/>
        <v>#N/A</v>
      </c>
      <c r="W204" s="1034" t="e">
        <f t="shared" si="150"/>
        <v>#N/A</v>
      </c>
      <c r="X204" s="1034" t="b">
        <f t="shared" si="151"/>
        <v>0</v>
      </c>
      <c r="Y204" s="1034">
        <f t="shared" si="152"/>
        <v>0</v>
      </c>
      <c r="Z204" s="1034">
        <f t="shared" si="153"/>
        <v>0</v>
      </c>
      <c r="AA204" s="1034">
        <f t="shared" si="137"/>
        <v>0</v>
      </c>
      <c r="AB204" s="1034">
        <f t="shared" si="138"/>
        <v>0</v>
      </c>
      <c r="AC204" s="1033">
        <f t="shared" si="154"/>
        <v>0</v>
      </c>
      <c r="AD204" s="1266">
        <f t="shared" si="139"/>
        <v>0</v>
      </c>
      <c r="AE204" s="1093">
        <f t="shared" si="155"/>
        <v>0</v>
      </c>
      <c r="AF204" s="1093">
        <f t="shared" si="156"/>
        <v>0</v>
      </c>
      <c r="AG204" s="1093">
        <f t="shared" si="140"/>
        <v>0</v>
      </c>
      <c r="AH204" s="1033" t="e">
        <f t="shared" si="141"/>
        <v>#DIV/0!</v>
      </c>
      <c r="AI204" s="1091">
        <f t="shared" si="142"/>
        <v>0</v>
      </c>
      <c r="AJ204" s="1094">
        <f t="shared" si="143"/>
        <v>0</v>
      </c>
      <c r="AK204" s="1053" t="str">
        <f t="shared" si="144"/>
        <v/>
      </c>
      <c r="AL204" s="1053"/>
      <c r="AM204" s="1290">
        <f>_xlfn.XLOOKUP(F204,Proveedores!A:A,Proveedores!G:G)</f>
        <v>0</v>
      </c>
      <c r="AN204" s="1095" t="str">
        <f t="shared" si="157"/>
        <v>OK</v>
      </c>
    </row>
    <row r="205" spans="1:40" ht="15.95">
      <c r="A205" s="1090" t="b">
        <f t="shared" si="132"/>
        <v>1</v>
      </c>
      <c r="B205" s="1091" t="b">
        <f t="shared" si="145"/>
        <v>1</v>
      </c>
      <c r="C205" s="1092" t="str">
        <f t="shared" si="146"/>
        <v>Dólares</v>
      </c>
      <c r="D205" s="13"/>
      <c r="E205" s="743"/>
      <c r="F205" s="17"/>
      <c r="G205" s="17" t="str">
        <f t="shared" si="133"/>
        <v xml:space="preserve"> </v>
      </c>
      <c r="H205" s="12">
        <v>0</v>
      </c>
      <c r="I205" s="16" t="str">
        <f>IFERROR(VLOOKUP(G205,Proveedores!B:C,2,0)," ")</f>
        <v xml:space="preserve"> </v>
      </c>
      <c r="J205" s="745">
        <v>0</v>
      </c>
      <c r="K205" s="745" t="str">
        <f t="shared" si="134"/>
        <v>Not Found</v>
      </c>
      <c r="L205" s="16">
        <f>IF(K205="Importado",Fletes!$B$66,0%)</f>
        <v>0</v>
      </c>
      <c r="M205" s="745">
        <f t="shared" si="147"/>
        <v>0</v>
      </c>
      <c r="N205" s="16">
        <f>IF(K205&lt;&gt;"Importado",0%,IF(Fletes!$B$67&lt;10,15%,IF(Fletes!$B$67&lt;20,10%,5%)))</f>
        <v>0</v>
      </c>
      <c r="O205" s="745" t="str">
        <f>IFERROR(IF(OR(F205="Offiho",F205="Lauco Sofas",F205="Requiez",F205="Labenze",F205="Sunon Mty",F205="Sonara"),(M205*(1-_xlfn.XLOOKUP(F205,Proveedores!A:A,Proveedores!I:I)))*(1+N205),((M205*(1-_xlfn.XLOOKUP(F205,Proveedores!A:A,Proveedores!I:I)))*(1+N205))+U205),"")</f>
        <v/>
      </c>
      <c r="P205" s="1031"/>
      <c r="Q205" s="1133">
        <f>IF(K205&lt;&gt;"Importado",0,IF(P205&gt;0,P205*H205,IFERROR(_xlfn.XLOOKUP(F205,Proveedores!A:A,Proveedores!F:F,0)*H205,0)))</f>
        <v>0</v>
      </c>
      <c r="R205" s="1134" t="e">
        <f t="shared" si="148"/>
        <v>#VALUE!</v>
      </c>
      <c r="S205" s="743"/>
      <c r="T205" s="1034" t="e">
        <f t="shared" si="135"/>
        <v>#N/A</v>
      </c>
      <c r="U205" s="1034" t="e">
        <f t="shared" si="149"/>
        <v>#N/A</v>
      </c>
      <c r="V205" s="1165" t="e">
        <f t="shared" si="136"/>
        <v>#N/A</v>
      </c>
      <c r="W205" s="1034" t="e">
        <f t="shared" si="150"/>
        <v>#N/A</v>
      </c>
      <c r="X205" s="1034" t="b">
        <f t="shared" si="151"/>
        <v>0</v>
      </c>
      <c r="Y205" s="1034">
        <f t="shared" si="152"/>
        <v>0</v>
      </c>
      <c r="Z205" s="1034">
        <f t="shared" si="153"/>
        <v>0</v>
      </c>
      <c r="AA205" s="1034">
        <f t="shared" si="137"/>
        <v>0</v>
      </c>
      <c r="AB205" s="1034">
        <f t="shared" si="138"/>
        <v>0</v>
      </c>
      <c r="AC205" s="1033">
        <f t="shared" si="154"/>
        <v>0</v>
      </c>
      <c r="AD205" s="1266">
        <f t="shared" si="139"/>
        <v>0</v>
      </c>
      <c r="AE205" s="1093">
        <f t="shared" si="155"/>
        <v>0</v>
      </c>
      <c r="AF205" s="1093">
        <f t="shared" si="156"/>
        <v>0</v>
      </c>
      <c r="AG205" s="1093">
        <f t="shared" si="140"/>
        <v>0</v>
      </c>
      <c r="AH205" s="1033" t="e">
        <f t="shared" si="141"/>
        <v>#DIV/0!</v>
      </c>
      <c r="AI205" s="1091">
        <f t="shared" si="142"/>
        <v>0</v>
      </c>
      <c r="AJ205" s="1094">
        <f t="shared" si="143"/>
        <v>0</v>
      </c>
      <c r="AK205" s="1053" t="str">
        <f t="shared" si="144"/>
        <v/>
      </c>
      <c r="AL205" s="1053"/>
      <c r="AM205" s="1290">
        <f>_xlfn.XLOOKUP(F205,Proveedores!A:A,Proveedores!G:G)</f>
        <v>0</v>
      </c>
      <c r="AN205" s="1095" t="str">
        <f t="shared" si="157"/>
        <v>OK</v>
      </c>
    </row>
    <row r="206" spans="1:40" ht="15.95">
      <c r="A206" s="1090" t="b">
        <f t="shared" si="132"/>
        <v>1</v>
      </c>
      <c r="B206" s="1091" t="b">
        <f t="shared" si="145"/>
        <v>1</v>
      </c>
      <c r="C206" s="1092" t="str">
        <f t="shared" si="146"/>
        <v>Dólares</v>
      </c>
      <c r="D206" s="13"/>
      <c r="E206" s="743"/>
      <c r="F206" s="17"/>
      <c r="G206" s="17" t="str">
        <f t="shared" si="133"/>
        <v xml:space="preserve"> </v>
      </c>
      <c r="H206" s="12">
        <v>0</v>
      </c>
      <c r="I206" s="16" t="str">
        <f>IFERROR(VLOOKUP(G206,Proveedores!B:C,2,0)," ")</f>
        <v xml:space="preserve"> </v>
      </c>
      <c r="J206" s="745">
        <v>0</v>
      </c>
      <c r="K206" s="745" t="str">
        <f t="shared" si="134"/>
        <v>Not Found</v>
      </c>
      <c r="L206" s="16">
        <f>IF(K206="Importado",Fletes!$B$66,0%)</f>
        <v>0</v>
      </c>
      <c r="M206" s="745">
        <f t="shared" si="147"/>
        <v>0</v>
      </c>
      <c r="N206" s="16">
        <f>IF(K206&lt;&gt;"Importado",0%,IF(Fletes!$B$67&lt;10,15%,IF(Fletes!$B$67&lt;20,10%,5%)))</f>
        <v>0</v>
      </c>
      <c r="O206" s="745" t="str">
        <f>IFERROR(IF(OR(F206="Offiho",F206="Lauco Sofas",F206="Requiez",F206="Labenze",F206="Sunon Mty",F206="Sonara"),(M206*(1-_xlfn.XLOOKUP(F206,Proveedores!A:A,Proveedores!I:I)))*(1+N206),((M206*(1-_xlfn.XLOOKUP(F206,Proveedores!A:A,Proveedores!I:I)))*(1+N206))+U206),"")</f>
        <v/>
      </c>
      <c r="P206" s="1031"/>
      <c r="Q206" s="1133">
        <f>IF(K206&lt;&gt;"Importado",0,IF(P206&gt;0,P206*H206,IFERROR(_xlfn.XLOOKUP(F206,Proveedores!A:A,Proveedores!F:F,0)*H206,0)))</f>
        <v>0</v>
      </c>
      <c r="R206" s="1134" t="e">
        <f t="shared" si="148"/>
        <v>#VALUE!</v>
      </c>
      <c r="S206" s="743"/>
      <c r="T206" s="1034" t="e">
        <f t="shared" si="135"/>
        <v>#N/A</v>
      </c>
      <c r="U206" s="1034" t="e">
        <f t="shared" si="149"/>
        <v>#N/A</v>
      </c>
      <c r="V206" s="1165" t="e">
        <f t="shared" si="136"/>
        <v>#N/A</v>
      </c>
      <c r="W206" s="1034" t="e">
        <f t="shared" si="150"/>
        <v>#N/A</v>
      </c>
      <c r="X206" s="1034" t="b">
        <f t="shared" si="151"/>
        <v>0</v>
      </c>
      <c r="Y206" s="1034">
        <f t="shared" si="152"/>
        <v>0</v>
      </c>
      <c r="Z206" s="1034">
        <f t="shared" si="153"/>
        <v>0</v>
      </c>
      <c r="AA206" s="1034">
        <f t="shared" si="137"/>
        <v>0</v>
      </c>
      <c r="AB206" s="1034">
        <f t="shared" si="138"/>
        <v>0</v>
      </c>
      <c r="AC206" s="1033">
        <f t="shared" si="154"/>
        <v>0</v>
      </c>
      <c r="AD206" s="1266">
        <f t="shared" si="139"/>
        <v>0</v>
      </c>
      <c r="AE206" s="1093">
        <f t="shared" si="155"/>
        <v>0</v>
      </c>
      <c r="AF206" s="1093">
        <f t="shared" si="156"/>
        <v>0</v>
      </c>
      <c r="AG206" s="1093">
        <f t="shared" si="140"/>
        <v>0</v>
      </c>
      <c r="AH206" s="1033" t="e">
        <f t="shared" si="141"/>
        <v>#DIV/0!</v>
      </c>
      <c r="AI206" s="1091">
        <f t="shared" si="142"/>
        <v>0</v>
      </c>
      <c r="AJ206" s="1094">
        <f t="shared" si="143"/>
        <v>0</v>
      </c>
      <c r="AK206" s="1053" t="str">
        <f t="shared" si="144"/>
        <v/>
      </c>
      <c r="AL206" s="1053"/>
      <c r="AM206" s="1290">
        <f>_xlfn.XLOOKUP(F206,Proveedores!A:A,Proveedores!G:G)</f>
        <v>0</v>
      </c>
      <c r="AN206" s="1095" t="str">
        <f t="shared" si="157"/>
        <v>OK</v>
      </c>
    </row>
    <row r="207" spans="1:40" ht="15.95">
      <c r="A207" s="1090" t="b">
        <f t="shared" si="132"/>
        <v>1</v>
      </c>
      <c r="B207" s="1091" t="b">
        <f t="shared" si="145"/>
        <v>1</v>
      </c>
      <c r="C207" s="1092" t="str">
        <f t="shared" si="146"/>
        <v>Dólares</v>
      </c>
      <c r="D207" s="14"/>
      <c r="E207" s="743"/>
      <c r="F207" s="17"/>
      <c r="G207" s="17" t="str">
        <f t="shared" si="133"/>
        <v xml:space="preserve"> </v>
      </c>
      <c r="H207" s="12">
        <v>0</v>
      </c>
      <c r="I207" s="16" t="str">
        <f>IFERROR(VLOOKUP(G207,Proveedores!B:C,2,0)," ")</f>
        <v xml:space="preserve"> </v>
      </c>
      <c r="J207" s="745">
        <v>0</v>
      </c>
      <c r="K207" s="745" t="str">
        <f t="shared" si="134"/>
        <v>Not Found</v>
      </c>
      <c r="L207" s="16">
        <f>IF(K207="Importado",Fletes!$B$66,0%)</f>
        <v>0</v>
      </c>
      <c r="M207" s="745">
        <f t="shared" si="147"/>
        <v>0</v>
      </c>
      <c r="N207" s="16">
        <f>IF(K207&lt;&gt;"Importado",0%,IF(Fletes!$B$67&lt;10,15%,IF(Fletes!$B$67&lt;20,10%,5%)))</f>
        <v>0</v>
      </c>
      <c r="O207" s="745" t="str">
        <f>IFERROR(IF(OR(F207="Offiho",F207="Lauco Sofas",F207="Requiez",F207="Labenze",F207="Sunon Mty",F207="Sonara"),(M207*(1-_xlfn.XLOOKUP(F207,Proveedores!A:A,Proveedores!I:I)))*(1+N207),((M207*(1-_xlfn.XLOOKUP(F207,Proveedores!A:A,Proveedores!I:I)))*(1+N207))+U207),"")</f>
        <v/>
      </c>
      <c r="P207" s="1031"/>
      <c r="Q207" s="1133">
        <f>IF(K207&lt;&gt;"Importado",0,IF(P207&gt;0,P207*H207,IFERROR(_xlfn.XLOOKUP(F207,Proveedores!A:A,Proveedores!F:F,0)*H207,0)))</f>
        <v>0</v>
      </c>
      <c r="R207" s="1134" t="e">
        <f t="shared" si="148"/>
        <v>#VALUE!</v>
      </c>
      <c r="S207" s="743"/>
      <c r="T207" s="1034" t="e">
        <f t="shared" si="135"/>
        <v>#N/A</v>
      </c>
      <c r="U207" s="1034" t="e">
        <f t="shared" si="149"/>
        <v>#N/A</v>
      </c>
      <c r="V207" s="1165" t="e">
        <f t="shared" si="136"/>
        <v>#N/A</v>
      </c>
      <c r="W207" s="1034" t="e">
        <f t="shared" si="150"/>
        <v>#N/A</v>
      </c>
      <c r="X207" s="1034" t="b">
        <f t="shared" si="151"/>
        <v>0</v>
      </c>
      <c r="Y207" s="1034">
        <f t="shared" si="152"/>
        <v>0</v>
      </c>
      <c r="Z207" s="1034">
        <f t="shared" si="153"/>
        <v>0</v>
      </c>
      <c r="AA207" s="1034">
        <f t="shared" si="137"/>
        <v>0</v>
      </c>
      <c r="AB207" s="1034">
        <f t="shared" si="138"/>
        <v>0</v>
      </c>
      <c r="AC207" s="1033">
        <f t="shared" si="154"/>
        <v>0</v>
      </c>
      <c r="AD207" s="1266">
        <f t="shared" si="139"/>
        <v>0</v>
      </c>
      <c r="AE207" s="1093">
        <f t="shared" si="155"/>
        <v>0</v>
      </c>
      <c r="AF207" s="1093">
        <f t="shared" si="156"/>
        <v>0</v>
      </c>
      <c r="AG207" s="1093">
        <f t="shared" si="140"/>
        <v>0</v>
      </c>
      <c r="AH207" s="1033" t="e">
        <f t="shared" si="141"/>
        <v>#DIV/0!</v>
      </c>
      <c r="AI207" s="1091">
        <f t="shared" si="142"/>
        <v>0</v>
      </c>
      <c r="AJ207" s="1094">
        <f t="shared" si="143"/>
        <v>0</v>
      </c>
      <c r="AK207" s="1053" t="str">
        <f t="shared" si="144"/>
        <v/>
      </c>
      <c r="AL207" s="1053"/>
      <c r="AM207" s="1290">
        <f>_xlfn.XLOOKUP(F207,Proveedores!A:A,Proveedores!G:G)</f>
        <v>0</v>
      </c>
      <c r="AN207" s="1095" t="str">
        <f t="shared" si="157"/>
        <v>OK</v>
      </c>
    </row>
    <row r="208" spans="1:40" ht="15.95">
      <c r="A208" s="1090" t="b">
        <f t="shared" si="132"/>
        <v>1</v>
      </c>
      <c r="B208" s="1091" t="b">
        <f t="shared" si="145"/>
        <v>1</v>
      </c>
      <c r="C208" s="1092" t="str">
        <f t="shared" si="146"/>
        <v>Dólares</v>
      </c>
      <c r="D208" s="15"/>
      <c r="E208" s="743"/>
      <c r="F208" s="17"/>
      <c r="G208" s="17" t="str">
        <f t="shared" si="133"/>
        <v xml:space="preserve"> </v>
      </c>
      <c r="H208" s="12">
        <v>0</v>
      </c>
      <c r="I208" s="16" t="str">
        <f>IFERROR(VLOOKUP(G208,Proveedores!B:C,2,0)," ")</f>
        <v xml:space="preserve"> </v>
      </c>
      <c r="J208" s="745">
        <v>0</v>
      </c>
      <c r="K208" s="745" t="str">
        <f t="shared" si="134"/>
        <v>Not Found</v>
      </c>
      <c r="L208" s="16">
        <f>IF(K208="Importado",Fletes!$B$66,0%)</f>
        <v>0</v>
      </c>
      <c r="M208" s="745">
        <f t="shared" si="147"/>
        <v>0</v>
      </c>
      <c r="N208" s="16">
        <f>IF(K208&lt;&gt;"Importado",0%,IF(Fletes!$B$67&lt;10,15%,IF(Fletes!$B$67&lt;20,10%,5%)))</f>
        <v>0</v>
      </c>
      <c r="O208" s="745" t="str">
        <f>IFERROR(IF(OR(F208="Offiho",F208="Lauco Sofas",F208="Requiez",F208="Labenze",F208="Sunon Mty",F208="Sonara"),(M208*(1-_xlfn.XLOOKUP(F208,Proveedores!A:A,Proveedores!I:I)))*(1+N208),((M208*(1-_xlfn.XLOOKUP(F208,Proveedores!A:A,Proveedores!I:I)))*(1+N208))+U208),"")</f>
        <v/>
      </c>
      <c r="P208" s="1031"/>
      <c r="Q208" s="1133">
        <f>IF(K208&lt;&gt;"Importado",0,IF(P208&gt;0,P208*H208,IFERROR(_xlfn.XLOOKUP(F208,Proveedores!A:A,Proveedores!F:F,0)*H208,0)))</f>
        <v>0</v>
      </c>
      <c r="R208" s="1134" t="e">
        <f t="shared" si="148"/>
        <v>#VALUE!</v>
      </c>
      <c r="S208" s="743"/>
      <c r="T208" s="1034" t="e">
        <f t="shared" si="135"/>
        <v>#N/A</v>
      </c>
      <c r="U208" s="1034" t="e">
        <f t="shared" si="149"/>
        <v>#N/A</v>
      </c>
      <c r="V208" s="1165" t="e">
        <f t="shared" si="136"/>
        <v>#N/A</v>
      </c>
      <c r="W208" s="1034" t="e">
        <f t="shared" si="150"/>
        <v>#N/A</v>
      </c>
      <c r="X208" s="1034" t="b">
        <f t="shared" si="151"/>
        <v>0</v>
      </c>
      <c r="Y208" s="1034">
        <f t="shared" si="152"/>
        <v>0</v>
      </c>
      <c r="Z208" s="1034">
        <f t="shared" si="153"/>
        <v>0</v>
      </c>
      <c r="AA208" s="1034">
        <f t="shared" si="137"/>
        <v>0</v>
      </c>
      <c r="AB208" s="1034">
        <f t="shared" si="138"/>
        <v>0</v>
      </c>
      <c r="AC208" s="1033">
        <f t="shared" si="154"/>
        <v>0</v>
      </c>
      <c r="AD208" s="1266">
        <f t="shared" si="139"/>
        <v>0</v>
      </c>
      <c r="AE208" s="1093">
        <f t="shared" si="155"/>
        <v>0</v>
      </c>
      <c r="AF208" s="1093">
        <f t="shared" si="156"/>
        <v>0</v>
      </c>
      <c r="AG208" s="1093">
        <f t="shared" si="140"/>
        <v>0</v>
      </c>
      <c r="AH208" s="1033" t="e">
        <f t="shared" si="141"/>
        <v>#DIV/0!</v>
      </c>
      <c r="AI208" s="1091">
        <f t="shared" si="142"/>
        <v>0</v>
      </c>
      <c r="AJ208" s="1094">
        <f t="shared" si="143"/>
        <v>0</v>
      </c>
      <c r="AK208" s="1053" t="str">
        <f t="shared" si="144"/>
        <v/>
      </c>
      <c r="AL208" s="1053"/>
      <c r="AM208" s="1290">
        <f>_xlfn.XLOOKUP(F208,Proveedores!A:A,Proveedores!G:G)</f>
        <v>0</v>
      </c>
      <c r="AN208" s="1095" t="str">
        <f t="shared" si="157"/>
        <v>OK</v>
      </c>
    </row>
    <row r="209" spans="1:40" ht="15.95">
      <c r="A209" s="1090" t="b">
        <f t="shared" si="132"/>
        <v>1</v>
      </c>
      <c r="B209" s="1091" t="b">
        <f t="shared" si="145"/>
        <v>1</v>
      </c>
      <c r="C209" s="1092" t="str">
        <f t="shared" si="146"/>
        <v>Dólares</v>
      </c>
      <c r="D209" s="15"/>
      <c r="E209" s="743"/>
      <c r="F209" s="17"/>
      <c r="G209" s="17" t="str">
        <f t="shared" si="133"/>
        <v xml:space="preserve"> </v>
      </c>
      <c r="H209" s="12">
        <v>0</v>
      </c>
      <c r="I209" s="16" t="str">
        <f>IFERROR(VLOOKUP(G209,Proveedores!B:C,2,0)," ")</f>
        <v xml:space="preserve"> </v>
      </c>
      <c r="J209" s="745">
        <v>0</v>
      </c>
      <c r="K209" s="745" t="str">
        <f t="shared" si="134"/>
        <v>Not Found</v>
      </c>
      <c r="L209" s="16">
        <f>IF(K209="Importado",Fletes!$B$66,0%)</f>
        <v>0</v>
      </c>
      <c r="M209" s="745">
        <f t="shared" si="147"/>
        <v>0</v>
      </c>
      <c r="N209" s="16">
        <f>IF(K209&lt;&gt;"Importado",0%,IF(Fletes!$B$67&lt;10,15%,IF(Fletes!$B$67&lt;20,10%,5%)))</f>
        <v>0</v>
      </c>
      <c r="O209" s="745" t="str">
        <f>IFERROR(IF(OR(F209="Offiho",F209="Lauco Sofas",F209="Requiez",F209="Labenze",F209="Sunon Mty",F209="Sonara"),(M209*(1-_xlfn.XLOOKUP(F209,Proveedores!A:A,Proveedores!I:I)))*(1+N209),((M209*(1-_xlfn.XLOOKUP(F209,Proveedores!A:A,Proveedores!I:I)))*(1+N209))+U209),"")</f>
        <v/>
      </c>
      <c r="P209" s="1031"/>
      <c r="Q209" s="1133">
        <f>IF(K209&lt;&gt;"Importado",0,IF(P209&gt;0,P209*H209,IFERROR(_xlfn.XLOOKUP(F209,Proveedores!A:A,Proveedores!F:F,0)*H209,0)))</f>
        <v>0</v>
      </c>
      <c r="R209" s="1134" t="e">
        <f t="shared" si="148"/>
        <v>#VALUE!</v>
      </c>
      <c r="S209" s="743"/>
      <c r="T209" s="1034" t="e">
        <f t="shared" si="135"/>
        <v>#N/A</v>
      </c>
      <c r="U209" s="1034" t="e">
        <f t="shared" si="149"/>
        <v>#N/A</v>
      </c>
      <c r="V209" s="1165" t="e">
        <f t="shared" si="136"/>
        <v>#N/A</v>
      </c>
      <c r="W209" s="1034" t="e">
        <f t="shared" si="150"/>
        <v>#N/A</v>
      </c>
      <c r="X209" s="1034" t="b">
        <f t="shared" si="151"/>
        <v>0</v>
      </c>
      <c r="Y209" s="1034">
        <f t="shared" si="152"/>
        <v>0</v>
      </c>
      <c r="Z209" s="1034">
        <f t="shared" si="153"/>
        <v>0</v>
      </c>
      <c r="AA209" s="1034">
        <f t="shared" si="137"/>
        <v>0</v>
      </c>
      <c r="AB209" s="1034">
        <f t="shared" si="138"/>
        <v>0</v>
      </c>
      <c r="AC209" s="1033">
        <f t="shared" si="154"/>
        <v>0</v>
      </c>
      <c r="AD209" s="1266">
        <f t="shared" si="139"/>
        <v>0</v>
      </c>
      <c r="AE209" s="1093">
        <f t="shared" si="155"/>
        <v>0</v>
      </c>
      <c r="AF209" s="1093">
        <f t="shared" si="156"/>
        <v>0</v>
      </c>
      <c r="AG209" s="1093">
        <f t="shared" si="140"/>
        <v>0</v>
      </c>
      <c r="AH209" s="1033" t="e">
        <f t="shared" si="141"/>
        <v>#DIV/0!</v>
      </c>
      <c r="AI209" s="1091">
        <f t="shared" si="142"/>
        <v>0</v>
      </c>
      <c r="AJ209" s="1094">
        <f t="shared" si="143"/>
        <v>0</v>
      </c>
      <c r="AK209" s="1053" t="str">
        <f t="shared" si="144"/>
        <v/>
      </c>
      <c r="AL209" s="1053"/>
      <c r="AM209" s="1290">
        <f>_xlfn.XLOOKUP(F209,Proveedores!A:A,Proveedores!G:G)</f>
        <v>0</v>
      </c>
      <c r="AN209" s="1095" t="str">
        <f t="shared" si="157"/>
        <v>OK</v>
      </c>
    </row>
    <row r="210" spans="1:40" ht="15.95">
      <c r="A210" s="1090" t="b">
        <f t="shared" si="132"/>
        <v>1</v>
      </c>
      <c r="B210" s="1091" t="b">
        <f t="shared" si="145"/>
        <v>1</v>
      </c>
      <c r="C210" s="1092" t="str">
        <f t="shared" si="146"/>
        <v>Dólares</v>
      </c>
      <c r="D210" s="15"/>
      <c r="E210" s="743"/>
      <c r="F210" s="17"/>
      <c r="G210" s="17" t="str">
        <f t="shared" si="133"/>
        <v xml:space="preserve"> </v>
      </c>
      <c r="H210" s="12">
        <v>0</v>
      </c>
      <c r="I210" s="16" t="str">
        <f>IFERROR(VLOOKUP(G210,Proveedores!B:C,2,0)," ")</f>
        <v xml:space="preserve"> </v>
      </c>
      <c r="J210" s="745">
        <v>0</v>
      </c>
      <c r="K210" s="745" t="str">
        <f t="shared" si="134"/>
        <v>Not Found</v>
      </c>
      <c r="L210" s="16">
        <f>IF(K210="Importado",Fletes!$B$66,0%)</f>
        <v>0</v>
      </c>
      <c r="M210" s="745">
        <f t="shared" si="147"/>
        <v>0</v>
      </c>
      <c r="N210" s="16">
        <f>IF(K210&lt;&gt;"Importado",0%,IF(Fletes!$B$67&lt;10,15%,IF(Fletes!$B$67&lt;20,10%,5%)))</f>
        <v>0</v>
      </c>
      <c r="O210" s="745" t="str">
        <f>IFERROR(IF(OR(F210="Offiho",F210="Lauco Sofas",F210="Requiez",F210="Labenze",F210="Sunon Mty",F210="Sonara"),(M210*(1-_xlfn.XLOOKUP(F210,Proveedores!A:A,Proveedores!I:I)))*(1+N210),((M210*(1-_xlfn.XLOOKUP(F210,Proveedores!A:A,Proveedores!I:I)))*(1+N210))+U210),"")</f>
        <v/>
      </c>
      <c r="P210" s="1031"/>
      <c r="Q210" s="1133">
        <f>IF(K210&lt;&gt;"Importado",0,IF(P210&gt;0,P210*H210,IFERROR(_xlfn.XLOOKUP(F210,Proveedores!A:A,Proveedores!F:F,0)*H210,0)))</f>
        <v>0</v>
      </c>
      <c r="R210" s="1134" t="e">
        <f t="shared" si="148"/>
        <v>#VALUE!</v>
      </c>
      <c r="S210" s="743"/>
      <c r="T210" s="1034" t="e">
        <f t="shared" si="135"/>
        <v>#N/A</v>
      </c>
      <c r="U210" s="1034" t="e">
        <f t="shared" si="149"/>
        <v>#N/A</v>
      </c>
      <c r="V210" s="1165" t="e">
        <f t="shared" si="136"/>
        <v>#N/A</v>
      </c>
      <c r="W210" s="1034" t="e">
        <f t="shared" si="150"/>
        <v>#N/A</v>
      </c>
      <c r="X210" s="1034" t="b">
        <f t="shared" si="151"/>
        <v>0</v>
      </c>
      <c r="Y210" s="1034">
        <f t="shared" si="152"/>
        <v>0</v>
      </c>
      <c r="Z210" s="1034">
        <f t="shared" si="153"/>
        <v>0</v>
      </c>
      <c r="AA210" s="1034">
        <f t="shared" si="137"/>
        <v>0</v>
      </c>
      <c r="AB210" s="1034">
        <f t="shared" si="138"/>
        <v>0</v>
      </c>
      <c r="AC210" s="1033">
        <f t="shared" si="154"/>
        <v>0</v>
      </c>
      <c r="AD210" s="1266">
        <f t="shared" si="139"/>
        <v>0</v>
      </c>
      <c r="AE210" s="1093">
        <f t="shared" si="155"/>
        <v>0</v>
      </c>
      <c r="AF210" s="1093">
        <f t="shared" si="156"/>
        <v>0</v>
      </c>
      <c r="AG210" s="1093">
        <f t="shared" si="140"/>
        <v>0</v>
      </c>
      <c r="AH210" s="1033" t="e">
        <f t="shared" si="141"/>
        <v>#DIV/0!</v>
      </c>
      <c r="AI210" s="1091">
        <f t="shared" si="142"/>
        <v>0</v>
      </c>
      <c r="AJ210" s="1094">
        <f t="shared" si="143"/>
        <v>0</v>
      </c>
      <c r="AK210" s="1053" t="str">
        <f t="shared" si="144"/>
        <v/>
      </c>
      <c r="AL210" s="1053"/>
      <c r="AM210" s="1290">
        <f>_xlfn.XLOOKUP(F210,Proveedores!A:A,Proveedores!G:G)</f>
        <v>0</v>
      </c>
      <c r="AN210" s="1095" t="str">
        <f t="shared" si="157"/>
        <v>OK</v>
      </c>
    </row>
    <row r="211" spans="1:40" ht="15.95">
      <c r="A211" s="1090" t="b">
        <f t="shared" si="132"/>
        <v>1</v>
      </c>
      <c r="B211" s="1091" t="b">
        <f t="shared" si="145"/>
        <v>1</v>
      </c>
      <c r="C211" s="1092" t="str">
        <f t="shared" si="146"/>
        <v>Dólares</v>
      </c>
      <c r="D211" s="15"/>
      <c r="E211" s="743"/>
      <c r="F211" s="17"/>
      <c r="G211" s="17" t="str">
        <f t="shared" si="133"/>
        <v xml:space="preserve"> </v>
      </c>
      <c r="H211" s="12">
        <v>0</v>
      </c>
      <c r="I211" s="16" t="str">
        <f>IFERROR(VLOOKUP(G211,Proveedores!B:C,2,0)," ")</f>
        <v xml:space="preserve"> </v>
      </c>
      <c r="J211" s="745">
        <v>0</v>
      </c>
      <c r="K211" s="745" t="str">
        <f t="shared" si="134"/>
        <v>Not Found</v>
      </c>
      <c r="L211" s="16">
        <f>IF(K211="Importado",Fletes!$B$66,0%)</f>
        <v>0</v>
      </c>
      <c r="M211" s="745">
        <f t="shared" si="147"/>
        <v>0</v>
      </c>
      <c r="N211" s="16">
        <f>IF(K211&lt;&gt;"Importado",0%,IF(Fletes!$B$67&lt;10,15%,IF(Fletes!$B$67&lt;20,10%,5%)))</f>
        <v>0</v>
      </c>
      <c r="O211" s="745" t="str">
        <f>IFERROR(IF(OR(F211="Offiho",F211="Lauco Sofas",F211="Requiez",F211="Labenze",F211="Sunon Mty",F211="Sonara"),(M211*(1-_xlfn.XLOOKUP(F211,Proveedores!A:A,Proveedores!I:I)))*(1+N211),((M211*(1-_xlfn.XLOOKUP(F211,Proveedores!A:A,Proveedores!I:I)))*(1+N211))+U211),"")</f>
        <v/>
      </c>
      <c r="P211" s="1031"/>
      <c r="Q211" s="1133">
        <f>IF(K211&lt;&gt;"Importado",0,IF(P211&gt;0,P211*H211,IFERROR(_xlfn.XLOOKUP(F211,Proveedores!A:A,Proveedores!F:F,0)*H211,0)))</f>
        <v>0</v>
      </c>
      <c r="R211" s="1134" t="e">
        <f t="shared" si="148"/>
        <v>#VALUE!</v>
      </c>
      <c r="S211" s="743"/>
      <c r="T211" s="1034" t="e">
        <f t="shared" si="135"/>
        <v>#N/A</v>
      </c>
      <c r="U211" s="1034" t="e">
        <f t="shared" si="149"/>
        <v>#N/A</v>
      </c>
      <c r="V211" s="1165" t="e">
        <f t="shared" si="136"/>
        <v>#N/A</v>
      </c>
      <c r="W211" s="1034" t="e">
        <f t="shared" si="150"/>
        <v>#N/A</v>
      </c>
      <c r="X211" s="1034" t="b">
        <f t="shared" si="151"/>
        <v>0</v>
      </c>
      <c r="Y211" s="1034">
        <f t="shared" si="152"/>
        <v>0</v>
      </c>
      <c r="Z211" s="1034">
        <f t="shared" si="153"/>
        <v>0</v>
      </c>
      <c r="AA211" s="1034">
        <f t="shared" si="137"/>
        <v>0</v>
      </c>
      <c r="AB211" s="1034">
        <f t="shared" si="138"/>
        <v>0</v>
      </c>
      <c r="AC211" s="1033">
        <f t="shared" si="154"/>
        <v>0</v>
      </c>
      <c r="AD211" s="1266">
        <f t="shared" si="139"/>
        <v>0</v>
      </c>
      <c r="AE211" s="1093">
        <f t="shared" si="155"/>
        <v>0</v>
      </c>
      <c r="AF211" s="1093">
        <f t="shared" si="156"/>
        <v>0</v>
      </c>
      <c r="AG211" s="1093">
        <f t="shared" si="140"/>
        <v>0</v>
      </c>
      <c r="AH211" s="1033" t="e">
        <f t="shared" si="141"/>
        <v>#DIV/0!</v>
      </c>
      <c r="AI211" s="1091">
        <f t="shared" si="142"/>
        <v>0</v>
      </c>
      <c r="AJ211" s="1094">
        <f t="shared" si="143"/>
        <v>0</v>
      </c>
      <c r="AK211" s="1053" t="str">
        <f t="shared" si="144"/>
        <v/>
      </c>
      <c r="AL211" s="1053"/>
      <c r="AM211" s="1290">
        <f>_xlfn.XLOOKUP(F211,Proveedores!A:A,Proveedores!G:G)</f>
        <v>0</v>
      </c>
      <c r="AN211" s="1095" t="str">
        <f t="shared" si="157"/>
        <v>OK</v>
      </c>
    </row>
    <row r="212" spans="1:40" ht="15.95">
      <c r="A212" s="1090" t="b">
        <f t="shared" si="132"/>
        <v>1</v>
      </c>
      <c r="B212" s="1091" t="b">
        <f t="shared" si="145"/>
        <v>1</v>
      </c>
      <c r="C212" s="1092" t="str">
        <f t="shared" si="146"/>
        <v>Dólares</v>
      </c>
      <c r="D212" s="14"/>
      <c r="E212" s="743"/>
      <c r="F212" s="17"/>
      <c r="G212" s="17" t="str">
        <f t="shared" si="133"/>
        <v xml:space="preserve"> </v>
      </c>
      <c r="H212" s="12">
        <v>0</v>
      </c>
      <c r="I212" s="16" t="str">
        <f>IFERROR(VLOOKUP(G212,Proveedores!B:C,2,0)," ")</f>
        <v xml:space="preserve"> </v>
      </c>
      <c r="J212" s="745">
        <v>0</v>
      </c>
      <c r="K212" s="745" t="str">
        <f t="shared" si="134"/>
        <v>Not Found</v>
      </c>
      <c r="L212" s="16">
        <f>IF(K212="Importado",Fletes!$B$66,0%)</f>
        <v>0</v>
      </c>
      <c r="M212" s="745">
        <f t="shared" si="147"/>
        <v>0</v>
      </c>
      <c r="N212" s="16">
        <f>IF(K212&lt;&gt;"Importado",0%,IF(Fletes!$B$67&lt;10,15%,IF(Fletes!$B$67&lt;20,10%,5%)))</f>
        <v>0</v>
      </c>
      <c r="O212" s="745" t="str">
        <f>IFERROR(IF(OR(F212="Offiho",F212="Lauco Sofas",F212="Requiez",F212="Labenze",F212="Sunon Mty",F212="Sonara"),(M212*(1-_xlfn.XLOOKUP(F212,Proveedores!A:A,Proveedores!I:I)))*(1+N212),((M212*(1-_xlfn.XLOOKUP(F212,Proveedores!A:A,Proveedores!I:I)))*(1+N212))+U212),"")</f>
        <v/>
      </c>
      <c r="P212" s="1031"/>
      <c r="Q212" s="1133">
        <f>IF(K212&lt;&gt;"Importado",0,IF(P212&gt;0,P212*H212,IFERROR(_xlfn.XLOOKUP(F212,Proveedores!A:A,Proveedores!F:F,0)*H212,0)))</f>
        <v>0</v>
      </c>
      <c r="R212" s="1134" t="e">
        <f t="shared" si="148"/>
        <v>#VALUE!</v>
      </c>
      <c r="S212" s="743"/>
      <c r="T212" s="1034" t="e">
        <f t="shared" si="135"/>
        <v>#N/A</v>
      </c>
      <c r="U212" s="1034" t="e">
        <f t="shared" si="149"/>
        <v>#N/A</v>
      </c>
      <c r="V212" s="1165" t="e">
        <f t="shared" si="136"/>
        <v>#N/A</v>
      </c>
      <c r="W212" s="1034" t="e">
        <f t="shared" si="150"/>
        <v>#N/A</v>
      </c>
      <c r="X212" s="1034" t="b">
        <f t="shared" si="151"/>
        <v>0</v>
      </c>
      <c r="Y212" s="1034">
        <f t="shared" si="152"/>
        <v>0</v>
      </c>
      <c r="Z212" s="1034">
        <f t="shared" si="153"/>
        <v>0</v>
      </c>
      <c r="AA212" s="1034">
        <f t="shared" si="137"/>
        <v>0</v>
      </c>
      <c r="AB212" s="1034">
        <f t="shared" si="138"/>
        <v>0</v>
      </c>
      <c r="AC212" s="1033">
        <f t="shared" si="154"/>
        <v>0</v>
      </c>
      <c r="AD212" s="1266">
        <f t="shared" si="139"/>
        <v>0</v>
      </c>
      <c r="AE212" s="1093">
        <f t="shared" si="155"/>
        <v>0</v>
      </c>
      <c r="AF212" s="1093">
        <f t="shared" si="156"/>
        <v>0</v>
      </c>
      <c r="AG212" s="1093">
        <f t="shared" si="140"/>
        <v>0</v>
      </c>
      <c r="AH212" s="1033" t="e">
        <f t="shared" si="141"/>
        <v>#DIV/0!</v>
      </c>
      <c r="AI212" s="1091">
        <f t="shared" si="142"/>
        <v>0</v>
      </c>
      <c r="AJ212" s="1094">
        <f t="shared" si="143"/>
        <v>0</v>
      </c>
      <c r="AK212" s="1053" t="str">
        <f t="shared" si="144"/>
        <v/>
      </c>
      <c r="AL212" s="1053"/>
      <c r="AM212" s="1290">
        <f>_xlfn.XLOOKUP(F212,Proveedores!A:A,Proveedores!G:G)</f>
        <v>0</v>
      </c>
      <c r="AN212" s="1095" t="str">
        <f t="shared" si="157"/>
        <v>OK</v>
      </c>
    </row>
    <row r="213" spans="1:40" ht="15.95">
      <c r="A213" s="1090" t="b">
        <f t="shared" si="132"/>
        <v>1</v>
      </c>
      <c r="B213" s="1091" t="b">
        <f t="shared" si="145"/>
        <v>1</v>
      </c>
      <c r="C213" s="1092" t="str">
        <f t="shared" si="146"/>
        <v>Dólares</v>
      </c>
      <c r="D213" s="14"/>
      <c r="E213" s="743"/>
      <c r="F213" s="17"/>
      <c r="G213" s="17" t="str">
        <f t="shared" si="133"/>
        <v xml:space="preserve"> </v>
      </c>
      <c r="H213" s="12">
        <v>0</v>
      </c>
      <c r="I213" s="16" t="str">
        <f>IFERROR(VLOOKUP(G213,Proveedores!B:C,2,0)," ")</f>
        <v xml:space="preserve"> </v>
      </c>
      <c r="J213" s="745">
        <v>0</v>
      </c>
      <c r="K213" s="745" t="str">
        <f t="shared" si="134"/>
        <v>Not Found</v>
      </c>
      <c r="L213" s="16">
        <f>IF(K213="Importado",Fletes!$B$66,0%)</f>
        <v>0</v>
      </c>
      <c r="M213" s="745">
        <f t="shared" si="147"/>
        <v>0</v>
      </c>
      <c r="N213" s="16">
        <f>IF(K213&lt;&gt;"Importado",0%,IF(Fletes!$B$67&lt;10,15%,IF(Fletes!$B$67&lt;20,10%,5%)))</f>
        <v>0</v>
      </c>
      <c r="O213" s="745" t="str">
        <f>IFERROR(IF(OR(F213="Offiho",F213="Lauco Sofas",F213="Requiez",F213="Labenze",F213="Sunon Mty",F213="Sonara"),(M213*(1-_xlfn.XLOOKUP(F213,Proveedores!A:A,Proveedores!I:I)))*(1+N213),((M213*(1-_xlfn.XLOOKUP(F213,Proveedores!A:A,Proveedores!I:I)))*(1+N213))+U213),"")</f>
        <v/>
      </c>
      <c r="P213" s="1031"/>
      <c r="Q213" s="1133">
        <f>IF(K213&lt;&gt;"Importado",0,IF(P213&gt;0,P213*H213,IFERROR(_xlfn.XLOOKUP(F213,Proveedores!A:A,Proveedores!F:F,0)*H213,0)))</f>
        <v>0</v>
      </c>
      <c r="R213" s="1134" t="e">
        <f t="shared" si="148"/>
        <v>#VALUE!</v>
      </c>
      <c r="S213" s="743"/>
      <c r="T213" s="1034" t="e">
        <f t="shared" si="135"/>
        <v>#N/A</v>
      </c>
      <c r="U213" s="1034" t="e">
        <f t="shared" si="149"/>
        <v>#N/A</v>
      </c>
      <c r="V213" s="1165" t="e">
        <f t="shared" si="136"/>
        <v>#N/A</v>
      </c>
      <c r="W213" s="1034" t="e">
        <f t="shared" si="150"/>
        <v>#N/A</v>
      </c>
      <c r="X213" s="1034" t="b">
        <f t="shared" si="151"/>
        <v>0</v>
      </c>
      <c r="Y213" s="1034">
        <f t="shared" si="152"/>
        <v>0</v>
      </c>
      <c r="Z213" s="1034">
        <f t="shared" si="153"/>
        <v>0</v>
      </c>
      <c r="AA213" s="1034">
        <f t="shared" si="137"/>
        <v>0</v>
      </c>
      <c r="AB213" s="1034">
        <f t="shared" si="138"/>
        <v>0</v>
      </c>
      <c r="AC213" s="1033">
        <f t="shared" si="154"/>
        <v>0</v>
      </c>
      <c r="AD213" s="1266">
        <f t="shared" si="139"/>
        <v>0</v>
      </c>
      <c r="AE213" s="1093">
        <f t="shared" si="155"/>
        <v>0</v>
      </c>
      <c r="AF213" s="1093">
        <f t="shared" si="156"/>
        <v>0</v>
      </c>
      <c r="AG213" s="1093">
        <f t="shared" si="140"/>
        <v>0</v>
      </c>
      <c r="AH213" s="1033" t="e">
        <f t="shared" si="141"/>
        <v>#DIV/0!</v>
      </c>
      <c r="AI213" s="1091">
        <f t="shared" si="142"/>
        <v>0</v>
      </c>
      <c r="AJ213" s="1094">
        <f t="shared" si="143"/>
        <v>0</v>
      </c>
      <c r="AK213" s="1053" t="str">
        <f t="shared" si="144"/>
        <v/>
      </c>
      <c r="AL213" s="1053"/>
      <c r="AM213" s="1290">
        <f>_xlfn.XLOOKUP(F213,Proveedores!A:A,Proveedores!G:G)</f>
        <v>0</v>
      </c>
      <c r="AN213" s="1095" t="str">
        <f t="shared" si="157"/>
        <v>OK</v>
      </c>
    </row>
    <row r="214" spans="1:40" ht="15.95">
      <c r="A214" s="1090" t="b">
        <f t="shared" si="132"/>
        <v>1</v>
      </c>
      <c r="B214" s="1091" t="b">
        <f t="shared" si="145"/>
        <v>1</v>
      </c>
      <c r="C214" s="1092" t="str">
        <f t="shared" si="146"/>
        <v>Dólares</v>
      </c>
      <c r="D214" s="14"/>
      <c r="E214" s="743"/>
      <c r="F214" s="17"/>
      <c r="G214" s="17" t="str">
        <f t="shared" si="133"/>
        <v xml:space="preserve"> </v>
      </c>
      <c r="H214" s="12">
        <v>0</v>
      </c>
      <c r="I214" s="16" t="str">
        <f>IFERROR(VLOOKUP(G214,Proveedores!B:C,2,0)," ")</f>
        <v xml:space="preserve"> </v>
      </c>
      <c r="J214" s="745">
        <v>0</v>
      </c>
      <c r="K214" s="745" t="str">
        <f t="shared" si="134"/>
        <v>Not Found</v>
      </c>
      <c r="L214" s="16">
        <f>IF(K214="Importado",Fletes!$B$66,0%)</f>
        <v>0</v>
      </c>
      <c r="M214" s="745">
        <f t="shared" si="147"/>
        <v>0</v>
      </c>
      <c r="N214" s="16">
        <f>IF(K214&lt;&gt;"Importado",0%,IF(Fletes!$B$67&lt;10,15%,IF(Fletes!$B$67&lt;20,10%,5%)))</f>
        <v>0</v>
      </c>
      <c r="O214" s="745" t="str">
        <f>IFERROR(IF(OR(F214="Offiho",F214="Lauco Sofas",F214="Requiez",F214="Labenze",F214="Sunon Mty",F214="Sonara"),(M214*(1-_xlfn.XLOOKUP(F214,Proveedores!A:A,Proveedores!I:I)))*(1+N214),((M214*(1-_xlfn.XLOOKUP(F214,Proveedores!A:A,Proveedores!I:I)))*(1+N214))+U214),"")</f>
        <v/>
      </c>
      <c r="P214" s="1031"/>
      <c r="Q214" s="1133">
        <f>IF(K214&lt;&gt;"Importado",0,IF(P214&gt;0,P214*H214,IFERROR(_xlfn.XLOOKUP(F214,Proveedores!A:A,Proveedores!F:F,0)*H214,0)))</f>
        <v>0</v>
      </c>
      <c r="R214" s="1134" t="e">
        <f t="shared" si="148"/>
        <v>#VALUE!</v>
      </c>
      <c r="S214" s="743"/>
      <c r="T214" s="1034" t="e">
        <f t="shared" si="135"/>
        <v>#N/A</v>
      </c>
      <c r="U214" s="1034" t="e">
        <f t="shared" si="149"/>
        <v>#N/A</v>
      </c>
      <c r="V214" s="1165" t="e">
        <f t="shared" si="136"/>
        <v>#N/A</v>
      </c>
      <c r="W214" s="1034" t="e">
        <f t="shared" si="150"/>
        <v>#N/A</v>
      </c>
      <c r="X214" s="1034" t="b">
        <f t="shared" si="151"/>
        <v>0</v>
      </c>
      <c r="Y214" s="1034">
        <f t="shared" si="152"/>
        <v>0</v>
      </c>
      <c r="Z214" s="1034">
        <f t="shared" si="153"/>
        <v>0</v>
      </c>
      <c r="AA214" s="1034">
        <f t="shared" si="137"/>
        <v>0</v>
      </c>
      <c r="AB214" s="1034">
        <f t="shared" si="138"/>
        <v>0</v>
      </c>
      <c r="AC214" s="1033">
        <f t="shared" si="154"/>
        <v>0</v>
      </c>
      <c r="AD214" s="1266">
        <f t="shared" si="139"/>
        <v>0</v>
      </c>
      <c r="AE214" s="1093">
        <f t="shared" si="155"/>
        <v>0</v>
      </c>
      <c r="AF214" s="1093">
        <f t="shared" si="156"/>
        <v>0</v>
      </c>
      <c r="AG214" s="1093">
        <f t="shared" si="140"/>
        <v>0</v>
      </c>
      <c r="AH214" s="1033" t="e">
        <f t="shared" si="141"/>
        <v>#DIV/0!</v>
      </c>
      <c r="AI214" s="1091">
        <f t="shared" si="142"/>
        <v>0</v>
      </c>
      <c r="AJ214" s="1094">
        <f t="shared" si="143"/>
        <v>0</v>
      </c>
      <c r="AK214" s="1053" t="str">
        <f t="shared" si="144"/>
        <v/>
      </c>
      <c r="AL214" s="1053"/>
      <c r="AM214" s="1290">
        <f>_xlfn.XLOOKUP(F214,Proveedores!A:A,Proveedores!G:G)</f>
        <v>0</v>
      </c>
      <c r="AN214" s="1095" t="str">
        <f t="shared" si="157"/>
        <v>OK</v>
      </c>
    </row>
    <row r="215" spans="1:40" ht="15.95">
      <c r="A215" s="1090" t="b">
        <f t="shared" si="132"/>
        <v>1</v>
      </c>
      <c r="B215" s="1091" t="b">
        <f t="shared" si="145"/>
        <v>1</v>
      </c>
      <c r="C215" s="1092" t="str">
        <f t="shared" si="146"/>
        <v>Dólares</v>
      </c>
      <c r="D215" s="15"/>
      <c r="E215" s="743"/>
      <c r="F215" s="17"/>
      <c r="G215" s="17" t="str">
        <f t="shared" si="133"/>
        <v xml:space="preserve"> </v>
      </c>
      <c r="H215" s="12">
        <v>0</v>
      </c>
      <c r="I215" s="16" t="str">
        <f>IFERROR(VLOOKUP(G215,Proveedores!B:C,2,0)," ")</f>
        <v xml:space="preserve"> </v>
      </c>
      <c r="J215" s="745">
        <v>0</v>
      </c>
      <c r="K215" s="745" t="str">
        <f t="shared" si="134"/>
        <v>Not Found</v>
      </c>
      <c r="L215" s="16">
        <f>IF(K215="Importado",Fletes!$B$66,0%)</f>
        <v>0</v>
      </c>
      <c r="M215" s="745">
        <f t="shared" si="147"/>
        <v>0</v>
      </c>
      <c r="N215" s="16">
        <f>IF(K215&lt;&gt;"Importado",0%,IF(Fletes!$B$67&lt;10,15%,IF(Fletes!$B$67&lt;20,10%,5%)))</f>
        <v>0</v>
      </c>
      <c r="O215" s="745" t="str">
        <f>IFERROR(IF(OR(F215="Offiho",F215="Lauco Sofas",F215="Requiez",F215="Labenze",F215="Sunon Mty",F215="Sonara"),(M215*(1-_xlfn.XLOOKUP(F215,Proveedores!A:A,Proveedores!I:I)))*(1+N215),((M215*(1-_xlfn.XLOOKUP(F215,Proveedores!A:A,Proveedores!I:I)))*(1+N215))+U215),"")</f>
        <v/>
      </c>
      <c r="P215" s="1031"/>
      <c r="Q215" s="1133">
        <f>IF(K215&lt;&gt;"Importado",0,IF(P215&gt;0,P215*H215,IFERROR(_xlfn.XLOOKUP(F215,Proveedores!A:A,Proveedores!F:F,0)*H215,0)))</f>
        <v>0</v>
      </c>
      <c r="R215" s="1134" t="e">
        <f t="shared" si="148"/>
        <v>#VALUE!</v>
      </c>
      <c r="S215" s="743"/>
      <c r="T215" s="1034" t="e">
        <f t="shared" si="135"/>
        <v>#N/A</v>
      </c>
      <c r="U215" s="1034" t="e">
        <f t="shared" si="149"/>
        <v>#N/A</v>
      </c>
      <c r="V215" s="1165" t="e">
        <f t="shared" si="136"/>
        <v>#N/A</v>
      </c>
      <c r="W215" s="1034" t="e">
        <f t="shared" si="150"/>
        <v>#N/A</v>
      </c>
      <c r="X215" s="1034" t="b">
        <f t="shared" si="151"/>
        <v>0</v>
      </c>
      <c r="Y215" s="1034">
        <f t="shared" si="152"/>
        <v>0</v>
      </c>
      <c r="Z215" s="1034">
        <f t="shared" si="153"/>
        <v>0</v>
      </c>
      <c r="AA215" s="1034">
        <f t="shared" si="137"/>
        <v>0</v>
      </c>
      <c r="AB215" s="1034">
        <f t="shared" si="138"/>
        <v>0</v>
      </c>
      <c r="AC215" s="1033">
        <f t="shared" si="154"/>
        <v>0</v>
      </c>
      <c r="AD215" s="1266">
        <f t="shared" si="139"/>
        <v>0</v>
      </c>
      <c r="AE215" s="1093">
        <f t="shared" si="155"/>
        <v>0</v>
      </c>
      <c r="AF215" s="1093">
        <f t="shared" si="156"/>
        <v>0</v>
      </c>
      <c r="AG215" s="1093">
        <f t="shared" si="140"/>
        <v>0</v>
      </c>
      <c r="AH215" s="1033" t="e">
        <f t="shared" si="141"/>
        <v>#DIV/0!</v>
      </c>
      <c r="AI215" s="1091">
        <f t="shared" si="142"/>
        <v>0</v>
      </c>
      <c r="AJ215" s="1094">
        <f t="shared" si="143"/>
        <v>0</v>
      </c>
      <c r="AK215" s="1053" t="str">
        <f t="shared" si="144"/>
        <v/>
      </c>
      <c r="AL215" s="1053"/>
      <c r="AM215" s="1290">
        <f>_xlfn.XLOOKUP(F215,Proveedores!A:A,Proveedores!G:G)</f>
        <v>0</v>
      </c>
      <c r="AN215" s="1095" t="str">
        <f t="shared" si="157"/>
        <v>OK</v>
      </c>
    </row>
    <row r="216" spans="1:40" ht="15.95">
      <c r="A216" s="1090" t="b">
        <f t="shared" si="132"/>
        <v>1</v>
      </c>
      <c r="B216" s="1091" t="b">
        <f t="shared" si="145"/>
        <v>1</v>
      </c>
      <c r="C216" s="1092" t="str">
        <f t="shared" si="146"/>
        <v>Dólares</v>
      </c>
      <c r="D216" s="15"/>
      <c r="E216" s="743"/>
      <c r="F216" s="17"/>
      <c r="G216" s="17" t="str">
        <f t="shared" si="133"/>
        <v xml:space="preserve"> </v>
      </c>
      <c r="H216" s="12">
        <v>0</v>
      </c>
      <c r="I216" s="16" t="str">
        <f>IFERROR(VLOOKUP(G216,Proveedores!B:C,2,0)," ")</f>
        <v xml:space="preserve"> </v>
      </c>
      <c r="J216" s="745">
        <v>0</v>
      </c>
      <c r="K216" s="745" t="str">
        <f t="shared" si="134"/>
        <v>Not Found</v>
      </c>
      <c r="L216" s="16">
        <f>IF(K216="Importado",Fletes!$B$66,0%)</f>
        <v>0</v>
      </c>
      <c r="M216" s="745">
        <f t="shared" si="147"/>
        <v>0</v>
      </c>
      <c r="N216" s="16">
        <f>IF(K216&lt;&gt;"Importado",0%,IF(Fletes!$B$67&lt;10,15%,IF(Fletes!$B$67&lt;20,10%,5%)))</f>
        <v>0</v>
      </c>
      <c r="O216" s="745" t="str">
        <f>IFERROR(IF(OR(F216="Offiho",F216="Lauco Sofas",F216="Requiez",F216="Labenze",F216="Sunon Mty",F216="Sonara"),(M216*(1-_xlfn.XLOOKUP(F216,Proveedores!A:A,Proveedores!I:I)))*(1+N216),((M216*(1-_xlfn.XLOOKUP(F216,Proveedores!A:A,Proveedores!I:I)))*(1+N216))+U216),"")</f>
        <v/>
      </c>
      <c r="P216" s="1031"/>
      <c r="Q216" s="1133">
        <f>IF(K216&lt;&gt;"Importado",0,IF(P216&gt;0,P216*H216,IFERROR(_xlfn.XLOOKUP(F216,Proveedores!A:A,Proveedores!F:F,0)*H216,0)))</f>
        <v>0</v>
      </c>
      <c r="R216" s="1134" t="e">
        <f t="shared" si="148"/>
        <v>#VALUE!</v>
      </c>
      <c r="S216" s="743"/>
      <c r="T216" s="1034" t="e">
        <f t="shared" si="135"/>
        <v>#N/A</v>
      </c>
      <c r="U216" s="1034" t="e">
        <f t="shared" si="149"/>
        <v>#N/A</v>
      </c>
      <c r="V216" s="1165" t="e">
        <f t="shared" si="136"/>
        <v>#N/A</v>
      </c>
      <c r="W216" s="1034" t="e">
        <f t="shared" si="150"/>
        <v>#N/A</v>
      </c>
      <c r="X216" s="1034" t="b">
        <f t="shared" si="151"/>
        <v>0</v>
      </c>
      <c r="Y216" s="1034">
        <f t="shared" si="152"/>
        <v>0</v>
      </c>
      <c r="Z216" s="1034">
        <f t="shared" si="153"/>
        <v>0</v>
      </c>
      <c r="AA216" s="1034">
        <f t="shared" si="137"/>
        <v>0</v>
      </c>
      <c r="AB216" s="1034">
        <f t="shared" si="138"/>
        <v>0</v>
      </c>
      <c r="AC216" s="1033">
        <f t="shared" si="154"/>
        <v>0</v>
      </c>
      <c r="AD216" s="1266">
        <f t="shared" si="139"/>
        <v>0</v>
      </c>
      <c r="AE216" s="1093">
        <f t="shared" si="155"/>
        <v>0</v>
      </c>
      <c r="AF216" s="1093">
        <f t="shared" si="156"/>
        <v>0</v>
      </c>
      <c r="AG216" s="1093">
        <f t="shared" si="140"/>
        <v>0</v>
      </c>
      <c r="AH216" s="1033" t="e">
        <f t="shared" si="141"/>
        <v>#DIV/0!</v>
      </c>
      <c r="AI216" s="1091">
        <f t="shared" si="142"/>
        <v>0</v>
      </c>
      <c r="AJ216" s="1094">
        <f t="shared" si="143"/>
        <v>0</v>
      </c>
      <c r="AK216" s="1053" t="str">
        <f t="shared" si="144"/>
        <v/>
      </c>
      <c r="AL216" s="1053"/>
      <c r="AM216" s="1290">
        <f>_xlfn.XLOOKUP(F216,Proveedores!A:A,Proveedores!G:G)</f>
        <v>0</v>
      </c>
      <c r="AN216" s="1095" t="str">
        <f t="shared" si="157"/>
        <v>OK</v>
      </c>
    </row>
    <row r="217" spans="1:40" ht="15.95">
      <c r="A217" s="1090" t="b">
        <f t="shared" si="132"/>
        <v>1</v>
      </c>
      <c r="B217" s="1091" t="b">
        <f t="shared" si="145"/>
        <v>1</v>
      </c>
      <c r="C217" s="1092" t="str">
        <f t="shared" si="146"/>
        <v>Dólares</v>
      </c>
      <c r="D217" s="14"/>
      <c r="E217" s="743"/>
      <c r="F217" s="17"/>
      <c r="G217" s="17" t="str">
        <f t="shared" si="133"/>
        <v xml:space="preserve"> </v>
      </c>
      <c r="H217" s="12">
        <v>0</v>
      </c>
      <c r="I217" s="16" t="str">
        <f>IFERROR(VLOOKUP(G217,Proveedores!B:C,2,0)," ")</f>
        <v xml:space="preserve"> </v>
      </c>
      <c r="J217" s="745">
        <v>0</v>
      </c>
      <c r="K217" s="745" t="str">
        <f t="shared" si="134"/>
        <v>Not Found</v>
      </c>
      <c r="L217" s="16">
        <f>IF(K217="Importado",Fletes!$B$66,0%)</f>
        <v>0</v>
      </c>
      <c r="M217" s="745">
        <f t="shared" si="147"/>
        <v>0</v>
      </c>
      <c r="N217" s="16">
        <f>IF(K217&lt;&gt;"Importado",0%,IF(Fletes!$B$67&lt;10,15%,IF(Fletes!$B$67&lt;20,10%,5%)))</f>
        <v>0</v>
      </c>
      <c r="O217" s="745" t="str">
        <f>IFERROR(IF(OR(F217="Offiho",F217="Lauco Sofas",F217="Requiez",F217="Labenze",F217="Sunon Mty",F217="Sonara"),(M217*(1-_xlfn.XLOOKUP(F217,Proveedores!A:A,Proveedores!I:I)))*(1+N217),((M217*(1-_xlfn.XLOOKUP(F217,Proveedores!A:A,Proveedores!I:I)))*(1+N217))+U217),"")</f>
        <v/>
      </c>
      <c r="P217" s="1031"/>
      <c r="Q217" s="1133">
        <f>IF(K217&lt;&gt;"Importado",0,IF(P217&gt;0,P217*H217,IFERROR(_xlfn.XLOOKUP(F217,Proveedores!A:A,Proveedores!F:F,0)*H217,0)))</f>
        <v>0</v>
      </c>
      <c r="R217" s="1134" t="e">
        <f t="shared" si="148"/>
        <v>#VALUE!</v>
      </c>
      <c r="S217" s="743"/>
      <c r="T217" s="1034" t="e">
        <f t="shared" si="135"/>
        <v>#N/A</v>
      </c>
      <c r="U217" s="1034" t="e">
        <f t="shared" si="149"/>
        <v>#N/A</v>
      </c>
      <c r="V217" s="1165" t="e">
        <f t="shared" si="136"/>
        <v>#N/A</v>
      </c>
      <c r="W217" s="1034" t="e">
        <f t="shared" si="150"/>
        <v>#N/A</v>
      </c>
      <c r="X217" s="1034" t="b">
        <f t="shared" si="151"/>
        <v>0</v>
      </c>
      <c r="Y217" s="1034">
        <f t="shared" si="152"/>
        <v>0</v>
      </c>
      <c r="Z217" s="1034">
        <f t="shared" si="153"/>
        <v>0</v>
      </c>
      <c r="AA217" s="1034">
        <f t="shared" si="137"/>
        <v>0</v>
      </c>
      <c r="AB217" s="1034">
        <f t="shared" si="138"/>
        <v>0</v>
      </c>
      <c r="AC217" s="1033">
        <f t="shared" si="154"/>
        <v>0</v>
      </c>
      <c r="AD217" s="1266">
        <f t="shared" si="139"/>
        <v>0</v>
      </c>
      <c r="AE217" s="1093">
        <f t="shared" si="155"/>
        <v>0</v>
      </c>
      <c r="AF217" s="1093">
        <f t="shared" si="156"/>
        <v>0</v>
      </c>
      <c r="AG217" s="1093">
        <f t="shared" si="140"/>
        <v>0</v>
      </c>
      <c r="AH217" s="1033" t="e">
        <f t="shared" si="141"/>
        <v>#DIV/0!</v>
      </c>
      <c r="AI217" s="1091">
        <f t="shared" si="142"/>
        <v>0</v>
      </c>
      <c r="AJ217" s="1094">
        <f t="shared" si="143"/>
        <v>0</v>
      </c>
      <c r="AK217" s="1053" t="str">
        <f t="shared" si="144"/>
        <v/>
      </c>
      <c r="AL217" s="1053"/>
      <c r="AM217" s="1290">
        <f>_xlfn.XLOOKUP(F217,Proveedores!A:A,Proveedores!G:G)</f>
        <v>0</v>
      </c>
      <c r="AN217" s="1095" t="str">
        <f t="shared" si="157"/>
        <v>OK</v>
      </c>
    </row>
    <row r="218" spans="1:40" ht="15.95">
      <c r="A218" s="1090" t="b">
        <f t="shared" si="132"/>
        <v>1</v>
      </c>
      <c r="B218" s="1091" t="b">
        <f t="shared" si="145"/>
        <v>1</v>
      </c>
      <c r="C218" s="1092" t="str">
        <f t="shared" si="146"/>
        <v>Dólares</v>
      </c>
      <c r="D218" s="14"/>
      <c r="E218" s="743"/>
      <c r="F218" s="17"/>
      <c r="G218" s="17" t="str">
        <f t="shared" si="133"/>
        <v xml:space="preserve"> </v>
      </c>
      <c r="H218" s="12">
        <v>0</v>
      </c>
      <c r="I218" s="16" t="str">
        <f>IFERROR(VLOOKUP(G218,Proveedores!B:C,2,0)," ")</f>
        <v xml:space="preserve"> </v>
      </c>
      <c r="J218" s="745">
        <v>0</v>
      </c>
      <c r="K218" s="745" t="str">
        <f t="shared" si="134"/>
        <v>Not Found</v>
      </c>
      <c r="L218" s="16">
        <f>IF(K218="Importado",Fletes!$B$66,0%)</f>
        <v>0</v>
      </c>
      <c r="M218" s="745">
        <f t="shared" si="147"/>
        <v>0</v>
      </c>
      <c r="N218" s="16">
        <f>IF(K218&lt;&gt;"Importado",0%,IF(Fletes!$B$67&lt;10,15%,IF(Fletes!$B$67&lt;20,10%,5%)))</f>
        <v>0</v>
      </c>
      <c r="O218" s="745" t="str">
        <f>IFERROR(IF(OR(F218="Offiho",F218="Lauco Sofas",F218="Requiez",F218="Labenze",F218="Sunon Mty",F218="Sonara"),(M218*(1-_xlfn.XLOOKUP(F218,Proveedores!A:A,Proveedores!I:I)))*(1+N218),((M218*(1-_xlfn.XLOOKUP(F218,Proveedores!A:A,Proveedores!I:I)))*(1+N218))+U218),"")</f>
        <v/>
      </c>
      <c r="P218" s="1031"/>
      <c r="Q218" s="1133">
        <f>IF(K218&lt;&gt;"Importado",0,IF(P218&gt;0,P218*H218,IFERROR(_xlfn.XLOOKUP(F218,Proveedores!A:A,Proveedores!F:F,0)*H218,0)))</f>
        <v>0</v>
      </c>
      <c r="R218" s="1134" t="e">
        <f t="shared" si="148"/>
        <v>#VALUE!</v>
      </c>
      <c r="S218" s="743"/>
      <c r="T218" s="1034" t="e">
        <f t="shared" si="135"/>
        <v>#N/A</v>
      </c>
      <c r="U218" s="1034" t="e">
        <f t="shared" si="149"/>
        <v>#N/A</v>
      </c>
      <c r="V218" s="1165" t="e">
        <f t="shared" si="136"/>
        <v>#N/A</v>
      </c>
      <c r="W218" s="1034" t="e">
        <f t="shared" si="150"/>
        <v>#N/A</v>
      </c>
      <c r="X218" s="1034" t="b">
        <f t="shared" si="151"/>
        <v>0</v>
      </c>
      <c r="Y218" s="1034">
        <f t="shared" si="152"/>
        <v>0</v>
      </c>
      <c r="Z218" s="1034">
        <f t="shared" si="153"/>
        <v>0</v>
      </c>
      <c r="AA218" s="1034">
        <f t="shared" si="137"/>
        <v>0</v>
      </c>
      <c r="AB218" s="1034">
        <f t="shared" si="138"/>
        <v>0</v>
      </c>
      <c r="AC218" s="1033">
        <f t="shared" si="154"/>
        <v>0</v>
      </c>
      <c r="AD218" s="1266">
        <f t="shared" si="139"/>
        <v>0</v>
      </c>
      <c r="AE218" s="1093">
        <f t="shared" si="155"/>
        <v>0</v>
      </c>
      <c r="AF218" s="1093">
        <f t="shared" si="156"/>
        <v>0</v>
      </c>
      <c r="AG218" s="1093">
        <f t="shared" si="140"/>
        <v>0</v>
      </c>
      <c r="AH218" s="1033" t="e">
        <f t="shared" si="141"/>
        <v>#DIV/0!</v>
      </c>
      <c r="AI218" s="1091">
        <f t="shared" si="142"/>
        <v>0</v>
      </c>
      <c r="AJ218" s="1094">
        <f t="shared" si="143"/>
        <v>0</v>
      </c>
      <c r="AK218" s="1053" t="str">
        <f t="shared" si="144"/>
        <v/>
      </c>
      <c r="AL218" s="1053"/>
      <c r="AM218" s="1290">
        <f>_xlfn.XLOOKUP(F218,Proveedores!A:A,Proveedores!G:G)</f>
        <v>0</v>
      </c>
      <c r="AN218" s="1095" t="str">
        <f t="shared" si="157"/>
        <v>OK</v>
      </c>
    </row>
    <row r="219" spans="1:40" ht="15.95">
      <c r="A219" s="1090" t="b">
        <f t="shared" si="132"/>
        <v>1</v>
      </c>
      <c r="B219" s="1091" t="b">
        <f t="shared" si="145"/>
        <v>1</v>
      </c>
      <c r="C219" s="1092" t="str">
        <f t="shared" si="146"/>
        <v>Dólares</v>
      </c>
      <c r="D219" s="14"/>
      <c r="E219" s="743"/>
      <c r="F219" s="17"/>
      <c r="G219" s="17" t="str">
        <f t="shared" si="133"/>
        <v xml:space="preserve"> </v>
      </c>
      <c r="H219" s="12">
        <v>0</v>
      </c>
      <c r="I219" s="16" t="str">
        <f>IFERROR(VLOOKUP(G219,Proveedores!B:C,2,0)," ")</f>
        <v xml:space="preserve"> </v>
      </c>
      <c r="J219" s="745">
        <v>0</v>
      </c>
      <c r="K219" s="745" t="str">
        <f t="shared" si="134"/>
        <v>Not Found</v>
      </c>
      <c r="L219" s="16">
        <f>IF(K219="Importado",Fletes!$B$66,0%)</f>
        <v>0</v>
      </c>
      <c r="M219" s="745">
        <f t="shared" si="147"/>
        <v>0</v>
      </c>
      <c r="N219" s="16">
        <f>IF(K219&lt;&gt;"Importado",0%,IF(Fletes!$B$67&lt;10,15%,IF(Fletes!$B$67&lt;20,10%,5%)))</f>
        <v>0</v>
      </c>
      <c r="O219" s="745" t="str">
        <f>IFERROR(IF(OR(F219="Offiho",F219="Lauco Sofas",F219="Requiez",F219="Labenze",F219="Sunon Mty",F219="Sonara"),(M219*(1-_xlfn.XLOOKUP(F219,Proveedores!A:A,Proveedores!I:I)))*(1+N219),((M219*(1-_xlfn.XLOOKUP(F219,Proveedores!A:A,Proveedores!I:I)))*(1+N219))+U219),"")</f>
        <v/>
      </c>
      <c r="P219" s="1031"/>
      <c r="Q219" s="1133">
        <f>IF(K219&lt;&gt;"Importado",0,IF(P219&gt;0,P219*H219,IFERROR(_xlfn.XLOOKUP(F219,Proveedores!A:A,Proveedores!F:F,0)*H219,0)))</f>
        <v>0</v>
      </c>
      <c r="R219" s="1134" t="e">
        <f t="shared" si="148"/>
        <v>#VALUE!</v>
      </c>
      <c r="S219" s="743"/>
      <c r="T219" s="1034" t="e">
        <f t="shared" si="135"/>
        <v>#N/A</v>
      </c>
      <c r="U219" s="1034" t="e">
        <f t="shared" si="149"/>
        <v>#N/A</v>
      </c>
      <c r="V219" s="1165" t="e">
        <f t="shared" si="136"/>
        <v>#N/A</v>
      </c>
      <c r="W219" s="1034" t="e">
        <f t="shared" si="150"/>
        <v>#N/A</v>
      </c>
      <c r="X219" s="1034" t="b">
        <f t="shared" si="151"/>
        <v>0</v>
      </c>
      <c r="Y219" s="1034">
        <f t="shared" si="152"/>
        <v>0</v>
      </c>
      <c r="Z219" s="1034">
        <f t="shared" si="153"/>
        <v>0</v>
      </c>
      <c r="AA219" s="1034">
        <f t="shared" si="137"/>
        <v>0</v>
      </c>
      <c r="AB219" s="1034">
        <f t="shared" si="138"/>
        <v>0</v>
      </c>
      <c r="AC219" s="1033">
        <f t="shared" si="154"/>
        <v>0</v>
      </c>
      <c r="AD219" s="1266">
        <f t="shared" si="139"/>
        <v>0</v>
      </c>
      <c r="AE219" s="1093">
        <f t="shared" si="155"/>
        <v>0</v>
      </c>
      <c r="AF219" s="1093">
        <f t="shared" si="156"/>
        <v>0</v>
      </c>
      <c r="AG219" s="1093">
        <f t="shared" si="140"/>
        <v>0</v>
      </c>
      <c r="AH219" s="1033" t="e">
        <f t="shared" si="141"/>
        <v>#DIV/0!</v>
      </c>
      <c r="AI219" s="1091">
        <f t="shared" si="142"/>
        <v>0</v>
      </c>
      <c r="AJ219" s="1094">
        <f t="shared" si="143"/>
        <v>0</v>
      </c>
      <c r="AK219" s="1053" t="str">
        <f t="shared" si="144"/>
        <v/>
      </c>
      <c r="AL219" s="1053"/>
      <c r="AM219" s="1290">
        <f>_xlfn.XLOOKUP(F219,Proveedores!A:A,Proveedores!G:G)</f>
        <v>0</v>
      </c>
      <c r="AN219" s="1095" t="str">
        <f t="shared" si="157"/>
        <v>OK</v>
      </c>
    </row>
    <row r="220" spans="1:40" ht="15.95">
      <c r="A220" s="1090" t="b">
        <f t="shared" si="132"/>
        <v>1</v>
      </c>
      <c r="B220" s="1091" t="b">
        <f t="shared" si="145"/>
        <v>1</v>
      </c>
      <c r="C220" s="1092" t="str">
        <f t="shared" si="146"/>
        <v>Dólares</v>
      </c>
      <c r="D220" s="14"/>
      <c r="E220" s="743"/>
      <c r="F220" s="17"/>
      <c r="G220" s="17" t="str">
        <f t="shared" si="133"/>
        <v xml:space="preserve"> </v>
      </c>
      <c r="H220" s="12">
        <v>0</v>
      </c>
      <c r="I220" s="16" t="str">
        <f>IFERROR(VLOOKUP(G220,Proveedores!B:C,2,0)," ")</f>
        <v xml:space="preserve"> </v>
      </c>
      <c r="J220" s="745">
        <v>0</v>
      </c>
      <c r="K220" s="745" t="str">
        <f t="shared" si="134"/>
        <v>Not Found</v>
      </c>
      <c r="L220" s="16">
        <f>IF(K220="Importado",Fletes!$B$66,0%)</f>
        <v>0</v>
      </c>
      <c r="M220" s="745">
        <f t="shared" si="147"/>
        <v>0</v>
      </c>
      <c r="N220" s="16">
        <f>IF(K220&lt;&gt;"Importado",0%,IF(Fletes!$B$67&lt;10,15%,IF(Fletes!$B$67&lt;20,10%,5%)))</f>
        <v>0</v>
      </c>
      <c r="O220" s="745" t="str">
        <f>IFERROR(IF(OR(F220="Offiho",F220="Lauco Sofas",F220="Requiez",F220="Labenze",F220="Sunon Mty",F220="Sonara"),(M220*(1-_xlfn.XLOOKUP(F220,Proveedores!A:A,Proveedores!I:I)))*(1+N220),((M220*(1-_xlfn.XLOOKUP(F220,Proveedores!A:A,Proveedores!I:I)))*(1+N220))+U220),"")</f>
        <v/>
      </c>
      <c r="P220" s="1031"/>
      <c r="Q220" s="1133">
        <f>IF(K220&lt;&gt;"Importado",0,IF(P220&gt;0,P220*H220,IFERROR(_xlfn.XLOOKUP(F220,Proveedores!A:A,Proveedores!F:F,0)*H220,0)))</f>
        <v>0</v>
      </c>
      <c r="R220" s="1134" t="e">
        <f t="shared" si="148"/>
        <v>#VALUE!</v>
      </c>
      <c r="S220" s="743"/>
      <c r="T220" s="1034" t="e">
        <f t="shared" si="135"/>
        <v>#N/A</v>
      </c>
      <c r="U220" s="1034" t="e">
        <f t="shared" si="149"/>
        <v>#N/A</v>
      </c>
      <c r="V220" s="1165" t="e">
        <f t="shared" si="136"/>
        <v>#N/A</v>
      </c>
      <c r="W220" s="1034" t="e">
        <f t="shared" si="150"/>
        <v>#N/A</v>
      </c>
      <c r="X220" s="1034" t="b">
        <f t="shared" si="151"/>
        <v>0</v>
      </c>
      <c r="Y220" s="1034">
        <f t="shared" si="152"/>
        <v>0</v>
      </c>
      <c r="Z220" s="1034">
        <f t="shared" si="153"/>
        <v>0</v>
      </c>
      <c r="AA220" s="1034">
        <f t="shared" si="137"/>
        <v>0</v>
      </c>
      <c r="AB220" s="1034">
        <f t="shared" si="138"/>
        <v>0</v>
      </c>
      <c r="AC220" s="1033">
        <f t="shared" si="154"/>
        <v>0</v>
      </c>
      <c r="AD220" s="1266">
        <f t="shared" si="139"/>
        <v>0</v>
      </c>
      <c r="AE220" s="1093">
        <f t="shared" si="155"/>
        <v>0</v>
      </c>
      <c r="AF220" s="1093">
        <f t="shared" si="156"/>
        <v>0</v>
      </c>
      <c r="AG220" s="1093">
        <f t="shared" si="140"/>
        <v>0</v>
      </c>
      <c r="AH220" s="1033" t="e">
        <f t="shared" si="141"/>
        <v>#DIV/0!</v>
      </c>
      <c r="AI220" s="1091">
        <f t="shared" si="142"/>
        <v>0</v>
      </c>
      <c r="AJ220" s="1094">
        <f t="shared" si="143"/>
        <v>0</v>
      </c>
      <c r="AK220" s="1053" t="str">
        <f t="shared" si="144"/>
        <v/>
      </c>
      <c r="AL220" s="1053"/>
      <c r="AM220" s="1290">
        <f>_xlfn.XLOOKUP(F220,Proveedores!A:A,Proveedores!G:G)</f>
        <v>0</v>
      </c>
      <c r="AN220" s="1095" t="str">
        <f t="shared" si="157"/>
        <v>OK</v>
      </c>
    </row>
    <row r="221" spans="1:40" ht="15.95">
      <c r="A221" s="1090" t="b">
        <f t="shared" si="132"/>
        <v>1</v>
      </c>
      <c r="B221" s="1091" t="b">
        <f t="shared" si="145"/>
        <v>1</v>
      </c>
      <c r="C221" s="1092" t="str">
        <f t="shared" si="146"/>
        <v>Dólares</v>
      </c>
      <c r="D221" s="14"/>
      <c r="E221" s="743"/>
      <c r="F221" s="17"/>
      <c r="G221" s="17" t="str">
        <f t="shared" si="133"/>
        <v xml:space="preserve"> </v>
      </c>
      <c r="H221" s="12">
        <v>0</v>
      </c>
      <c r="I221" s="16" t="str">
        <f>IFERROR(VLOOKUP(G221,Proveedores!B:C,2,0)," ")</f>
        <v xml:space="preserve"> </v>
      </c>
      <c r="J221" s="745">
        <v>0</v>
      </c>
      <c r="K221" s="745" t="str">
        <f t="shared" si="134"/>
        <v>Not Found</v>
      </c>
      <c r="L221" s="16">
        <f>IF(K221="Importado",Fletes!$B$66,0%)</f>
        <v>0</v>
      </c>
      <c r="M221" s="745">
        <f t="shared" si="147"/>
        <v>0</v>
      </c>
      <c r="N221" s="16">
        <f>IF(K221&lt;&gt;"Importado",0%,IF(Fletes!$B$67&lt;10,15%,IF(Fletes!$B$67&lt;20,10%,5%)))</f>
        <v>0</v>
      </c>
      <c r="O221" s="745" t="str">
        <f>IFERROR(IF(OR(F221="Offiho",F221="Lauco Sofas",F221="Requiez",F221="Labenze",F221="Sunon Mty",F221="Sonara"),(M221*(1-_xlfn.XLOOKUP(F221,Proveedores!A:A,Proveedores!I:I)))*(1+N221),((M221*(1-_xlfn.XLOOKUP(F221,Proveedores!A:A,Proveedores!I:I)))*(1+N221))+U221),"")</f>
        <v/>
      </c>
      <c r="P221" s="1031"/>
      <c r="Q221" s="1133">
        <f>IF(K221&lt;&gt;"Importado",0,IF(P221&gt;0,P221*H221,IFERROR(_xlfn.XLOOKUP(F221,Proveedores!A:A,Proveedores!F:F,0)*H221,0)))</f>
        <v>0</v>
      </c>
      <c r="R221" s="1134" t="e">
        <f t="shared" si="148"/>
        <v>#VALUE!</v>
      </c>
      <c r="S221" s="743"/>
      <c r="T221" s="1034" t="e">
        <f t="shared" si="135"/>
        <v>#N/A</v>
      </c>
      <c r="U221" s="1034" t="e">
        <f t="shared" si="149"/>
        <v>#N/A</v>
      </c>
      <c r="V221" s="1165" t="e">
        <f t="shared" si="136"/>
        <v>#N/A</v>
      </c>
      <c r="W221" s="1034" t="e">
        <f t="shared" si="150"/>
        <v>#N/A</v>
      </c>
      <c r="X221" s="1034" t="b">
        <f t="shared" si="151"/>
        <v>0</v>
      </c>
      <c r="Y221" s="1034">
        <f t="shared" si="152"/>
        <v>0</v>
      </c>
      <c r="Z221" s="1034">
        <f t="shared" si="153"/>
        <v>0</v>
      </c>
      <c r="AA221" s="1034">
        <f t="shared" si="137"/>
        <v>0</v>
      </c>
      <c r="AB221" s="1034">
        <f t="shared" si="138"/>
        <v>0</v>
      </c>
      <c r="AC221" s="1033">
        <f t="shared" si="154"/>
        <v>0</v>
      </c>
      <c r="AD221" s="1266">
        <f t="shared" si="139"/>
        <v>0</v>
      </c>
      <c r="AE221" s="1093">
        <f t="shared" si="155"/>
        <v>0</v>
      </c>
      <c r="AF221" s="1093">
        <f t="shared" si="156"/>
        <v>0</v>
      </c>
      <c r="AG221" s="1093">
        <f t="shared" si="140"/>
        <v>0</v>
      </c>
      <c r="AH221" s="1033" t="e">
        <f t="shared" si="141"/>
        <v>#DIV/0!</v>
      </c>
      <c r="AI221" s="1091">
        <f t="shared" si="142"/>
        <v>0</v>
      </c>
      <c r="AJ221" s="1094">
        <f t="shared" si="143"/>
        <v>0</v>
      </c>
      <c r="AK221" s="1053" t="str">
        <f t="shared" si="144"/>
        <v/>
      </c>
      <c r="AL221" s="1053"/>
      <c r="AM221" s="1290">
        <f>_xlfn.XLOOKUP(F221,Proveedores!A:A,Proveedores!G:G)</f>
        <v>0</v>
      </c>
      <c r="AN221" s="1095" t="str">
        <f t="shared" si="157"/>
        <v>OK</v>
      </c>
    </row>
    <row r="222" spans="1:40" ht="15.95">
      <c r="A222" s="1090" t="b">
        <f t="shared" si="132"/>
        <v>1</v>
      </c>
      <c r="B222" s="1091" t="b">
        <f t="shared" si="145"/>
        <v>1</v>
      </c>
      <c r="C222" s="1092" t="str">
        <f t="shared" si="146"/>
        <v>Dólares</v>
      </c>
      <c r="D222" s="14"/>
      <c r="E222" s="743"/>
      <c r="F222" s="17"/>
      <c r="G222" s="17" t="str">
        <f t="shared" si="133"/>
        <v xml:space="preserve"> </v>
      </c>
      <c r="H222" s="12">
        <v>0</v>
      </c>
      <c r="I222" s="16" t="str">
        <f>IFERROR(VLOOKUP(G222,Proveedores!B:C,2,0)," ")</f>
        <v xml:space="preserve"> </v>
      </c>
      <c r="J222" s="745">
        <v>0</v>
      </c>
      <c r="K222" s="745" t="str">
        <f t="shared" si="134"/>
        <v>Not Found</v>
      </c>
      <c r="L222" s="16">
        <f>IF(K222="Importado",Fletes!$B$66,0%)</f>
        <v>0</v>
      </c>
      <c r="M222" s="745">
        <f t="shared" si="147"/>
        <v>0</v>
      </c>
      <c r="N222" s="16">
        <f>IF(K222&lt;&gt;"Importado",0%,IF(Fletes!$B$67&lt;10,15%,IF(Fletes!$B$67&lt;20,10%,5%)))</f>
        <v>0</v>
      </c>
      <c r="O222" s="745" t="str">
        <f>IFERROR(IF(OR(F222="Offiho",F222="Lauco Sofas",F222="Requiez",F222="Labenze",F222="Sunon Mty",F222="Sonara"),(M222*(1-_xlfn.XLOOKUP(F222,Proveedores!A:A,Proveedores!I:I)))*(1+N222),((M222*(1-_xlfn.XLOOKUP(F222,Proveedores!A:A,Proveedores!I:I)))*(1+N222))+U222),"")</f>
        <v/>
      </c>
      <c r="P222" s="1031"/>
      <c r="Q222" s="1133">
        <f>IF(K222&lt;&gt;"Importado",0,IF(P222&gt;0,P222*H222,IFERROR(_xlfn.XLOOKUP(F222,Proveedores!A:A,Proveedores!F:F,0)*H222,0)))</f>
        <v>0</v>
      </c>
      <c r="R222" s="1134" t="e">
        <f t="shared" si="148"/>
        <v>#VALUE!</v>
      </c>
      <c r="S222" s="743"/>
      <c r="T222" s="1034" t="e">
        <f t="shared" si="135"/>
        <v>#N/A</v>
      </c>
      <c r="U222" s="1034" t="e">
        <f t="shared" si="149"/>
        <v>#N/A</v>
      </c>
      <c r="V222" s="1165" t="e">
        <f t="shared" si="136"/>
        <v>#N/A</v>
      </c>
      <c r="W222" s="1034" t="e">
        <f t="shared" si="150"/>
        <v>#N/A</v>
      </c>
      <c r="X222" s="1034" t="b">
        <f t="shared" si="151"/>
        <v>0</v>
      </c>
      <c r="Y222" s="1034">
        <f t="shared" si="152"/>
        <v>0</v>
      </c>
      <c r="Z222" s="1034">
        <f t="shared" si="153"/>
        <v>0</v>
      </c>
      <c r="AA222" s="1034">
        <f t="shared" si="137"/>
        <v>0</v>
      </c>
      <c r="AB222" s="1034">
        <f t="shared" si="138"/>
        <v>0</v>
      </c>
      <c r="AC222" s="1033">
        <f t="shared" si="154"/>
        <v>0</v>
      </c>
      <c r="AD222" s="1266">
        <f t="shared" si="139"/>
        <v>0</v>
      </c>
      <c r="AE222" s="1093">
        <f t="shared" si="155"/>
        <v>0</v>
      </c>
      <c r="AF222" s="1093">
        <f t="shared" si="156"/>
        <v>0</v>
      </c>
      <c r="AG222" s="1093">
        <f t="shared" si="140"/>
        <v>0</v>
      </c>
      <c r="AH222" s="1033" t="str">
        <f t="shared" si="141"/>
        <v>NA</v>
      </c>
      <c r="AI222" s="1091">
        <f t="shared" si="142"/>
        <v>0</v>
      </c>
      <c r="AJ222" s="1094">
        <f t="shared" si="143"/>
        <v>0</v>
      </c>
      <c r="AK222" s="1053" t="str">
        <f t="shared" si="144"/>
        <v/>
      </c>
      <c r="AL222" s="1053"/>
      <c r="AM222" s="1290">
        <f>_xlfn.XLOOKUP(F222,Proveedores!A:A,Proveedores!G:G)</f>
        <v>0</v>
      </c>
      <c r="AN222" s="1095" t="str">
        <f t="shared" si="157"/>
        <v>OK</v>
      </c>
    </row>
    <row r="223" spans="1:40" ht="24" customHeight="1">
      <c r="A223" s="1375" t="s">
        <v>137</v>
      </c>
      <c r="B223" s="1375"/>
      <c r="C223" s="1375"/>
      <c r="D223" s="1375"/>
      <c r="E223" s="1375"/>
      <c r="F223" s="1375"/>
      <c r="G223" s="1099"/>
      <c r="H223" s="1100" cm="1">
        <f t="array" ref="H223">SUM(IFERROR(H190:H222,0))</f>
        <v>0</v>
      </c>
      <c r="I223" s="1099"/>
      <c r="J223" s="1101"/>
      <c r="K223" s="1101"/>
      <c r="L223" s="1101"/>
      <c r="M223" s="1101"/>
      <c r="N223" s="1101"/>
      <c r="O223" s="1101"/>
      <c r="P223" s="1102"/>
      <c r="Q223" s="1100" cm="1">
        <f t="array" ref="Q223">SUM(IFERROR(Q190:Q222,0))</f>
        <v>0</v>
      </c>
      <c r="R223" s="1103" cm="1">
        <f t="array" ref="R223">SUM(IFERROR(R190:R222,0))</f>
        <v>0</v>
      </c>
      <c r="S223" s="1104"/>
      <c r="T223" s="1104"/>
      <c r="U223" s="1104"/>
      <c r="V223" s="1104"/>
      <c r="W223" s="1104"/>
      <c r="X223" s="1104"/>
      <c r="Y223" s="1102"/>
      <c r="Z223" s="1102"/>
      <c r="AA223" s="1102"/>
      <c r="AB223" s="1103" cm="1">
        <f t="array" ref="AB223">SUM(IFERROR(AB190:AB222,0))</f>
        <v>0</v>
      </c>
      <c r="AC223" s="1104" t="s">
        <v>127</v>
      </c>
      <c r="AD223" s="1104"/>
      <c r="AE223" s="1104"/>
      <c r="AF223" s="1104"/>
      <c r="AG223" s="1103" cm="1">
        <f t="array" ref="AG223">SUM(IFERROR(AG190:AG222,0))</f>
        <v>0</v>
      </c>
      <c r="AH223" s="1103"/>
      <c r="AI223" s="1103"/>
      <c r="AJ223" s="1103" cm="1">
        <f t="array" ref="AJ223">SUM(IFERROR(AJ190:AJ222,0))</f>
        <v>0</v>
      </c>
      <c r="AK223" s="1054" cm="1">
        <f t="array" ref="AK223">IFERROR(SUMPRODUCT(IFERROR(AG190:AG222,0),IFERROR(AK190:AK222,0))/SUMPRODUCT(IFERROR(AG190:AG222,0)),0)</f>
        <v>0</v>
      </c>
      <c r="AL223" s="1288"/>
      <c r="AM223" s="1288"/>
      <c r="AN223"/>
    </row>
    <row r="224" spans="1:40" ht="26.1" customHeight="1">
      <c r="A224" s="1397" t="s">
        <v>138</v>
      </c>
      <c r="B224" s="1397"/>
      <c r="C224" s="1397"/>
      <c r="D224" s="1397"/>
      <c r="E224" s="1397"/>
      <c r="F224" s="1397"/>
      <c r="G224" s="1397"/>
      <c r="H224" s="1397"/>
      <c r="I224" s="1397"/>
      <c r="J224" s="1398"/>
      <c r="K224" s="1160"/>
      <c r="L224" s="1160"/>
      <c r="M224" s="1160"/>
      <c r="N224" s="1160"/>
      <c r="O224" s="1160"/>
      <c r="P224" s="1088"/>
      <c r="Q224" s="1088"/>
      <c r="R224" s="1088"/>
      <c r="S224" s="1087"/>
      <c r="T224" s="1087"/>
      <c r="U224" s="1087"/>
      <c r="V224" s="1087"/>
      <c r="W224" s="1087"/>
      <c r="X224" s="1087"/>
      <c r="Y224" s="1055"/>
      <c r="Z224" s="1055"/>
      <c r="AA224" s="1055"/>
      <c r="AB224" s="1055"/>
      <c r="AC224" s="1055"/>
      <c r="AD224" s="1087"/>
      <c r="AE224" s="1087"/>
      <c r="AF224" s="1087"/>
      <c r="AG224" s="1087"/>
      <c r="AH224" s="1087"/>
      <c r="AI224" s="1087"/>
      <c r="AJ224" s="1087"/>
      <c r="AK224" s="1089"/>
      <c r="AL224" s="1287"/>
      <c r="AM224" s="1287"/>
      <c r="AN224"/>
    </row>
    <row r="225" spans="1:40" ht="15.95">
      <c r="A225" s="1090" t="b">
        <f t="shared" ref="A225:A257" si="158">$A$14</f>
        <v>1</v>
      </c>
      <c r="B225" s="1091" t="b">
        <f>A225</f>
        <v>1</v>
      </c>
      <c r="C225" s="1092" t="str">
        <f>$C$14</f>
        <v>Dólares</v>
      </c>
      <c r="D225" s="11"/>
      <c r="E225" s="743"/>
      <c r="F225" s="17"/>
      <c r="G225" s="17" t="str">
        <f t="shared" ref="G225:G257" si="159">IFERROR(VLOOKUP(F225,Tabla_Proveedores_1,2,0)," ")</f>
        <v xml:space="preserve"> </v>
      </c>
      <c r="H225" s="12">
        <v>0</v>
      </c>
      <c r="I225" s="16" t="str">
        <f>IFERROR(VLOOKUP(G225,Proveedores!B:C,2,0)," ")</f>
        <v xml:space="preserve"> </v>
      </c>
      <c r="J225" s="745">
        <v>0</v>
      </c>
      <c r="K225" s="745" t="str">
        <f t="shared" ref="K225:K257" si="160">IFERROR(VLOOKUP(TRIM(F225), ProveedoreS_TC, 5, FALSE), "Not Found")</f>
        <v>Not Found</v>
      </c>
      <c r="L225" s="16">
        <f>IF(K225="Importado",Fletes!$B$66,0%)</f>
        <v>0</v>
      </c>
      <c r="M225" s="745">
        <f>IF(K225="Importado",J225*(1+L225),J225*(1+L225))</f>
        <v>0</v>
      </c>
      <c r="N225" s="16">
        <f>IF(K225&lt;&gt;"Importado",0%,IF(Fletes!$B$67&lt;10,15%,IF(Fletes!$B$67&lt;20,10%,5%)))</f>
        <v>0</v>
      </c>
      <c r="O225" s="745" t="str">
        <f>IFERROR(IF(OR(F225="Offiho",F225="Lauco Sofas",F225="Requiez",F225="Labenze",F225="Sunon Mty",F225="Sonara"),(M225*(1-_xlfn.XLOOKUP(F225,Proveedores!A:A,Proveedores!I:I)))*(1+N225),((M225*(1-_xlfn.XLOOKUP(F225,Proveedores!A:A,Proveedores!I:I)))*(1+N225))+U225),"")</f>
        <v/>
      </c>
      <c r="P225" s="1031"/>
      <c r="Q225" s="1133">
        <f>IF(K225&lt;&gt;"Importado",0,IF(P225&gt;0,P225*H225,IFERROR(_xlfn.XLOOKUP(F225,Proveedores!A:A,Proveedores!F:F,0)*H225,0)))</f>
        <v>0</v>
      </c>
      <c r="R225" s="1134" t="e">
        <f>O225*H225</f>
        <v>#VALUE!</v>
      </c>
      <c r="S225" s="743"/>
      <c r="T225" s="1034" t="e">
        <f t="shared" ref="T225:T257" si="161">IF(H225&gt;15,0,VLOOKUP(E225,Tabla_Instalacion,2,FALSE))</f>
        <v>#N/A</v>
      </c>
      <c r="U225" s="1034" t="e">
        <f>X225/V225</f>
        <v>#N/A</v>
      </c>
      <c r="V225" s="1165" t="e">
        <f t="shared" ref="V225:V257" si="162">VLOOKUP(E225,Tabla_Factor,2,FALSE)</f>
        <v>#N/A</v>
      </c>
      <c r="W225" s="1034" t="e">
        <f>T225*V225</f>
        <v>#N/A</v>
      </c>
      <c r="X225" s="1034" t="b">
        <f>IF(S225="Occidente",W225,IF(S225="Norte",W225*1.5,IF(S225="Centro",W225*1.2,IF(S225="Sur",W225*1.7))))</f>
        <v>0</v>
      </c>
      <c r="Y225" s="1034">
        <f>ROUNDUP(IF(OR(F225="Offiho",F225="Lauco Sofas",F225="Requiez",F225="Labenze",F225="Sunon Mty",F225="Sonara",F225="Santeco"),J225,IF(K225="Nacional",O225/(1-30%),IF(K225="Importado",O225/(1-40%),IF(OR(F225="Lumbro",F225="Idelika"),O225/(1-20%))))),0)</f>
        <v>0</v>
      </c>
      <c r="Z225" s="1034">
        <f>ROUNDUP(IF(OR(F225="Offiho",F225="Lauco Sofas",F225="Requiez",F225="Labenze",F225="Sunon Mty",F225="Sonara",F225="Sonara"),Y225,IF($P$10="MIXTO",IF(K225="Nacional",Y225/(1-50%),Y225/(1-50%)),IF($P$10="IMPORTADO",Y225/(1-50%),IF($P$10="NACIONAL",Y225/(1-20%),Y225/(1-20%))))),0)</f>
        <v>0</v>
      </c>
      <c r="AA225" s="1034">
        <f t="shared" ref="AA225:AA257" si="163">IF(Z225&gt;=Y225,_xlfn.MINIFS($Z$15:$Z$572,$D$15:$D$572,D225),"NO SE ESTA RESPETANDO EL MARGEN")</f>
        <v>0</v>
      </c>
      <c r="AB225" s="1034">
        <f t="shared" ref="AB225:AB257" si="164">IFERROR(AA225*H225,0)</f>
        <v>0</v>
      </c>
      <c r="AC225" s="1033">
        <f>IF($P$10="IMPORTADO",50%,IF($P$10="NACIONAL",20%,IF($P$10="MIXTO",50%,0%)))</f>
        <v>0</v>
      </c>
      <c r="AD225" s="1266">
        <f t="shared" ref="AD225:AD257" si="165">IF(H225&gt;0,$E$5,0)</f>
        <v>0</v>
      </c>
      <c r="AE225" s="1093">
        <f>IFERROR(AA225*AD225,0)</f>
        <v>0</v>
      </c>
      <c r="AF225" s="1093">
        <f>IF($E$5&gt;$E$6,"ERROR",AA225-AE225)</f>
        <v>0</v>
      </c>
      <c r="AG225" s="1093">
        <f t="shared" ref="AG225:AG257" si="166">AF225*H225</f>
        <v>0</v>
      </c>
      <c r="AH225" s="1033" t="e">
        <f t="shared" ref="AH225:AH257" si="167">IF(A226=TRUE,MAX(0,1-(AI225/Z225)),"NA")</f>
        <v>#DIV/0!</v>
      </c>
      <c r="AI225" s="1091">
        <f t="shared" ref="AI225:AI257" si="168">IF(A224=FALSE,"NO APLICA",AF225*(1+$AI$8))</f>
        <v>0</v>
      </c>
      <c r="AJ225" s="1094">
        <f t="shared" ref="AJ225:AJ257" si="169">AI225*H225</f>
        <v>0</v>
      </c>
      <c r="AK225" s="1053" t="str">
        <f t="shared" ref="AK225:AK257" si="170">IFERROR(IF(OR(F225="Offiho",F225="Vandesk",F225="Requiez",F225="Labenze",F225="Idelika",F225="Sunon Mty"),(AG225-(J225*(1-I225)*H225))/AG225,(AG225-R225)/AG225),"")</f>
        <v/>
      </c>
      <c r="AL225" s="1053"/>
      <c r="AM225" s="1290">
        <f>_xlfn.XLOOKUP(F225,Proveedores!A:A,Proveedores!G:G)</f>
        <v>0</v>
      </c>
      <c r="AN225" s="1095" t="str">
        <f>IF(AK225&lt;AM225,"ERROR","OK")</f>
        <v>OK</v>
      </c>
    </row>
    <row r="226" spans="1:40" ht="15.95">
      <c r="A226" s="1090" t="b">
        <f t="shared" si="158"/>
        <v>1</v>
      </c>
      <c r="B226" s="1091" t="b">
        <f t="shared" ref="B226:B257" si="171">A226</f>
        <v>1</v>
      </c>
      <c r="C226" s="1092" t="str">
        <f t="shared" ref="C226:C257" si="172">$C$14</f>
        <v>Dólares</v>
      </c>
      <c r="D226" s="13"/>
      <c r="E226" s="743"/>
      <c r="F226" s="17"/>
      <c r="G226" s="17" t="str">
        <f t="shared" si="159"/>
        <v xml:space="preserve"> </v>
      </c>
      <c r="H226" s="12">
        <v>0</v>
      </c>
      <c r="I226" s="16" t="str">
        <f>IFERROR(VLOOKUP(G226,Proveedores!B:C,2,0)," ")</f>
        <v xml:space="preserve"> </v>
      </c>
      <c r="J226" s="745">
        <v>0</v>
      </c>
      <c r="K226" s="745" t="str">
        <f t="shared" si="160"/>
        <v>Not Found</v>
      </c>
      <c r="L226" s="16">
        <f>IF(K226="Importado",Fletes!$B$66,0%)</f>
        <v>0</v>
      </c>
      <c r="M226" s="745">
        <f t="shared" ref="M226:M257" si="173">IF(K226="Importado",J226*(1+L226),J226*(1+L226))</f>
        <v>0</v>
      </c>
      <c r="N226" s="16">
        <f>IF(K226&lt;&gt;"Importado",0%,IF(Fletes!$B$67&lt;10,15%,IF(Fletes!$B$67&lt;20,10%,5%)))</f>
        <v>0</v>
      </c>
      <c r="O226" s="745" t="str">
        <f>IFERROR(IF(OR(F226="Offiho",F226="Lauco Sofas",F226="Requiez",F226="Labenze",F226="Sunon Mty",F226="Sonara"),(M226*(1-_xlfn.XLOOKUP(F226,Proveedores!A:A,Proveedores!I:I)))*(1+N226),((M226*(1-_xlfn.XLOOKUP(F226,Proveedores!A:A,Proveedores!I:I)))*(1+N226))+U226),"")</f>
        <v/>
      </c>
      <c r="P226" s="1031"/>
      <c r="Q226" s="1133">
        <f>IF(K226&lt;&gt;"Importado",0,IF(P226&gt;0,P226*H226,IFERROR(_xlfn.XLOOKUP(F226,Proveedores!A:A,Proveedores!F:F,0)*H226,0)))</f>
        <v>0</v>
      </c>
      <c r="R226" s="1134" t="e">
        <f t="shared" ref="R226:R257" si="174">O226*H226</f>
        <v>#VALUE!</v>
      </c>
      <c r="S226" s="743"/>
      <c r="T226" s="1034" t="e">
        <f t="shared" si="161"/>
        <v>#N/A</v>
      </c>
      <c r="U226" s="1034" t="e">
        <f t="shared" ref="U226:U257" si="175">X226/V226</f>
        <v>#N/A</v>
      </c>
      <c r="V226" s="1165" t="e">
        <f t="shared" si="162"/>
        <v>#N/A</v>
      </c>
      <c r="W226" s="1034" t="e">
        <f t="shared" ref="W226:W257" si="176">T226*V226</f>
        <v>#N/A</v>
      </c>
      <c r="X226" s="1034" t="b">
        <f t="shared" ref="X226:X257" si="177">IF(S226="Occidente",W226,IF(S226="Norte",W226*1.5,IF(S226="Centro",W226*1.2,IF(S226="Sur",W226*1.7))))</f>
        <v>0</v>
      </c>
      <c r="Y226" s="1034">
        <f t="shared" ref="Y226:Y257" si="178">ROUNDUP(IF(OR(F226="Offiho",F226="Lauco Sofas",F226="Requiez",F226="Labenze",F226="Sunon Mty",F226="Sonara",F226="Santeco"),J226,IF(K226="Nacional",O226/(1-30%),IF(K226="Importado",O226/(1-40%),IF(OR(F226="Lumbro",F226="Idelika"),O226/(1-20%))))),0)</f>
        <v>0</v>
      </c>
      <c r="Z226" s="1034">
        <f t="shared" ref="Z226:Z257" si="179">ROUNDUP(IF(OR(F226="Offiho",F226="Lauco Sofas",F226="Requiez",F226="Labenze",F226="Sunon Mty",F226="Sonara",F226="Sonara"),Y226,IF($P$10="MIXTO",IF(K226="Nacional",Y226/(1-50%),Y226/(1-50%)),IF($P$10="IMPORTADO",Y226/(1-50%),IF($P$10="NACIONAL",Y226/(1-20%),Y226/(1-20%))))),0)</f>
        <v>0</v>
      </c>
      <c r="AA226" s="1034">
        <f t="shared" si="163"/>
        <v>0</v>
      </c>
      <c r="AB226" s="1034">
        <f t="shared" si="164"/>
        <v>0</v>
      </c>
      <c r="AC226" s="1033">
        <f t="shared" ref="AC226:AC257" si="180">IF($P$10="IMPORTADO",50%,IF($P$10="NACIONAL",20%,IF($P$10="MIXTO",50%,0%)))</f>
        <v>0</v>
      </c>
      <c r="AD226" s="1266">
        <f t="shared" si="165"/>
        <v>0</v>
      </c>
      <c r="AE226" s="1093">
        <f t="shared" ref="AE226:AE257" si="181">IFERROR(AA226*AD226,0)</f>
        <v>0</v>
      </c>
      <c r="AF226" s="1093">
        <f t="shared" ref="AF226:AF257" si="182">IF($E$5&gt;$E$6,"ERROR",AA226-AE226)</f>
        <v>0</v>
      </c>
      <c r="AG226" s="1093">
        <f t="shared" si="166"/>
        <v>0</v>
      </c>
      <c r="AH226" s="1033" t="e">
        <f t="shared" si="167"/>
        <v>#DIV/0!</v>
      </c>
      <c r="AI226" s="1091">
        <f t="shared" si="168"/>
        <v>0</v>
      </c>
      <c r="AJ226" s="1094">
        <f t="shared" si="169"/>
        <v>0</v>
      </c>
      <c r="AK226" s="1053" t="str">
        <f t="shared" si="170"/>
        <v/>
      </c>
      <c r="AL226" s="1053"/>
      <c r="AM226" s="1290">
        <f>_xlfn.XLOOKUP(F226,Proveedores!A:A,Proveedores!G:G)</f>
        <v>0</v>
      </c>
      <c r="AN226" s="1095" t="str">
        <f t="shared" ref="AN226:AN257" si="183">IF(AK226&lt;AM226,"ERROR","OK")</f>
        <v>OK</v>
      </c>
    </row>
    <row r="227" spans="1:40" ht="15.95">
      <c r="A227" s="1090" t="b">
        <f t="shared" si="158"/>
        <v>1</v>
      </c>
      <c r="B227" s="1091" t="b">
        <f t="shared" si="171"/>
        <v>1</v>
      </c>
      <c r="C227" s="1092" t="str">
        <f t="shared" si="172"/>
        <v>Dólares</v>
      </c>
      <c r="D227" s="13"/>
      <c r="E227" s="743"/>
      <c r="F227" s="17"/>
      <c r="G227" s="17" t="str">
        <f t="shared" si="159"/>
        <v xml:space="preserve"> </v>
      </c>
      <c r="H227" s="12">
        <v>0</v>
      </c>
      <c r="I227" s="16" t="str">
        <f>IFERROR(VLOOKUP(G227,Proveedores!B:C,2,0)," ")</f>
        <v xml:space="preserve"> </v>
      </c>
      <c r="J227" s="745">
        <v>0</v>
      </c>
      <c r="K227" s="745" t="str">
        <f t="shared" si="160"/>
        <v>Not Found</v>
      </c>
      <c r="L227" s="16">
        <f>IF(K227="Importado",Fletes!$B$66,0%)</f>
        <v>0</v>
      </c>
      <c r="M227" s="745">
        <f t="shared" si="173"/>
        <v>0</v>
      </c>
      <c r="N227" s="16">
        <f>IF(K227&lt;&gt;"Importado",0%,IF(Fletes!$B$67&lt;10,15%,IF(Fletes!$B$67&lt;20,10%,5%)))</f>
        <v>0</v>
      </c>
      <c r="O227" s="745" t="str">
        <f>IFERROR(IF(OR(F227="Offiho",F227="Lauco Sofas",F227="Requiez",F227="Labenze",F227="Sunon Mty",F227="Sonara"),(M227*(1-_xlfn.XLOOKUP(F227,Proveedores!A:A,Proveedores!I:I)))*(1+N227),((M227*(1-_xlfn.XLOOKUP(F227,Proveedores!A:A,Proveedores!I:I)))*(1+N227))+U227),"")</f>
        <v/>
      </c>
      <c r="P227" s="1031"/>
      <c r="Q227" s="1133">
        <f>IF(K227&lt;&gt;"Importado",0,IF(P227&gt;0,P227*H227,IFERROR(_xlfn.XLOOKUP(F227,Proveedores!A:A,Proveedores!F:F,0)*H227,0)))</f>
        <v>0</v>
      </c>
      <c r="R227" s="1134" t="e">
        <f t="shared" si="174"/>
        <v>#VALUE!</v>
      </c>
      <c r="S227" s="743"/>
      <c r="T227" s="1034" t="e">
        <f t="shared" si="161"/>
        <v>#N/A</v>
      </c>
      <c r="U227" s="1034" t="e">
        <f t="shared" si="175"/>
        <v>#N/A</v>
      </c>
      <c r="V227" s="1165" t="e">
        <f t="shared" si="162"/>
        <v>#N/A</v>
      </c>
      <c r="W227" s="1034" t="e">
        <f t="shared" si="176"/>
        <v>#N/A</v>
      </c>
      <c r="X227" s="1034" t="b">
        <f t="shared" si="177"/>
        <v>0</v>
      </c>
      <c r="Y227" s="1034">
        <f t="shared" si="178"/>
        <v>0</v>
      </c>
      <c r="Z227" s="1034">
        <f t="shared" si="179"/>
        <v>0</v>
      </c>
      <c r="AA227" s="1034">
        <f t="shared" si="163"/>
        <v>0</v>
      </c>
      <c r="AB227" s="1034">
        <f t="shared" si="164"/>
        <v>0</v>
      </c>
      <c r="AC227" s="1033">
        <f t="shared" si="180"/>
        <v>0</v>
      </c>
      <c r="AD227" s="1266">
        <f t="shared" si="165"/>
        <v>0</v>
      </c>
      <c r="AE227" s="1093">
        <f t="shared" si="181"/>
        <v>0</v>
      </c>
      <c r="AF227" s="1093">
        <f t="shared" si="182"/>
        <v>0</v>
      </c>
      <c r="AG227" s="1093">
        <f t="shared" si="166"/>
        <v>0</v>
      </c>
      <c r="AH227" s="1033" t="e">
        <f t="shared" si="167"/>
        <v>#DIV/0!</v>
      </c>
      <c r="AI227" s="1091">
        <f t="shared" si="168"/>
        <v>0</v>
      </c>
      <c r="AJ227" s="1094">
        <f t="shared" si="169"/>
        <v>0</v>
      </c>
      <c r="AK227" s="1053" t="str">
        <f t="shared" si="170"/>
        <v/>
      </c>
      <c r="AL227" s="1053"/>
      <c r="AM227" s="1290">
        <f>_xlfn.XLOOKUP(F227,Proveedores!A:A,Proveedores!G:G)</f>
        <v>0</v>
      </c>
      <c r="AN227" s="1095" t="str">
        <f t="shared" si="183"/>
        <v>OK</v>
      </c>
    </row>
    <row r="228" spans="1:40" ht="15.95">
      <c r="A228" s="1090" t="b">
        <f t="shared" si="158"/>
        <v>1</v>
      </c>
      <c r="B228" s="1091" t="b">
        <f t="shared" si="171"/>
        <v>1</v>
      </c>
      <c r="C228" s="1092" t="str">
        <f t="shared" si="172"/>
        <v>Dólares</v>
      </c>
      <c r="D228" s="13"/>
      <c r="E228" s="743"/>
      <c r="F228" s="17"/>
      <c r="G228" s="17" t="str">
        <f t="shared" si="159"/>
        <v xml:space="preserve"> </v>
      </c>
      <c r="H228" s="12">
        <v>0</v>
      </c>
      <c r="I228" s="16" t="str">
        <f>IFERROR(VLOOKUP(G228,Proveedores!B:C,2,0)," ")</f>
        <v xml:space="preserve"> </v>
      </c>
      <c r="J228" s="745">
        <v>0</v>
      </c>
      <c r="K228" s="745" t="str">
        <f t="shared" si="160"/>
        <v>Not Found</v>
      </c>
      <c r="L228" s="16">
        <f>IF(K228="Importado",Fletes!$B$66,0%)</f>
        <v>0</v>
      </c>
      <c r="M228" s="745">
        <f t="shared" si="173"/>
        <v>0</v>
      </c>
      <c r="N228" s="16">
        <f>IF(K228&lt;&gt;"Importado",0%,IF(Fletes!$B$67&lt;10,15%,IF(Fletes!$B$67&lt;20,10%,5%)))</f>
        <v>0</v>
      </c>
      <c r="O228" s="745" t="str">
        <f>IFERROR(IF(OR(F228="Offiho",F228="Lauco Sofas",F228="Requiez",F228="Labenze",F228="Sunon Mty",F228="Sonara"),(M228*(1-_xlfn.XLOOKUP(F228,Proveedores!A:A,Proveedores!I:I)))*(1+N228),((M228*(1-_xlfn.XLOOKUP(F228,Proveedores!A:A,Proveedores!I:I)))*(1+N228))+U228),"")</f>
        <v/>
      </c>
      <c r="P228" s="1031"/>
      <c r="Q228" s="1133">
        <f>IF(K228&lt;&gt;"Importado",0,IF(P228&gt;0,P228*H228,IFERROR(_xlfn.XLOOKUP(F228,Proveedores!A:A,Proveedores!F:F,0)*H228,0)))</f>
        <v>0</v>
      </c>
      <c r="R228" s="1134" t="e">
        <f t="shared" si="174"/>
        <v>#VALUE!</v>
      </c>
      <c r="S228" s="743"/>
      <c r="T228" s="1034" t="e">
        <f t="shared" si="161"/>
        <v>#N/A</v>
      </c>
      <c r="U228" s="1034" t="e">
        <f t="shared" si="175"/>
        <v>#N/A</v>
      </c>
      <c r="V228" s="1165" t="e">
        <f t="shared" si="162"/>
        <v>#N/A</v>
      </c>
      <c r="W228" s="1034" t="e">
        <f t="shared" si="176"/>
        <v>#N/A</v>
      </c>
      <c r="X228" s="1034" t="b">
        <f t="shared" si="177"/>
        <v>0</v>
      </c>
      <c r="Y228" s="1034">
        <f t="shared" si="178"/>
        <v>0</v>
      </c>
      <c r="Z228" s="1034">
        <f t="shared" si="179"/>
        <v>0</v>
      </c>
      <c r="AA228" s="1034">
        <f t="shared" si="163"/>
        <v>0</v>
      </c>
      <c r="AB228" s="1034">
        <f t="shared" si="164"/>
        <v>0</v>
      </c>
      <c r="AC228" s="1033">
        <f t="shared" si="180"/>
        <v>0</v>
      </c>
      <c r="AD228" s="1266">
        <f t="shared" si="165"/>
        <v>0</v>
      </c>
      <c r="AE228" s="1093">
        <f t="shared" si="181"/>
        <v>0</v>
      </c>
      <c r="AF228" s="1093">
        <f t="shared" si="182"/>
        <v>0</v>
      </c>
      <c r="AG228" s="1093">
        <f t="shared" si="166"/>
        <v>0</v>
      </c>
      <c r="AH228" s="1033" t="e">
        <f t="shared" si="167"/>
        <v>#DIV/0!</v>
      </c>
      <c r="AI228" s="1091">
        <f t="shared" si="168"/>
        <v>0</v>
      </c>
      <c r="AJ228" s="1094">
        <f t="shared" si="169"/>
        <v>0</v>
      </c>
      <c r="AK228" s="1053" t="str">
        <f t="shared" si="170"/>
        <v/>
      </c>
      <c r="AL228" s="1053"/>
      <c r="AM228" s="1290">
        <f>_xlfn.XLOOKUP(F228,Proveedores!A:A,Proveedores!G:G)</f>
        <v>0</v>
      </c>
      <c r="AN228" s="1095" t="str">
        <f t="shared" si="183"/>
        <v>OK</v>
      </c>
    </row>
    <row r="229" spans="1:40" ht="15.95">
      <c r="A229" s="1090" t="b">
        <f t="shared" si="158"/>
        <v>1</v>
      </c>
      <c r="B229" s="1091" t="b">
        <f t="shared" si="171"/>
        <v>1</v>
      </c>
      <c r="C229" s="1092" t="str">
        <f t="shared" si="172"/>
        <v>Dólares</v>
      </c>
      <c r="D229" s="13"/>
      <c r="E229" s="743"/>
      <c r="F229" s="17"/>
      <c r="G229" s="17" t="str">
        <f t="shared" si="159"/>
        <v xml:space="preserve"> </v>
      </c>
      <c r="H229" s="12">
        <v>0</v>
      </c>
      <c r="I229" s="16" t="str">
        <f>IFERROR(VLOOKUP(G229,Proveedores!B:C,2,0)," ")</f>
        <v xml:space="preserve"> </v>
      </c>
      <c r="J229" s="745">
        <v>0</v>
      </c>
      <c r="K229" s="745" t="str">
        <f t="shared" si="160"/>
        <v>Not Found</v>
      </c>
      <c r="L229" s="16">
        <f>IF(K229="Importado",Fletes!$B$66,0%)</f>
        <v>0</v>
      </c>
      <c r="M229" s="745">
        <f t="shared" si="173"/>
        <v>0</v>
      </c>
      <c r="N229" s="16">
        <f>IF(K229&lt;&gt;"Importado",0%,IF(Fletes!$B$67&lt;10,15%,IF(Fletes!$B$67&lt;20,10%,5%)))</f>
        <v>0</v>
      </c>
      <c r="O229" s="745" t="str">
        <f>IFERROR(IF(OR(F229="Offiho",F229="Lauco Sofas",F229="Requiez",F229="Labenze",F229="Sunon Mty",F229="Sonara"),(M229*(1-_xlfn.XLOOKUP(F229,Proveedores!A:A,Proveedores!I:I)))*(1+N229),((M229*(1-_xlfn.XLOOKUP(F229,Proveedores!A:A,Proveedores!I:I)))*(1+N229))+U229),"")</f>
        <v/>
      </c>
      <c r="P229" s="1031"/>
      <c r="Q229" s="1133">
        <f>IF(K229&lt;&gt;"Importado",0,IF(P229&gt;0,P229*H229,IFERROR(_xlfn.XLOOKUP(F229,Proveedores!A:A,Proveedores!F:F,0)*H229,0)))</f>
        <v>0</v>
      </c>
      <c r="R229" s="1134" t="e">
        <f t="shared" si="174"/>
        <v>#VALUE!</v>
      </c>
      <c r="S229" s="743"/>
      <c r="T229" s="1034" t="e">
        <f t="shared" si="161"/>
        <v>#N/A</v>
      </c>
      <c r="U229" s="1034" t="e">
        <f t="shared" si="175"/>
        <v>#N/A</v>
      </c>
      <c r="V229" s="1165" t="e">
        <f t="shared" si="162"/>
        <v>#N/A</v>
      </c>
      <c r="W229" s="1034" t="e">
        <f t="shared" si="176"/>
        <v>#N/A</v>
      </c>
      <c r="X229" s="1034" t="b">
        <f t="shared" si="177"/>
        <v>0</v>
      </c>
      <c r="Y229" s="1034">
        <f t="shared" si="178"/>
        <v>0</v>
      </c>
      <c r="Z229" s="1034">
        <f t="shared" si="179"/>
        <v>0</v>
      </c>
      <c r="AA229" s="1034">
        <f t="shared" si="163"/>
        <v>0</v>
      </c>
      <c r="AB229" s="1034">
        <f t="shared" si="164"/>
        <v>0</v>
      </c>
      <c r="AC229" s="1033">
        <f t="shared" si="180"/>
        <v>0</v>
      </c>
      <c r="AD229" s="1266">
        <f t="shared" si="165"/>
        <v>0</v>
      </c>
      <c r="AE229" s="1093">
        <f t="shared" si="181"/>
        <v>0</v>
      </c>
      <c r="AF229" s="1093">
        <f t="shared" si="182"/>
        <v>0</v>
      </c>
      <c r="AG229" s="1093">
        <f t="shared" si="166"/>
        <v>0</v>
      </c>
      <c r="AH229" s="1033" t="e">
        <f t="shared" si="167"/>
        <v>#DIV/0!</v>
      </c>
      <c r="AI229" s="1091">
        <f t="shared" si="168"/>
        <v>0</v>
      </c>
      <c r="AJ229" s="1094">
        <f t="shared" si="169"/>
        <v>0</v>
      </c>
      <c r="AK229" s="1053" t="str">
        <f t="shared" si="170"/>
        <v/>
      </c>
      <c r="AL229" s="1053"/>
      <c r="AM229" s="1290">
        <f>_xlfn.XLOOKUP(F229,Proveedores!A:A,Proveedores!G:G)</f>
        <v>0</v>
      </c>
      <c r="AN229" s="1095" t="str">
        <f t="shared" si="183"/>
        <v>OK</v>
      </c>
    </row>
    <row r="230" spans="1:40" ht="15.95">
      <c r="A230" s="1090" t="b">
        <f t="shared" si="158"/>
        <v>1</v>
      </c>
      <c r="B230" s="1091" t="b">
        <f t="shared" si="171"/>
        <v>1</v>
      </c>
      <c r="C230" s="1092" t="str">
        <f t="shared" si="172"/>
        <v>Dólares</v>
      </c>
      <c r="D230" s="13"/>
      <c r="E230" s="743"/>
      <c r="F230" s="17"/>
      <c r="G230" s="17" t="str">
        <f t="shared" si="159"/>
        <v xml:space="preserve"> </v>
      </c>
      <c r="H230" s="12">
        <v>0</v>
      </c>
      <c r="I230" s="16" t="str">
        <f>IFERROR(VLOOKUP(G230,Proveedores!B:C,2,0)," ")</f>
        <v xml:space="preserve"> </v>
      </c>
      <c r="J230" s="745">
        <v>0</v>
      </c>
      <c r="K230" s="745" t="str">
        <f t="shared" si="160"/>
        <v>Not Found</v>
      </c>
      <c r="L230" s="16">
        <f>IF(K230="Importado",Fletes!$B$66,0%)</f>
        <v>0</v>
      </c>
      <c r="M230" s="745">
        <f t="shared" si="173"/>
        <v>0</v>
      </c>
      <c r="N230" s="16">
        <f>IF(K230&lt;&gt;"Importado",0%,IF(Fletes!$B$67&lt;10,15%,IF(Fletes!$B$67&lt;20,10%,5%)))</f>
        <v>0</v>
      </c>
      <c r="O230" s="745" t="str">
        <f>IFERROR(IF(OR(F230="Offiho",F230="Lauco Sofas",F230="Requiez",F230="Labenze",F230="Sunon Mty",F230="Sonara"),(M230*(1-_xlfn.XLOOKUP(F230,Proveedores!A:A,Proveedores!I:I)))*(1+N230),((M230*(1-_xlfn.XLOOKUP(F230,Proveedores!A:A,Proveedores!I:I)))*(1+N230))+U230),"")</f>
        <v/>
      </c>
      <c r="P230" s="1031"/>
      <c r="Q230" s="1133">
        <f>IF(K230&lt;&gt;"Importado",0,IF(P230&gt;0,P230*H230,IFERROR(_xlfn.XLOOKUP(F230,Proveedores!A:A,Proveedores!F:F,0)*H230,0)))</f>
        <v>0</v>
      </c>
      <c r="R230" s="1134" t="e">
        <f t="shared" si="174"/>
        <v>#VALUE!</v>
      </c>
      <c r="S230" s="743"/>
      <c r="T230" s="1034" t="e">
        <f t="shared" si="161"/>
        <v>#N/A</v>
      </c>
      <c r="U230" s="1034" t="e">
        <f t="shared" si="175"/>
        <v>#N/A</v>
      </c>
      <c r="V230" s="1165" t="e">
        <f t="shared" si="162"/>
        <v>#N/A</v>
      </c>
      <c r="W230" s="1034" t="e">
        <f t="shared" si="176"/>
        <v>#N/A</v>
      </c>
      <c r="X230" s="1034" t="b">
        <f t="shared" si="177"/>
        <v>0</v>
      </c>
      <c r="Y230" s="1034">
        <f t="shared" si="178"/>
        <v>0</v>
      </c>
      <c r="Z230" s="1034">
        <f t="shared" si="179"/>
        <v>0</v>
      </c>
      <c r="AA230" s="1034">
        <f t="shared" si="163"/>
        <v>0</v>
      </c>
      <c r="AB230" s="1034">
        <f t="shared" si="164"/>
        <v>0</v>
      </c>
      <c r="AC230" s="1033">
        <f t="shared" si="180"/>
        <v>0</v>
      </c>
      <c r="AD230" s="1266">
        <f t="shared" si="165"/>
        <v>0</v>
      </c>
      <c r="AE230" s="1093">
        <f t="shared" si="181"/>
        <v>0</v>
      </c>
      <c r="AF230" s="1093">
        <f t="shared" si="182"/>
        <v>0</v>
      </c>
      <c r="AG230" s="1093">
        <f t="shared" si="166"/>
        <v>0</v>
      </c>
      <c r="AH230" s="1033" t="e">
        <f t="shared" si="167"/>
        <v>#DIV/0!</v>
      </c>
      <c r="AI230" s="1091">
        <f t="shared" si="168"/>
        <v>0</v>
      </c>
      <c r="AJ230" s="1094">
        <f t="shared" si="169"/>
        <v>0</v>
      </c>
      <c r="AK230" s="1053" t="str">
        <f t="shared" si="170"/>
        <v/>
      </c>
      <c r="AL230" s="1053"/>
      <c r="AM230" s="1290">
        <f>_xlfn.XLOOKUP(F230,Proveedores!A:A,Proveedores!G:G)</f>
        <v>0</v>
      </c>
      <c r="AN230" s="1095" t="str">
        <f t="shared" si="183"/>
        <v>OK</v>
      </c>
    </row>
    <row r="231" spans="1:40" ht="15.95">
      <c r="A231" s="1090" t="b">
        <f t="shared" si="158"/>
        <v>1</v>
      </c>
      <c r="B231" s="1091" t="b">
        <f t="shared" si="171"/>
        <v>1</v>
      </c>
      <c r="C231" s="1092" t="str">
        <f t="shared" si="172"/>
        <v>Dólares</v>
      </c>
      <c r="D231" s="11"/>
      <c r="E231" s="743"/>
      <c r="F231" s="17"/>
      <c r="G231" s="17" t="str">
        <f t="shared" si="159"/>
        <v xml:space="preserve"> </v>
      </c>
      <c r="H231" s="12">
        <v>0</v>
      </c>
      <c r="I231" s="16" t="str">
        <f>IFERROR(VLOOKUP(G231,Proveedores!B:C,2,0)," ")</f>
        <v xml:space="preserve"> </v>
      </c>
      <c r="J231" s="745">
        <v>0</v>
      </c>
      <c r="K231" s="745" t="str">
        <f t="shared" si="160"/>
        <v>Not Found</v>
      </c>
      <c r="L231" s="16">
        <f>IF(K231="Importado",Fletes!$B$66,0%)</f>
        <v>0</v>
      </c>
      <c r="M231" s="745">
        <f t="shared" si="173"/>
        <v>0</v>
      </c>
      <c r="N231" s="16">
        <f>IF(K231&lt;&gt;"Importado",0%,IF(Fletes!$B$67&lt;10,15%,IF(Fletes!$B$67&lt;20,10%,5%)))</f>
        <v>0</v>
      </c>
      <c r="O231" s="745" t="str">
        <f>IFERROR(IF(OR(F231="Offiho",F231="Lauco Sofas",F231="Requiez",F231="Labenze",F231="Sunon Mty",F231="Sonara"),(M231*(1-_xlfn.XLOOKUP(F231,Proveedores!A:A,Proveedores!I:I)))*(1+N231),((M231*(1-_xlfn.XLOOKUP(F231,Proveedores!A:A,Proveedores!I:I)))*(1+N231))+U231),"")</f>
        <v/>
      </c>
      <c r="P231" s="1031"/>
      <c r="Q231" s="1133">
        <f>IF(K231&lt;&gt;"Importado",0,IF(P231&gt;0,P231*H231,IFERROR(_xlfn.XLOOKUP(F231,Proveedores!A:A,Proveedores!F:F,0)*H231,0)))</f>
        <v>0</v>
      </c>
      <c r="R231" s="1134" t="e">
        <f t="shared" si="174"/>
        <v>#VALUE!</v>
      </c>
      <c r="S231" s="743"/>
      <c r="T231" s="1034" t="e">
        <f t="shared" si="161"/>
        <v>#N/A</v>
      </c>
      <c r="U231" s="1034" t="e">
        <f t="shared" si="175"/>
        <v>#N/A</v>
      </c>
      <c r="V231" s="1165" t="e">
        <f t="shared" si="162"/>
        <v>#N/A</v>
      </c>
      <c r="W231" s="1034" t="e">
        <f t="shared" si="176"/>
        <v>#N/A</v>
      </c>
      <c r="X231" s="1034" t="b">
        <f t="shared" si="177"/>
        <v>0</v>
      </c>
      <c r="Y231" s="1034">
        <f t="shared" si="178"/>
        <v>0</v>
      </c>
      <c r="Z231" s="1034">
        <f t="shared" si="179"/>
        <v>0</v>
      </c>
      <c r="AA231" s="1034">
        <f t="shared" si="163"/>
        <v>0</v>
      </c>
      <c r="AB231" s="1034">
        <f t="shared" si="164"/>
        <v>0</v>
      </c>
      <c r="AC231" s="1033">
        <f t="shared" si="180"/>
        <v>0</v>
      </c>
      <c r="AD231" s="1266">
        <f t="shared" si="165"/>
        <v>0</v>
      </c>
      <c r="AE231" s="1093">
        <f t="shared" si="181"/>
        <v>0</v>
      </c>
      <c r="AF231" s="1093">
        <f t="shared" si="182"/>
        <v>0</v>
      </c>
      <c r="AG231" s="1093">
        <f t="shared" si="166"/>
        <v>0</v>
      </c>
      <c r="AH231" s="1033" t="e">
        <f t="shared" si="167"/>
        <v>#DIV/0!</v>
      </c>
      <c r="AI231" s="1091">
        <f t="shared" si="168"/>
        <v>0</v>
      </c>
      <c r="AJ231" s="1094">
        <f t="shared" si="169"/>
        <v>0</v>
      </c>
      <c r="AK231" s="1053" t="str">
        <f t="shared" si="170"/>
        <v/>
      </c>
      <c r="AL231" s="1053"/>
      <c r="AM231" s="1290">
        <f>_xlfn.XLOOKUP(F231,Proveedores!A:A,Proveedores!G:G)</f>
        <v>0</v>
      </c>
      <c r="AN231" s="1095" t="str">
        <f t="shared" si="183"/>
        <v>OK</v>
      </c>
    </row>
    <row r="232" spans="1:40" ht="15.95">
      <c r="A232" s="1090" t="b">
        <f t="shared" si="158"/>
        <v>1</v>
      </c>
      <c r="B232" s="1091" t="b">
        <f t="shared" si="171"/>
        <v>1</v>
      </c>
      <c r="C232" s="1092" t="str">
        <f t="shared" si="172"/>
        <v>Dólares</v>
      </c>
      <c r="D232" s="11"/>
      <c r="E232" s="743"/>
      <c r="F232" s="17"/>
      <c r="G232" s="17" t="str">
        <f t="shared" si="159"/>
        <v xml:space="preserve"> </v>
      </c>
      <c r="H232" s="12">
        <v>0</v>
      </c>
      <c r="I232" s="16" t="str">
        <f>IFERROR(VLOOKUP(G232,Proveedores!B:C,2,0)," ")</f>
        <v xml:space="preserve"> </v>
      </c>
      <c r="J232" s="745">
        <v>0</v>
      </c>
      <c r="K232" s="745" t="str">
        <f t="shared" si="160"/>
        <v>Not Found</v>
      </c>
      <c r="L232" s="16">
        <f>IF(K232="Importado",Fletes!$B$66,0%)</f>
        <v>0</v>
      </c>
      <c r="M232" s="745">
        <f t="shared" si="173"/>
        <v>0</v>
      </c>
      <c r="N232" s="16">
        <f>IF(K232&lt;&gt;"Importado",0%,IF(Fletes!$B$67&lt;10,15%,IF(Fletes!$B$67&lt;20,10%,5%)))</f>
        <v>0</v>
      </c>
      <c r="O232" s="745" t="str">
        <f>IFERROR(IF(OR(F232="Offiho",F232="Lauco Sofas",F232="Requiez",F232="Labenze",F232="Sunon Mty",F232="Sonara"),(M232*(1-_xlfn.XLOOKUP(F232,Proveedores!A:A,Proveedores!I:I)))*(1+N232),((M232*(1-_xlfn.XLOOKUP(F232,Proveedores!A:A,Proveedores!I:I)))*(1+N232))+U232),"")</f>
        <v/>
      </c>
      <c r="P232" s="1031"/>
      <c r="Q232" s="1133">
        <f>IF(K232&lt;&gt;"Importado",0,IF(P232&gt;0,P232*H232,IFERROR(_xlfn.XLOOKUP(F232,Proveedores!A:A,Proveedores!F:F,0)*H232,0)))</f>
        <v>0</v>
      </c>
      <c r="R232" s="1134" t="e">
        <f t="shared" si="174"/>
        <v>#VALUE!</v>
      </c>
      <c r="S232" s="743"/>
      <c r="T232" s="1034" t="e">
        <f t="shared" si="161"/>
        <v>#N/A</v>
      </c>
      <c r="U232" s="1034" t="e">
        <f t="shared" si="175"/>
        <v>#N/A</v>
      </c>
      <c r="V232" s="1165" t="e">
        <f t="shared" si="162"/>
        <v>#N/A</v>
      </c>
      <c r="W232" s="1034" t="e">
        <f t="shared" si="176"/>
        <v>#N/A</v>
      </c>
      <c r="X232" s="1034" t="b">
        <f t="shared" si="177"/>
        <v>0</v>
      </c>
      <c r="Y232" s="1034">
        <f t="shared" si="178"/>
        <v>0</v>
      </c>
      <c r="Z232" s="1034">
        <f t="shared" si="179"/>
        <v>0</v>
      </c>
      <c r="AA232" s="1034">
        <f t="shared" si="163"/>
        <v>0</v>
      </c>
      <c r="AB232" s="1034">
        <f t="shared" si="164"/>
        <v>0</v>
      </c>
      <c r="AC232" s="1033">
        <f t="shared" si="180"/>
        <v>0</v>
      </c>
      <c r="AD232" s="1266">
        <f t="shared" si="165"/>
        <v>0</v>
      </c>
      <c r="AE232" s="1093">
        <f t="shared" si="181"/>
        <v>0</v>
      </c>
      <c r="AF232" s="1093">
        <f t="shared" si="182"/>
        <v>0</v>
      </c>
      <c r="AG232" s="1093">
        <f t="shared" si="166"/>
        <v>0</v>
      </c>
      <c r="AH232" s="1033" t="e">
        <f t="shared" si="167"/>
        <v>#DIV/0!</v>
      </c>
      <c r="AI232" s="1091">
        <f t="shared" si="168"/>
        <v>0</v>
      </c>
      <c r="AJ232" s="1094">
        <f t="shared" si="169"/>
        <v>0</v>
      </c>
      <c r="AK232" s="1053" t="str">
        <f t="shared" si="170"/>
        <v/>
      </c>
      <c r="AL232" s="1053"/>
      <c r="AM232" s="1290">
        <f>_xlfn.XLOOKUP(F232,Proveedores!A:A,Proveedores!G:G)</f>
        <v>0</v>
      </c>
      <c r="AN232" s="1095" t="str">
        <f t="shared" si="183"/>
        <v>OK</v>
      </c>
    </row>
    <row r="233" spans="1:40" ht="15.95">
      <c r="A233" s="1090" t="b">
        <f t="shared" si="158"/>
        <v>1</v>
      </c>
      <c r="B233" s="1091" t="b">
        <f t="shared" si="171"/>
        <v>1</v>
      </c>
      <c r="C233" s="1092" t="str">
        <f t="shared" si="172"/>
        <v>Dólares</v>
      </c>
      <c r="D233" s="11"/>
      <c r="E233" s="743"/>
      <c r="F233" s="17"/>
      <c r="G233" s="17" t="str">
        <f t="shared" si="159"/>
        <v xml:space="preserve"> </v>
      </c>
      <c r="H233" s="12">
        <v>0</v>
      </c>
      <c r="I233" s="16" t="str">
        <f>IFERROR(VLOOKUP(G233,Proveedores!B:C,2,0)," ")</f>
        <v xml:space="preserve"> </v>
      </c>
      <c r="J233" s="745">
        <v>0</v>
      </c>
      <c r="K233" s="745" t="str">
        <f t="shared" si="160"/>
        <v>Not Found</v>
      </c>
      <c r="L233" s="16">
        <f>IF(K233="Importado",Fletes!$B$66,0%)</f>
        <v>0</v>
      </c>
      <c r="M233" s="745">
        <f t="shared" si="173"/>
        <v>0</v>
      </c>
      <c r="N233" s="16">
        <f>IF(K233&lt;&gt;"Importado",0%,IF(Fletes!$B$67&lt;10,15%,IF(Fletes!$B$67&lt;20,10%,5%)))</f>
        <v>0</v>
      </c>
      <c r="O233" s="745" t="str">
        <f>IFERROR(IF(OR(F233="Offiho",F233="Lauco Sofas",F233="Requiez",F233="Labenze",F233="Sunon Mty",F233="Sonara"),(M233*(1-_xlfn.XLOOKUP(F233,Proveedores!A:A,Proveedores!I:I)))*(1+N233),((M233*(1-_xlfn.XLOOKUP(F233,Proveedores!A:A,Proveedores!I:I)))*(1+N233))+U233),"")</f>
        <v/>
      </c>
      <c r="P233" s="1031"/>
      <c r="Q233" s="1133">
        <f>IF(K233&lt;&gt;"Importado",0,IF(P233&gt;0,P233*H233,IFERROR(_xlfn.XLOOKUP(F233,Proveedores!A:A,Proveedores!F:F,0)*H233,0)))</f>
        <v>0</v>
      </c>
      <c r="R233" s="1134" t="e">
        <f t="shared" si="174"/>
        <v>#VALUE!</v>
      </c>
      <c r="S233" s="743"/>
      <c r="T233" s="1034" t="e">
        <f t="shared" si="161"/>
        <v>#N/A</v>
      </c>
      <c r="U233" s="1034" t="e">
        <f t="shared" si="175"/>
        <v>#N/A</v>
      </c>
      <c r="V233" s="1165" t="e">
        <f t="shared" si="162"/>
        <v>#N/A</v>
      </c>
      <c r="W233" s="1034" t="e">
        <f t="shared" si="176"/>
        <v>#N/A</v>
      </c>
      <c r="X233" s="1034" t="b">
        <f t="shared" si="177"/>
        <v>0</v>
      </c>
      <c r="Y233" s="1034">
        <f t="shared" si="178"/>
        <v>0</v>
      </c>
      <c r="Z233" s="1034">
        <f t="shared" si="179"/>
        <v>0</v>
      </c>
      <c r="AA233" s="1034">
        <f t="shared" si="163"/>
        <v>0</v>
      </c>
      <c r="AB233" s="1034">
        <f t="shared" si="164"/>
        <v>0</v>
      </c>
      <c r="AC233" s="1033">
        <f t="shared" si="180"/>
        <v>0</v>
      </c>
      <c r="AD233" s="1266">
        <f t="shared" si="165"/>
        <v>0</v>
      </c>
      <c r="AE233" s="1093">
        <f t="shared" si="181"/>
        <v>0</v>
      </c>
      <c r="AF233" s="1093">
        <f t="shared" si="182"/>
        <v>0</v>
      </c>
      <c r="AG233" s="1093">
        <f t="shared" si="166"/>
        <v>0</v>
      </c>
      <c r="AH233" s="1033" t="e">
        <f t="shared" si="167"/>
        <v>#DIV/0!</v>
      </c>
      <c r="AI233" s="1091">
        <f t="shared" si="168"/>
        <v>0</v>
      </c>
      <c r="AJ233" s="1094">
        <f t="shared" si="169"/>
        <v>0</v>
      </c>
      <c r="AK233" s="1053" t="str">
        <f t="shared" si="170"/>
        <v/>
      </c>
      <c r="AL233" s="1053"/>
      <c r="AM233" s="1290">
        <f>_xlfn.XLOOKUP(F233,Proveedores!A:A,Proveedores!G:G)</f>
        <v>0</v>
      </c>
      <c r="AN233" s="1095" t="str">
        <f t="shared" si="183"/>
        <v>OK</v>
      </c>
    </row>
    <row r="234" spans="1:40" ht="15.95">
      <c r="A234" s="1090" t="b">
        <f t="shared" si="158"/>
        <v>1</v>
      </c>
      <c r="B234" s="1091" t="b">
        <f t="shared" si="171"/>
        <v>1</v>
      </c>
      <c r="C234" s="1092" t="str">
        <f t="shared" si="172"/>
        <v>Dólares</v>
      </c>
      <c r="D234" s="11"/>
      <c r="E234" s="743"/>
      <c r="F234" s="17"/>
      <c r="G234" s="17" t="str">
        <f t="shared" si="159"/>
        <v xml:space="preserve"> </v>
      </c>
      <c r="H234" s="12">
        <v>0</v>
      </c>
      <c r="I234" s="16" t="str">
        <f>IFERROR(VLOOKUP(G234,Proveedores!B:C,2,0)," ")</f>
        <v xml:space="preserve"> </v>
      </c>
      <c r="J234" s="745">
        <v>0</v>
      </c>
      <c r="K234" s="745" t="str">
        <f t="shared" si="160"/>
        <v>Not Found</v>
      </c>
      <c r="L234" s="16">
        <f>IF(K234="Importado",Fletes!$B$66,0%)</f>
        <v>0</v>
      </c>
      <c r="M234" s="745">
        <f t="shared" si="173"/>
        <v>0</v>
      </c>
      <c r="N234" s="16">
        <f>IF(K234&lt;&gt;"Importado",0%,IF(Fletes!$B$67&lt;10,15%,IF(Fletes!$B$67&lt;20,10%,5%)))</f>
        <v>0</v>
      </c>
      <c r="O234" s="745" t="str">
        <f>IFERROR(IF(OR(F234="Offiho",F234="Lauco Sofas",F234="Requiez",F234="Labenze",F234="Sunon Mty",F234="Sonara"),(M234*(1-_xlfn.XLOOKUP(F234,Proveedores!A:A,Proveedores!I:I)))*(1+N234),((M234*(1-_xlfn.XLOOKUP(F234,Proveedores!A:A,Proveedores!I:I)))*(1+N234))+U234),"")</f>
        <v/>
      </c>
      <c r="P234" s="1031"/>
      <c r="Q234" s="1133">
        <f>IF(K234&lt;&gt;"Importado",0,IF(P234&gt;0,P234*H234,IFERROR(_xlfn.XLOOKUP(F234,Proveedores!A:A,Proveedores!F:F,0)*H234,0)))</f>
        <v>0</v>
      </c>
      <c r="R234" s="1134" t="e">
        <f t="shared" si="174"/>
        <v>#VALUE!</v>
      </c>
      <c r="S234" s="743"/>
      <c r="T234" s="1034" t="e">
        <f t="shared" si="161"/>
        <v>#N/A</v>
      </c>
      <c r="U234" s="1034" t="e">
        <f t="shared" si="175"/>
        <v>#N/A</v>
      </c>
      <c r="V234" s="1165" t="e">
        <f t="shared" si="162"/>
        <v>#N/A</v>
      </c>
      <c r="W234" s="1034" t="e">
        <f t="shared" si="176"/>
        <v>#N/A</v>
      </c>
      <c r="X234" s="1034" t="b">
        <f t="shared" si="177"/>
        <v>0</v>
      </c>
      <c r="Y234" s="1034">
        <f t="shared" si="178"/>
        <v>0</v>
      </c>
      <c r="Z234" s="1034">
        <f t="shared" si="179"/>
        <v>0</v>
      </c>
      <c r="AA234" s="1034">
        <f t="shared" si="163"/>
        <v>0</v>
      </c>
      <c r="AB234" s="1034">
        <f t="shared" si="164"/>
        <v>0</v>
      </c>
      <c r="AC234" s="1033">
        <f t="shared" si="180"/>
        <v>0</v>
      </c>
      <c r="AD234" s="1266">
        <f t="shared" si="165"/>
        <v>0</v>
      </c>
      <c r="AE234" s="1093">
        <f t="shared" si="181"/>
        <v>0</v>
      </c>
      <c r="AF234" s="1093">
        <f t="shared" si="182"/>
        <v>0</v>
      </c>
      <c r="AG234" s="1093">
        <f t="shared" si="166"/>
        <v>0</v>
      </c>
      <c r="AH234" s="1033" t="e">
        <f t="shared" si="167"/>
        <v>#DIV/0!</v>
      </c>
      <c r="AI234" s="1091">
        <f t="shared" si="168"/>
        <v>0</v>
      </c>
      <c r="AJ234" s="1094">
        <f t="shared" si="169"/>
        <v>0</v>
      </c>
      <c r="AK234" s="1053" t="str">
        <f t="shared" si="170"/>
        <v/>
      </c>
      <c r="AL234" s="1053"/>
      <c r="AM234" s="1290">
        <f>_xlfn.XLOOKUP(F234,Proveedores!A:A,Proveedores!G:G)</f>
        <v>0</v>
      </c>
      <c r="AN234" s="1095" t="str">
        <f t="shared" si="183"/>
        <v>OK</v>
      </c>
    </row>
    <row r="235" spans="1:40" ht="15.95">
      <c r="A235" s="1090" t="b">
        <f t="shared" si="158"/>
        <v>1</v>
      </c>
      <c r="B235" s="1091" t="b">
        <f t="shared" si="171"/>
        <v>1</v>
      </c>
      <c r="C235" s="1092" t="str">
        <f t="shared" si="172"/>
        <v>Dólares</v>
      </c>
      <c r="D235" s="13"/>
      <c r="E235" s="743"/>
      <c r="F235" s="17"/>
      <c r="G235" s="17" t="str">
        <f t="shared" si="159"/>
        <v xml:space="preserve"> </v>
      </c>
      <c r="H235" s="12">
        <v>0</v>
      </c>
      <c r="I235" s="16" t="str">
        <f>IFERROR(VLOOKUP(G235,Proveedores!B:C,2,0)," ")</f>
        <v xml:space="preserve"> </v>
      </c>
      <c r="J235" s="745">
        <v>0</v>
      </c>
      <c r="K235" s="745" t="str">
        <f t="shared" si="160"/>
        <v>Not Found</v>
      </c>
      <c r="L235" s="16">
        <f>IF(K235="Importado",Fletes!$B$66,0%)</f>
        <v>0</v>
      </c>
      <c r="M235" s="745">
        <f t="shared" si="173"/>
        <v>0</v>
      </c>
      <c r="N235" s="16">
        <f>IF(K235&lt;&gt;"Importado",0%,IF(Fletes!$B$67&lt;10,15%,IF(Fletes!$B$67&lt;20,10%,5%)))</f>
        <v>0</v>
      </c>
      <c r="O235" s="745" t="str">
        <f>IFERROR(IF(OR(F235="Offiho",F235="Lauco Sofas",F235="Requiez",F235="Labenze",F235="Sunon Mty",F235="Sonara"),(M235*(1-_xlfn.XLOOKUP(F235,Proveedores!A:A,Proveedores!I:I)))*(1+N235),((M235*(1-_xlfn.XLOOKUP(F235,Proveedores!A:A,Proveedores!I:I)))*(1+N235))+U235),"")</f>
        <v/>
      </c>
      <c r="P235" s="1031"/>
      <c r="Q235" s="1133">
        <f>IF(K235&lt;&gt;"Importado",0,IF(P235&gt;0,P235*H235,IFERROR(_xlfn.XLOOKUP(F235,Proveedores!A:A,Proveedores!F:F,0)*H235,0)))</f>
        <v>0</v>
      </c>
      <c r="R235" s="1134" t="e">
        <f t="shared" si="174"/>
        <v>#VALUE!</v>
      </c>
      <c r="S235" s="743"/>
      <c r="T235" s="1034" t="e">
        <f t="shared" si="161"/>
        <v>#N/A</v>
      </c>
      <c r="U235" s="1034" t="e">
        <f t="shared" si="175"/>
        <v>#N/A</v>
      </c>
      <c r="V235" s="1165" t="e">
        <f t="shared" si="162"/>
        <v>#N/A</v>
      </c>
      <c r="W235" s="1034" t="e">
        <f t="shared" si="176"/>
        <v>#N/A</v>
      </c>
      <c r="X235" s="1034" t="b">
        <f t="shared" si="177"/>
        <v>0</v>
      </c>
      <c r="Y235" s="1034">
        <f t="shared" si="178"/>
        <v>0</v>
      </c>
      <c r="Z235" s="1034">
        <f t="shared" si="179"/>
        <v>0</v>
      </c>
      <c r="AA235" s="1034">
        <f t="shared" si="163"/>
        <v>0</v>
      </c>
      <c r="AB235" s="1034">
        <f t="shared" si="164"/>
        <v>0</v>
      </c>
      <c r="AC235" s="1033">
        <f t="shared" si="180"/>
        <v>0</v>
      </c>
      <c r="AD235" s="1266">
        <f t="shared" si="165"/>
        <v>0</v>
      </c>
      <c r="AE235" s="1093">
        <f t="shared" si="181"/>
        <v>0</v>
      </c>
      <c r="AF235" s="1093">
        <f t="shared" si="182"/>
        <v>0</v>
      </c>
      <c r="AG235" s="1093">
        <f t="shared" si="166"/>
        <v>0</v>
      </c>
      <c r="AH235" s="1033" t="e">
        <f t="shared" si="167"/>
        <v>#DIV/0!</v>
      </c>
      <c r="AI235" s="1091">
        <f t="shared" si="168"/>
        <v>0</v>
      </c>
      <c r="AJ235" s="1094">
        <f t="shared" si="169"/>
        <v>0</v>
      </c>
      <c r="AK235" s="1053" t="str">
        <f t="shared" si="170"/>
        <v/>
      </c>
      <c r="AL235" s="1053"/>
      <c r="AM235" s="1290">
        <f>_xlfn.XLOOKUP(F235,Proveedores!A:A,Proveedores!G:G)</f>
        <v>0</v>
      </c>
      <c r="AN235" s="1095" t="str">
        <f t="shared" si="183"/>
        <v>OK</v>
      </c>
    </row>
    <row r="236" spans="1:40" ht="15.95">
      <c r="A236" s="1090" t="b">
        <f t="shared" si="158"/>
        <v>1</v>
      </c>
      <c r="B236" s="1091" t="b">
        <f t="shared" si="171"/>
        <v>1</v>
      </c>
      <c r="C236" s="1092" t="str">
        <f t="shared" si="172"/>
        <v>Dólares</v>
      </c>
      <c r="D236" s="13"/>
      <c r="E236" s="743"/>
      <c r="F236" s="17"/>
      <c r="G236" s="17" t="str">
        <f t="shared" si="159"/>
        <v xml:space="preserve"> </v>
      </c>
      <c r="H236" s="12">
        <v>0</v>
      </c>
      <c r="I236" s="16" t="str">
        <f>IFERROR(VLOOKUP(G236,Proveedores!B:C,2,0)," ")</f>
        <v xml:space="preserve"> </v>
      </c>
      <c r="J236" s="745">
        <v>0</v>
      </c>
      <c r="K236" s="745" t="str">
        <f t="shared" si="160"/>
        <v>Not Found</v>
      </c>
      <c r="L236" s="16">
        <f>IF(K236="Importado",Fletes!$B$66,0%)</f>
        <v>0</v>
      </c>
      <c r="M236" s="745">
        <f t="shared" si="173"/>
        <v>0</v>
      </c>
      <c r="N236" s="16">
        <f>IF(K236&lt;&gt;"Importado",0%,IF(Fletes!$B$67&lt;10,15%,IF(Fletes!$B$67&lt;20,10%,5%)))</f>
        <v>0</v>
      </c>
      <c r="O236" s="745" t="str">
        <f>IFERROR(IF(OR(F236="Offiho",F236="Lauco Sofas",F236="Requiez",F236="Labenze",F236="Sunon Mty",F236="Sonara"),(M236*(1-_xlfn.XLOOKUP(F236,Proveedores!A:A,Proveedores!I:I)))*(1+N236),((M236*(1-_xlfn.XLOOKUP(F236,Proveedores!A:A,Proveedores!I:I)))*(1+N236))+U236),"")</f>
        <v/>
      </c>
      <c r="P236" s="1031"/>
      <c r="Q236" s="1133">
        <f>IF(K236&lt;&gt;"Importado",0,IF(P236&gt;0,P236*H236,IFERROR(_xlfn.XLOOKUP(F236,Proveedores!A:A,Proveedores!F:F,0)*H236,0)))</f>
        <v>0</v>
      </c>
      <c r="R236" s="1134" t="e">
        <f t="shared" si="174"/>
        <v>#VALUE!</v>
      </c>
      <c r="S236" s="743"/>
      <c r="T236" s="1034" t="e">
        <f t="shared" si="161"/>
        <v>#N/A</v>
      </c>
      <c r="U236" s="1034" t="e">
        <f t="shared" si="175"/>
        <v>#N/A</v>
      </c>
      <c r="V236" s="1165" t="e">
        <f t="shared" si="162"/>
        <v>#N/A</v>
      </c>
      <c r="W236" s="1034" t="e">
        <f t="shared" si="176"/>
        <v>#N/A</v>
      </c>
      <c r="X236" s="1034" t="b">
        <f t="shared" si="177"/>
        <v>0</v>
      </c>
      <c r="Y236" s="1034">
        <f t="shared" si="178"/>
        <v>0</v>
      </c>
      <c r="Z236" s="1034">
        <f t="shared" si="179"/>
        <v>0</v>
      </c>
      <c r="AA236" s="1034">
        <f t="shared" si="163"/>
        <v>0</v>
      </c>
      <c r="AB236" s="1034">
        <f t="shared" si="164"/>
        <v>0</v>
      </c>
      <c r="AC236" s="1033">
        <f t="shared" si="180"/>
        <v>0</v>
      </c>
      <c r="AD236" s="1266">
        <f t="shared" si="165"/>
        <v>0</v>
      </c>
      <c r="AE236" s="1093">
        <f t="shared" si="181"/>
        <v>0</v>
      </c>
      <c r="AF236" s="1093">
        <f t="shared" si="182"/>
        <v>0</v>
      </c>
      <c r="AG236" s="1093">
        <f t="shared" si="166"/>
        <v>0</v>
      </c>
      <c r="AH236" s="1033" t="e">
        <f t="shared" si="167"/>
        <v>#DIV/0!</v>
      </c>
      <c r="AI236" s="1091">
        <f t="shared" si="168"/>
        <v>0</v>
      </c>
      <c r="AJ236" s="1094">
        <f t="shared" si="169"/>
        <v>0</v>
      </c>
      <c r="AK236" s="1053" t="str">
        <f t="shared" si="170"/>
        <v/>
      </c>
      <c r="AL236" s="1053"/>
      <c r="AM236" s="1290">
        <f>_xlfn.XLOOKUP(F236,Proveedores!A:A,Proveedores!G:G)</f>
        <v>0</v>
      </c>
      <c r="AN236" s="1095" t="str">
        <f t="shared" si="183"/>
        <v>OK</v>
      </c>
    </row>
    <row r="237" spans="1:40" ht="15.95">
      <c r="A237" s="1090" t="b">
        <f t="shared" si="158"/>
        <v>1</v>
      </c>
      <c r="B237" s="1091" t="b">
        <f t="shared" si="171"/>
        <v>1</v>
      </c>
      <c r="C237" s="1092" t="str">
        <f t="shared" si="172"/>
        <v>Dólares</v>
      </c>
      <c r="D237" s="13"/>
      <c r="E237" s="743"/>
      <c r="F237" s="17"/>
      <c r="G237" s="17" t="str">
        <f t="shared" si="159"/>
        <v xml:space="preserve"> </v>
      </c>
      <c r="H237" s="12">
        <v>0</v>
      </c>
      <c r="I237" s="16" t="str">
        <f>IFERROR(VLOOKUP(G237,Proveedores!B:C,2,0)," ")</f>
        <v xml:space="preserve"> </v>
      </c>
      <c r="J237" s="745">
        <v>0</v>
      </c>
      <c r="K237" s="745" t="str">
        <f t="shared" si="160"/>
        <v>Not Found</v>
      </c>
      <c r="L237" s="16">
        <f>IF(K237="Importado",Fletes!$B$66,0%)</f>
        <v>0</v>
      </c>
      <c r="M237" s="745">
        <f t="shared" si="173"/>
        <v>0</v>
      </c>
      <c r="N237" s="16">
        <f>IF(K237&lt;&gt;"Importado",0%,IF(Fletes!$B$67&lt;10,15%,IF(Fletes!$B$67&lt;20,10%,5%)))</f>
        <v>0</v>
      </c>
      <c r="O237" s="745" t="str">
        <f>IFERROR(IF(OR(F237="Offiho",F237="Lauco Sofas",F237="Requiez",F237="Labenze",F237="Sunon Mty",F237="Sonara"),(M237*(1-_xlfn.XLOOKUP(F237,Proveedores!A:A,Proveedores!I:I)))*(1+N237),((M237*(1-_xlfn.XLOOKUP(F237,Proveedores!A:A,Proveedores!I:I)))*(1+N237))+U237),"")</f>
        <v/>
      </c>
      <c r="P237" s="1031"/>
      <c r="Q237" s="1133">
        <f>IF(K237&lt;&gt;"Importado",0,IF(P237&gt;0,P237*H237,IFERROR(_xlfn.XLOOKUP(F237,Proveedores!A:A,Proveedores!F:F,0)*H237,0)))</f>
        <v>0</v>
      </c>
      <c r="R237" s="1134" t="e">
        <f t="shared" si="174"/>
        <v>#VALUE!</v>
      </c>
      <c r="S237" s="743"/>
      <c r="T237" s="1034" t="e">
        <f t="shared" si="161"/>
        <v>#N/A</v>
      </c>
      <c r="U237" s="1034" t="e">
        <f t="shared" si="175"/>
        <v>#N/A</v>
      </c>
      <c r="V237" s="1165" t="e">
        <f t="shared" si="162"/>
        <v>#N/A</v>
      </c>
      <c r="W237" s="1034" t="e">
        <f t="shared" si="176"/>
        <v>#N/A</v>
      </c>
      <c r="X237" s="1034" t="b">
        <f t="shared" si="177"/>
        <v>0</v>
      </c>
      <c r="Y237" s="1034">
        <f t="shared" si="178"/>
        <v>0</v>
      </c>
      <c r="Z237" s="1034">
        <f t="shared" si="179"/>
        <v>0</v>
      </c>
      <c r="AA237" s="1034">
        <f t="shared" si="163"/>
        <v>0</v>
      </c>
      <c r="AB237" s="1034">
        <f t="shared" si="164"/>
        <v>0</v>
      </c>
      <c r="AC237" s="1033">
        <f t="shared" si="180"/>
        <v>0</v>
      </c>
      <c r="AD237" s="1266">
        <f t="shared" si="165"/>
        <v>0</v>
      </c>
      <c r="AE237" s="1093">
        <f t="shared" si="181"/>
        <v>0</v>
      </c>
      <c r="AF237" s="1093">
        <f t="shared" si="182"/>
        <v>0</v>
      </c>
      <c r="AG237" s="1093">
        <f t="shared" si="166"/>
        <v>0</v>
      </c>
      <c r="AH237" s="1033" t="e">
        <f t="shared" si="167"/>
        <v>#DIV/0!</v>
      </c>
      <c r="AI237" s="1091">
        <f t="shared" si="168"/>
        <v>0</v>
      </c>
      <c r="AJ237" s="1094">
        <f t="shared" si="169"/>
        <v>0</v>
      </c>
      <c r="AK237" s="1053" t="str">
        <f t="shared" si="170"/>
        <v/>
      </c>
      <c r="AL237" s="1053"/>
      <c r="AM237" s="1290">
        <f>_xlfn.XLOOKUP(F237,Proveedores!A:A,Proveedores!G:G)</f>
        <v>0</v>
      </c>
      <c r="AN237" s="1095" t="str">
        <f t="shared" si="183"/>
        <v>OK</v>
      </c>
    </row>
    <row r="238" spans="1:40" ht="15.95">
      <c r="A238" s="1090" t="b">
        <f t="shared" si="158"/>
        <v>1</v>
      </c>
      <c r="B238" s="1091" t="b">
        <f t="shared" si="171"/>
        <v>1</v>
      </c>
      <c r="C238" s="1092" t="str">
        <f t="shared" si="172"/>
        <v>Dólares</v>
      </c>
      <c r="D238" s="13"/>
      <c r="E238" s="743"/>
      <c r="F238" s="17"/>
      <c r="G238" s="17" t="str">
        <f t="shared" si="159"/>
        <v xml:space="preserve"> </v>
      </c>
      <c r="H238" s="12">
        <v>0</v>
      </c>
      <c r="I238" s="16" t="str">
        <f>IFERROR(VLOOKUP(G238,Proveedores!B:C,2,0)," ")</f>
        <v xml:space="preserve"> </v>
      </c>
      <c r="J238" s="745">
        <v>0</v>
      </c>
      <c r="K238" s="745" t="str">
        <f t="shared" si="160"/>
        <v>Not Found</v>
      </c>
      <c r="L238" s="16">
        <f>IF(K238="Importado",Fletes!$B$66,0%)</f>
        <v>0</v>
      </c>
      <c r="M238" s="745">
        <f t="shared" si="173"/>
        <v>0</v>
      </c>
      <c r="N238" s="16">
        <f>IF(K238&lt;&gt;"Importado",0%,IF(Fletes!$B$67&lt;10,15%,IF(Fletes!$B$67&lt;20,10%,5%)))</f>
        <v>0</v>
      </c>
      <c r="O238" s="745" t="str">
        <f>IFERROR(IF(OR(F238="Offiho",F238="Lauco Sofas",F238="Requiez",F238="Labenze",F238="Sunon Mty",F238="Sonara"),(M238*(1-_xlfn.XLOOKUP(F238,Proveedores!A:A,Proveedores!I:I)))*(1+N238),((M238*(1-_xlfn.XLOOKUP(F238,Proveedores!A:A,Proveedores!I:I)))*(1+N238))+U238),"")</f>
        <v/>
      </c>
      <c r="P238" s="1031"/>
      <c r="Q238" s="1133">
        <f>IF(K238&lt;&gt;"Importado",0,IF(P238&gt;0,P238*H238,IFERROR(_xlfn.XLOOKUP(F238,Proveedores!A:A,Proveedores!F:F,0)*H238,0)))</f>
        <v>0</v>
      </c>
      <c r="R238" s="1134" t="e">
        <f t="shared" si="174"/>
        <v>#VALUE!</v>
      </c>
      <c r="S238" s="743"/>
      <c r="T238" s="1034" t="e">
        <f t="shared" si="161"/>
        <v>#N/A</v>
      </c>
      <c r="U238" s="1034" t="e">
        <f t="shared" si="175"/>
        <v>#N/A</v>
      </c>
      <c r="V238" s="1165" t="e">
        <f t="shared" si="162"/>
        <v>#N/A</v>
      </c>
      <c r="W238" s="1034" t="e">
        <f t="shared" si="176"/>
        <v>#N/A</v>
      </c>
      <c r="X238" s="1034" t="b">
        <f t="shared" si="177"/>
        <v>0</v>
      </c>
      <c r="Y238" s="1034">
        <f t="shared" si="178"/>
        <v>0</v>
      </c>
      <c r="Z238" s="1034">
        <f t="shared" si="179"/>
        <v>0</v>
      </c>
      <c r="AA238" s="1034">
        <f t="shared" si="163"/>
        <v>0</v>
      </c>
      <c r="AB238" s="1034">
        <f t="shared" si="164"/>
        <v>0</v>
      </c>
      <c r="AC238" s="1033">
        <f t="shared" si="180"/>
        <v>0</v>
      </c>
      <c r="AD238" s="1266">
        <f t="shared" si="165"/>
        <v>0</v>
      </c>
      <c r="AE238" s="1093">
        <f t="shared" si="181"/>
        <v>0</v>
      </c>
      <c r="AF238" s="1093">
        <f t="shared" si="182"/>
        <v>0</v>
      </c>
      <c r="AG238" s="1093">
        <f t="shared" si="166"/>
        <v>0</v>
      </c>
      <c r="AH238" s="1033" t="e">
        <f t="shared" si="167"/>
        <v>#DIV/0!</v>
      </c>
      <c r="AI238" s="1091">
        <f t="shared" si="168"/>
        <v>0</v>
      </c>
      <c r="AJ238" s="1094">
        <f t="shared" si="169"/>
        <v>0</v>
      </c>
      <c r="AK238" s="1053" t="str">
        <f t="shared" si="170"/>
        <v/>
      </c>
      <c r="AL238" s="1053"/>
      <c r="AM238" s="1290">
        <f>_xlfn.XLOOKUP(F238,Proveedores!A:A,Proveedores!G:G)</f>
        <v>0</v>
      </c>
      <c r="AN238" s="1095" t="str">
        <f t="shared" si="183"/>
        <v>OK</v>
      </c>
    </row>
    <row r="239" spans="1:40" ht="15.95">
      <c r="A239" s="1090" t="b">
        <f t="shared" si="158"/>
        <v>1</v>
      </c>
      <c r="B239" s="1091" t="b">
        <f t="shared" si="171"/>
        <v>1</v>
      </c>
      <c r="C239" s="1092" t="str">
        <f t="shared" si="172"/>
        <v>Dólares</v>
      </c>
      <c r="D239" s="13"/>
      <c r="E239" s="743"/>
      <c r="F239" s="17"/>
      <c r="G239" s="17" t="str">
        <f t="shared" si="159"/>
        <v xml:space="preserve"> </v>
      </c>
      <c r="H239" s="12">
        <v>0</v>
      </c>
      <c r="I239" s="16" t="str">
        <f>IFERROR(VLOOKUP(G239,Proveedores!B:C,2,0)," ")</f>
        <v xml:space="preserve"> </v>
      </c>
      <c r="J239" s="745">
        <v>0</v>
      </c>
      <c r="K239" s="745" t="str">
        <f t="shared" si="160"/>
        <v>Not Found</v>
      </c>
      <c r="L239" s="16">
        <f>IF(K239="Importado",Fletes!$B$66,0%)</f>
        <v>0</v>
      </c>
      <c r="M239" s="745">
        <f t="shared" si="173"/>
        <v>0</v>
      </c>
      <c r="N239" s="16">
        <f>IF(K239&lt;&gt;"Importado",0%,IF(Fletes!$B$67&lt;10,15%,IF(Fletes!$B$67&lt;20,10%,5%)))</f>
        <v>0</v>
      </c>
      <c r="O239" s="745" t="str">
        <f>IFERROR(IF(OR(F239="Offiho",F239="Lauco Sofas",F239="Requiez",F239="Labenze",F239="Sunon Mty",F239="Sonara"),(M239*(1-_xlfn.XLOOKUP(F239,Proveedores!A:A,Proveedores!I:I)))*(1+N239),((M239*(1-_xlfn.XLOOKUP(F239,Proveedores!A:A,Proveedores!I:I)))*(1+N239))+U239),"")</f>
        <v/>
      </c>
      <c r="P239" s="1031"/>
      <c r="Q239" s="1133">
        <f>IF(K239&lt;&gt;"Importado",0,IF(P239&gt;0,P239*H239,IFERROR(_xlfn.XLOOKUP(F239,Proveedores!A:A,Proveedores!F:F,0)*H239,0)))</f>
        <v>0</v>
      </c>
      <c r="R239" s="1134" t="e">
        <f t="shared" si="174"/>
        <v>#VALUE!</v>
      </c>
      <c r="S239" s="743"/>
      <c r="T239" s="1034" t="e">
        <f t="shared" si="161"/>
        <v>#N/A</v>
      </c>
      <c r="U239" s="1034" t="e">
        <f t="shared" si="175"/>
        <v>#N/A</v>
      </c>
      <c r="V239" s="1165" t="e">
        <f t="shared" si="162"/>
        <v>#N/A</v>
      </c>
      <c r="W239" s="1034" t="e">
        <f t="shared" si="176"/>
        <v>#N/A</v>
      </c>
      <c r="X239" s="1034" t="b">
        <f t="shared" si="177"/>
        <v>0</v>
      </c>
      <c r="Y239" s="1034">
        <f t="shared" si="178"/>
        <v>0</v>
      </c>
      <c r="Z239" s="1034">
        <f t="shared" si="179"/>
        <v>0</v>
      </c>
      <c r="AA239" s="1034">
        <f t="shared" si="163"/>
        <v>0</v>
      </c>
      <c r="AB239" s="1034">
        <f t="shared" si="164"/>
        <v>0</v>
      </c>
      <c r="AC239" s="1033">
        <f t="shared" si="180"/>
        <v>0</v>
      </c>
      <c r="AD239" s="1266">
        <f t="shared" si="165"/>
        <v>0</v>
      </c>
      <c r="AE239" s="1093">
        <f t="shared" si="181"/>
        <v>0</v>
      </c>
      <c r="AF239" s="1093">
        <f t="shared" si="182"/>
        <v>0</v>
      </c>
      <c r="AG239" s="1093">
        <f t="shared" si="166"/>
        <v>0</v>
      </c>
      <c r="AH239" s="1033" t="e">
        <f t="shared" si="167"/>
        <v>#DIV/0!</v>
      </c>
      <c r="AI239" s="1091">
        <f t="shared" si="168"/>
        <v>0</v>
      </c>
      <c r="AJ239" s="1094">
        <f t="shared" si="169"/>
        <v>0</v>
      </c>
      <c r="AK239" s="1053" t="str">
        <f t="shared" si="170"/>
        <v/>
      </c>
      <c r="AL239" s="1053"/>
      <c r="AM239" s="1290">
        <f>_xlfn.XLOOKUP(F239,Proveedores!A:A,Proveedores!G:G)</f>
        <v>0</v>
      </c>
      <c r="AN239" s="1095" t="str">
        <f t="shared" si="183"/>
        <v>OK</v>
      </c>
    </row>
    <row r="240" spans="1:40" ht="15.95">
      <c r="A240" s="1090" t="b">
        <f t="shared" si="158"/>
        <v>1</v>
      </c>
      <c r="B240" s="1091" t="b">
        <f t="shared" si="171"/>
        <v>1</v>
      </c>
      <c r="C240" s="1092" t="str">
        <f t="shared" si="172"/>
        <v>Dólares</v>
      </c>
      <c r="D240" s="13"/>
      <c r="E240" s="743"/>
      <c r="F240" s="17"/>
      <c r="G240" s="17" t="str">
        <f t="shared" si="159"/>
        <v xml:space="preserve"> </v>
      </c>
      <c r="H240" s="12">
        <v>0</v>
      </c>
      <c r="I240" s="16" t="str">
        <f>IFERROR(VLOOKUP(G240,Proveedores!B:C,2,0)," ")</f>
        <v xml:space="preserve"> </v>
      </c>
      <c r="J240" s="745">
        <v>0</v>
      </c>
      <c r="K240" s="745" t="str">
        <f t="shared" si="160"/>
        <v>Not Found</v>
      </c>
      <c r="L240" s="16">
        <f>IF(K240="Importado",Fletes!$B$66,0%)</f>
        <v>0</v>
      </c>
      <c r="M240" s="745">
        <f t="shared" si="173"/>
        <v>0</v>
      </c>
      <c r="N240" s="16">
        <f>IF(K240&lt;&gt;"Importado",0%,IF(Fletes!$B$67&lt;10,15%,IF(Fletes!$B$67&lt;20,10%,5%)))</f>
        <v>0</v>
      </c>
      <c r="O240" s="745" t="str">
        <f>IFERROR(IF(OR(F240="Offiho",F240="Lauco Sofas",F240="Requiez",F240="Labenze",F240="Sunon Mty",F240="Sonara"),(M240*(1-_xlfn.XLOOKUP(F240,Proveedores!A:A,Proveedores!I:I)))*(1+N240),((M240*(1-_xlfn.XLOOKUP(F240,Proveedores!A:A,Proveedores!I:I)))*(1+N240))+U240),"")</f>
        <v/>
      </c>
      <c r="P240" s="1031"/>
      <c r="Q240" s="1133">
        <f>IF(K240&lt;&gt;"Importado",0,IF(P240&gt;0,P240*H240,IFERROR(_xlfn.XLOOKUP(F240,Proveedores!A:A,Proveedores!F:F,0)*H240,0)))</f>
        <v>0</v>
      </c>
      <c r="R240" s="1134" t="e">
        <f t="shared" si="174"/>
        <v>#VALUE!</v>
      </c>
      <c r="S240" s="743"/>
      <c r="T240" s="1034" t="e">
        <f t="shared" si="161"/>
        <v>#N/A</v>
      </c>
      <c r="U240" s="1034" t="e">
        <f t="shared" si="175"/>
        <v>#N/A</v>
      </c>
      <c r="V240" s="1165" t="e">
        <f t="shared" si="162"/>
        <v>#N/A</v>
      </c>
      <c r="W240" s="1034" t="e">
        <f t="shared" si="176"/>
        <v>#N/A</v>
      </c>
      <c r="X240" s="1034" t="b">
        <f t="shared" si="177"/>
        <v>0</v>
      </c>
      <c r="Y240" s="1034">
        <f t="shared" si="178"/>
        <v>0</v>
      </c>
      <c r="Z240" s="1034">
        <f t="shared" si="179"/>
        <v>0</v>
      </c>
      <c r="AA240" s="1034">
        <f t="shared" si="163"/>
        <v>0</v>
      </c>
      <c r="AB240" s="1034">
        <f t="shared" si="164"/>
        <v>0</v>
      </c>
      <c r="AC240" s="1033">
        <f t="shared" si="180"/>
        <v>0</v>
      </c>
      <c r="AD240" s="1266">
        <f t="shared" si="165"/>
        <v>0</v>
      </c>
      <c r="AE240" s="1093">
        <f t="shared" si="181"/>
        <v>0</v>
      </c>
      <c r="AF240" s="1093">
        <f t="shared" si="182"/>
        <v>0</v>
      </c>
      <c r="AG240" s="1093">
        <f t="shared" si="166"/>
        <v>0</v>
      </c>
      <c r="AH240" s="1033" t="e">
        <f t="shared" si="167"/>
        <v>#DIV/0!</v>
      </c>
      <c r="AI240" s="1091">
        <f t="shared" si="168"/>
        <v>0</v>
      </c>
      <c r="AJ240" s="1094">
        <f t="shared" si="169"/>
        <v>0</v>
      </c>
      <c r="AK240" s="1053" t="str">
        <f t="shared" si="170"/>
        <v/>
      </c>
      <c r="AL240" s="1053"/>
      <c r="AM240" s="1290">
        <f>_xlfn.XLOOKUP(F240,Proveedores!A:A,Proveedores!G:G)</f>
        <v>0</v>
      </c>
      <c r="AN240" s="1095" t="str">
        <f t="shared" si="183"/>
        <v>OK</v>
      </c>
    </row>
    <row r="241" spans="1:40" ht="15.95">
      <c r="A241" s="1090" t="b">
        <f t="shared" si="158"/>
        <v>1</v>
      </c>
      <c r="B241" s="1091" t="b">
        <f t="shared" si="171"/>
        <v>1</v>
      </c>
      <c r="C241" s="1092" t="str">
        <f t="shared" si="172"/>
        <v>Dólares</v>
      </c>
      <c r="D241" s="13"/>
      <c r="E241" s="743"/>
      <c r="F241" s="17"/>
      <c r="G241" s="17" t="str">
        <f t="shared" si="159"/>
        <v xml:space="preserve"> </v>
      </c>
      <c r="H241" s="12">
        <v>0</v>
      </c>
      <c r="I241" s="16" t="str">
        <f>IFERROR(VLOOKUP(G241,Proveedores!B:C,2,0)," ")</f>
        <v xml:space="preserve"> </v>
      </c>
      <c r="J241" s="745">
        <v>0</v>
      </c>
      <c r="K241" s="745" t="str">
        <f t="shared" si="160"/>
        <v>Not Found</v>
      </c>
      <c r="L241" s="16">
        <f>IF(K241="Importado",Fletes!$B$66,0%)</f>
        <v>0</v>
      </c>
      <c r="M241" s="745">
        <f t="shared" si="173"/>
        <v>0</v>
      </c>
      <c r="N241" s="16">
        <f>IF(K241&lt;&gt;"Importado",0%,IF(Fletes!$B$67&lt;10,15%,IF(Fletes!$B$67&lt;20,10%,5%)))</f>
        <v>0</v>
      </c>
      <c r="O241" s="745" t="str">
        <f>IFERROR(IF(OR(F241="Offiho",F241="Lauco Sofas",F241="Requiez",F241="Labenze",F241="Sunon Mty",F241="Sonara"),(M241*(1-_xlfn.XLOOKUP(F241,Proveedores!A:A,Proveedores!I:I)))*(1+N241),((M241*(1-_xlfn.XLOOKUP(F241,Proveedores!A:A,Proveedores!I:I)))*(1+N241))+U241),"")</f>
        <v/>
      </c>
      <c r="P241" s="1031"/>
      <c r="Q241" s="1133">
        <f>IF(K241&lt;&gt;"Importado",0,IF(P241&gt;0,P241*H241,IFERROR(_xlfn.XLOOKUP(F241,Proveedores!A:A,Proveedores!F:F,0)*H241,0)))</f>
        <v>0</v>
      </c>
      <c r="R241" s="1134" t="e">
        <f t="shared" si="174"/>
        <v>#VALUE!</v>
      </c>
      <c r="S241" s="743"/>
      <c r="T241" s="1034" t="e">
        <f t="shared" si="161"/>
        <v>#N/A</v>
      </c>
      <c r="U241" s="1034" t="e">
        <f t="shared" si="175"/>
        <v>#N/A</v>
      </c>
      <c r="V241" s="1165" t="e">
        <f t="shared" si="162"/>
        <v>#N/A</v>
      </c>
      <c r="W241" s="1034" t="e">
        <f t="shared" si="176"/>
        <v>#N/A</v>
      </c>
      <c r="X241" s="1034" t="b">
        <f t="shared" si="177"/>
        <v>0</v>
      </c>
      <c r="Y241" s="1034">
        <f t="shared" si="178"/>
        <v>0</v>
      </c>
      <c r="Z241" s="1034">
        <f t="shared" si="179"/>
        <v>0</v>
      </c>
      <c r="AA241" s="1034">
        <f t="shared" si="163"/>
        <v>0</v>
      </c>
      <c r="AB241" s="1034">
        <f t="shared" si="164"/>
        <v>0</v>
      </c>
      <c r="AC241" s="1033">
        <f t="shared" si="180"/>
        <v>0</v>
      </c>
      <c r="AD241" s="1266">
        <f t="shared" si="165"/>
        <v>0</v>
      </c>
      <c r="AE241" s="1093">
        <f t="shared" si="181"/>
        <v>0</v>
      </c>
      <c r="AF241" s="1093">
        <f t="shared" si="182"/>
        <v>0</v>
      </c>
      <c r="AG241" s="1093">
        <f t="shared" si="166"/>
        <v>0</v>
      </c>
      <c r="AH241" s="1033" t="e">
        <f t="shared" si="167"/>
        <v>#DIV/0!</v>
      </c>
      <c r="AI241" s="1091">
        <f t="shared" si="168"/>
        <v>0</v>
      </c>
      <c r="AJ241" s="1094">
        <f t="shared" si="169"/>
        <v>0</v>
      </c>
      <c r="AK241" s="1053" t="str">
        <f t="shared" si="170"/>
        <v/>
      </c>
      <c r="AL241" s="1053"/>
      <c r="AM241" s="1290">
        <f>_xlfn.XLOOKUP(F241,Proveedores!A:A,Proveedores!G:G)</f>
        <v>0</v>
      </c>
      <c r="AN241" s="1095" t="str">
        <f t="shared" si="183"/>
        <v>OK</v>
      </c>
    </row>
    <row r="242" spans="1:40" ht="15.95">
      <c r="A242" s="1090" t="b">
        <f t="shared" si="158"/>
        <v>1</v>
      </c>
      <c r="B242" s="1091" t="b">
        <f t="shared" si="171"/>
        <v>1</v>
      </c>
      <c r="C242" s="1092" t="str">
        <f t="shared" si="172"/>
        <v>Dólares</v>
      </c>
      <c r="D242" s="14"/>
      <c r="E242" s="743"/>
      <c r="F242" s="17"/>
      <c r="G242" s="17" t="str">
        <f t="shared" si="159"/>
        <v xml:space="preserve"> </v>
      </c>
      <c r="H242" s="12">
        <v>0</v>
      </c>
      <c r="I242" s="16" t="str">
        <f>IFERROR(VLOOKUP(G242,Proveedores!B:C,2,0)," ")</f>
        <v xml:space="preserve"> </v>
      </c>
      <c r="J242" s="745">
        <v>0</v>
      </c>
      <c r="K242" s="745" t="str">
        <f t="shared" si="160"/>
        <v>Not Found</v>
      </c>
      <c r="L242" s="16">
        <f>IF(K242="Importado",Fletes!$B$66,0%)</f>
        <v>0</v>
      </c>
      <c r="M242" s="745">
        <f t="shared" si="173"/>
        <v>0</v>
      </c>
      <c r="N242" s="16">
        <f>IF(K242&lt;&gt;"Importado",0%,IF(Fletes!$B$67&lt;10,15%,IF(Fletes!$B$67&lt;20,10%,5%)))</f>
        <v>0</v>
      </c>
      <c r="O242" s="745" t="str">
        <f>IFERROR(IF(OR(F242="Offiho",F242="Lauco Sofas",F242="Requiez",F242="Labenze",F242="Sunon Mty",F242="Sonara"),(M242*(1-_xlfn.XLOOKUP(F242,Proveedores!A:A,Proveedores!I:I)))*(1+N242),((M242*(1-_xlfn.XLOOKUP(F242,Proveedores!A:A,Proveedores!I:I)))*(1+N242))+U242),"")</f>
        <v/>
      </c>
      <c r="P242" s="1031"/>
      <c r="Q242" s="1133">
        <f>IF(K242&lt;&gt;"Importado",0,IF(P242&gt;0,P242*H242,IFERROR(_xlfn.XLOOKUP(F242,Proveedores!A:A,Proveedores!F:F,0)*H242,0)))</f>
        <v>0</v>
      </c>
      <c r="R242" s="1134" t="e">
        <f t="shared" si="174"/>
        <v>#VALUE!</v>
      </c>
      <c r="S242" s="743"/>
      <c r="T242" s="1034" t="e">
        <f t="shared" si="161"/>
        <v>#N/A</v>
      </c>
      <c r="U242" s="1034" t="e">
        <f t="shared" si="175"/>
        <v>#N/A</v>
      </c>
      <c r="V242" s="1165" t="e">
        <f t="shared" si="162"/>
        <v>#N/A</v>
      </c>
      <c r="W242" s="1034" t="e">
        <f t="shared" si="176"/>
        <v>#N/A</v>
      </c>
      <c r="X242" s="1034" t="b">
        <f t="shared" si="177"/>
        <v>0</v>
      </c>
      <c r="Y242" s="1034">
        <f t="shared" si="178"/>
        <v>0</v>
      </c>
      <c r="Z242" s="1034">
        <f t="shared" si="179"/>
        <v>0</v>
      </c>
      <c r="AA242" s="1034">
        <f t="shared" si="163"/>
        <v>0</v>
      </c>
      <c r="AB242" s="1034">
        <f t="shared" si="164"/>
        <v>0</v>
      </c>
      <c r="AC242" s="1033">
        <f t="shared" si="180"/>
        <v>0</v>
      </c>
      <c r="AD242" s="1266">
        <f t="shared" si="165"/>
        <v>0</v>
      </c>
      <c r="AE242" s="1093">
        <f t="shared" si="181"/>
        <v>0</v>
      </c>
      <c r="AF242" s="1093">
        <f t="shared" si="182"/>
        <v>0</v>
      </c>
      <c r="AG242" s="1093">
        <f t="shared" si="166"/>
        <v>0</v>
      </c>
      <c r="AH242" s="1033" t="e">
        <f t="shared" si="167"/>
        <v>#DIV/0!</v>
      </c>
      <c r="AI242" s="1091">
        <f t="shared" si="168"/>
        <v>0</v>
      </c>
      <c r="AJ242" s="1094">
        <f t="shared" si="169"/>
        <v>0</v>
      </c>
      <c r="AK242" s="1053" t="str">
        <f t="shared" si="170"/>
        <v/>
      </c>
      <c r="AL242" s="1053"/>
      <c r="AM242" s="1290">
        <f>_xlfn.XLOOKUP(F242,Proveedores!A:A,Proveedores!G:G)</f>
        <v>0</v>
      </c>
      <c r="AN242" s="1095" t="str">
        <f t="shared" si="183"/>
        <v>OK</v>
      </c>
    </row>
    <row r="243" spans="1:40" ht="15.95">
      <c r="A243" s="1090" t="b">
        <f t="shared" si="158"/>
        <v>1</v>
      </c>
      <c r="B243" s="1091" t="b">
        <f t="shared" si="171"/>
        <v>1</v>
      </c>
      <c r="C243" s="1092" t="str">
        <f t="shared" si="172"/>
        <v>Dólares</v>
      </c>
      <c r="D243" s="15"/>
      <c r="E243" s="743"/>
      <c r="F243" s="17"/>
      <c r="G243" s="17" t="str">
        <f t="shared" si="159"/>
        <v xml:space="preserve"> </v>
      </c>
      <c r="H243" s="12">
        <v>0</v>
      </c>
      <c r="I243" s="16" t="str">
        <f>IFERROR(VLOOKUP(G243,Proveedores!B:C,2,0)," ")</f>
        <v xml:space="preserve"> </v>
      </c>
      <c r="J243" s="745">
        <v>0</v>
      </c>
      <c r="K243" s="745" t="str">
        <f t="shared" si="160"/>
        <v>Not Found</v>
      </c>
      <c r="L243" s="16">
        <f>IF(K243="Importado",Fletes!$B$66,0%)</f>
        <v>0</v>
      </c>
      <c r="M243" s="745">
        <f t="shared" si="173"/>
        <v>0</v>
      </c>
      <c r="N243" s="16">
        <f>IF(K243&lt;&gt;"Importado",0%,IF(Fletes!$B$67&lt;10,15%,IF(Fletes!$B$67&lt;20,10%,5%)))</f>
        <v>0</v>
      </c>
      <c r="O243" s="745" t="str">
        <f>IFERROR(IF(OR(F243="Offiho",F243="Lauco Sofas",F243="Requiez",F243="Labenze",F243="Sunon Mty",F243="Sonara"),(M243*(1-_xlfn.XLOOKUP(F243,Proveedores!A:A,Proveedores!I:I)))*(1+N243),((M243*(1-_xlfn.XLOOKUP(F243,Proveedores!A:A,Proveedores!I:I)))*(1+N243))+U243),"")</f>
        <v/>
      </c>
      <c r="P243" s="1031"/>
      <c r="Q243" s="1133">
        <f>IF(K243&lt;&gt;"Importado",0,IF(P243&gt;0,P243*H243,IFERROR(_xlfn.XLOOKUP(F243,Proveedores!A:A,Proveedores!F:F,0)*H243,0)))</f>
        <v>0</v>
      </c>
      <c r="R243" s="1134" t="e">
        <f t="shared" si="174"/>
        <v>#VALUE!</v>
      </c>
      <c r="S243" s="743"/>
      <c r="T243" s="1034" t="e">
        <f t="shared" si="161"/>
        <v>#N/A</v>
      </c>
      <c r="U243" s="1034" t="e">
        <f t="shared" si="175"/>
        <v>#N/A</v>
      </c>
      <c r="V243" s="1165" t="e">
        <f t="shared" si="162"/>
        <v>#N/A</v>
      </c>
      <c r="W243" s="1034" t="e">
        <f t="shared" si="176"/>
        <v>#N/A</v>
      </c>
      <c r="X243" s="1034" t="b">
        <f t="shared" si="177"/>
        <v>0</v>
      </c>
      <c r="Y243" s="1034">
        <f t="shared" si="178"/>
        <v>0</v>
      </c>
      <c r="Z243" s="1034">
        <f t="shared" si="179"/>
        <v>0</v>
      </c>
      <c r="AA243" s="1034">
        <f t="shared" si="163"/>
        <v>0</v>
      </c>
      <c r="AB243" s="1034">
        <f t="shared" si="164"/>
        <v>0</v>
      </c>
      <c r="AC243" s="1033">
        <f t="shared" si="180"/>
        <v>0</v>
      </c>
      <c r="AD243" s="1266">
        <f t="shared" si="165"/>
        <v>0</v>
      </c>
      <c r="AE243" s="1093">
        <f t="shared" si="181"/>
        <v>0</v>
      </c>
      <c r="AF243" s="1093">
        <f t="shared" si="182"/>
        <v>0</v>
      </c>
      <c r="AG243" s="1093">
        <f t="shared" si="166"/>
        <v>0</v>
      </c>
      <c r="AH243" s="1033" t="e">
        <f t="shared" si="167"/>
        <v>#DIV/0!</v>
      </c>
      <c r="AI243" s="1091">
        <f t="shared" si="168"/>
        <v>0</v>
      </c>
      <c r="AJ243" s="1094">
        <f t="shared" si="169"/>
        <v>0</v>
      </c>
      <c r="AK243" s="1053" t="str">
        <f t="shared" si="170"/>
        <v/>
      </c>
      <c r="AL243" s="1053"/>
      <c r="AM243" s="1290">
        <f>_xlfn.XLOOKUP(F243,Proveedores!A:A,Proveedores!G:G)</f>
        <v>0</v>
      </c>
      <c r="AN243" s="1095" t="str">
        <f t="shared" si="183"/>
        <v>OK</v>
      </c>
    </row>
    <row r="244" spans="1:40" ht="15.95">
      <c r="A244" s="1090" t="b">
        <f t="shared" si="158"/>
        <v>1</v>
      </c>
      <c r="B244" s="1091" t="b">
        <f t="shared" si="171"/>
        <v>1</v>
      </c>
      <c r="C244" s="1092" t="str">
        <f t="shared" si="172"/>
        <v>Dólares</v>
      </c>
      <c r="D244" s="15"/>
      <c r="E244" s="743"/>
      <c r="F244" s="17"/>
      <c r="G244" s="17" t="str">
        <f t="shared" si="159"/>
        <v xml:space="preserve"> </v>
      </c>
      <c r="H244" s="12">
        <v>0</v>
      </c>
      <c r="I244" s="16" t="str">
        <f>IFERROR(VLOOKUP(G244,Proveedores!B:C,2,0)," ")</f>
        <v xml:space="preserve"> </v>
      </c>
      <c r="J244" s="745">
        <v>0</v>
      </c>
      <c r="K244" s="745" t="str">
        <f t="shared" si="160"/>
        <v>Not Found</v>
      </c>
      <c r="L244" s="16">
        <f>IF(K244="Importado",Fletes!$B$66,0%)</f>
        <v>0</v>
      </c>
      <c r="M244" s="745">
        <f t="shared" si="173"/>
        <v>0</v>
      </c>
      <c r="N244" s="16">
        <f>IF(K244&lt;&gt;"Importado",0%,IF(Fletes!$B$67&lt;10,15%,IF(Fletes!$B$67&lt;20,10%,5%)))</f>
        <v>0</v>
      </c>
      <c r="O244" s="745" t="str">
        <f>IFERROR(IF(OR(F244="Offiho",F244="Lauco Sofas",F244="Requiez",F244="Labenze",F244="Sunon Mty",F244="Sonara"),(M244*(1-_xlfn.XLOOKUP(F244,Proveedores!A:A,Proveedores!I:I)))*(1+N244),((M244*(1-_xlfn.XLOOKUP(F244,Proveedores!A:A,Proveedores!I:I)))*(1+N244))+U244),"")</f>
        <v/>
      </c>
      <c r="P244" s="1031"/>
      <c r="Q244" s="1133">
        <f>IF(K244&lt;&gt;"Importado",0,IF(P244&gt;0,P244*H244,IFERROR(_xlfn.XLOOKUP(F244,Proveedores!A:A,Proveedores!F:F,0)*H244,0)))</f>
        <v>0</v>
      </c>
      <c r="R244" s="1134" t="e">
        <f t="shared" si="174"/>
        <v>#VALUE!</v>
      </c>
      <c r="S244" s="743"/>
      <c r="T244" s="1034" t="e">
        <f t="shared" si="161"/>
        <v>#N/A</v>
      </c>
      <c r="U244" s="1034" t="e">
        <f t="shared" si="175"/>
        <v>#N/A</v>
      </c>
      <c r="V244" s="1165" t="e">
        <f t="shared" si="162"/>
        <v>#N/A</v>
      </c>
      <c r="W244" s="1034" t="e">
        <f t="shared" si="176"/>
        <v>#N/A</v>
      </c>
      <c r="X244" s="1034" t="b">
        <f t="shared" si="177"/>
        <v>0</v>
      </c>
      <c r="Y244" s="1034">
        <f t="shared" si="178"/>
        <v>0</v>
      </c>
      <c r="Z244" s="1034">
        <f t="shared" si="179"/>
        <v>0</v>
      </c>
      <c r="AA244" s="1034">
        <f t="shared" si="163"/>
        <v>0</v>
      </c>
      <c r="AB244" s="1034">
        <f t="shared" si="164"/>
        <v>0</v>
      </c>
      <c r="AC244" s="1033">
        <f t="shared" si="180"/>
        <v>0</v>
      </c>
      <c r="AD244" s="1266">
        <f t="shared" si="165"/>
        <v>0</v>
      </c>
      <c r="AE244" s="1093">
        <f t="shared" si="181"/>
        <v>0</v>
      </c>
      <c r="AF244" s="1093">
        <f t="shared" si="182"/>
        <v>0</v>
      </c>
      <c r="AG244" s="1093">
        <f t="shared" si="166"/>
        <v>0</v>
      </c>
      <c r="AH244" s="1033" t="e">
        <f t="shared" si="167"/>
        <v>#DIV/0!</v>
      </c>
      <c r="AI244" s="1091">
        <f t="shared" si="168"/>
        <v>0</v>
      </c>
      <c r="AJ244" s="1094">
        <f t="shared" si="169"/>
        <v>0</v>
      </c>
      <c r="AK244" s="1053" t="str">
        <f t="shared" si="170"/>
        <v/>
      </c>
      <c r="AL244" s="1053"/>
      <c r="AM244" s="1290">
        <f>_xlfn.XLOOKUP(F244,Proveedores!A:A,Proveedores!G:G)</f>
        <v>0</v>
      </c>
      <c r="AN244" s="1095" t="str">
        <f t="shared" si="183"/>
        <v>OK</v>
      </c>
    </row>
    <row r="245" spans="1:40" ht="15.95">
      <c r="A245" s="1090" t="b">
        <f t="shared" si="158"/>
        <v>1</v>
      </c>
      <c r="B245" s="1091" t="b">
        <f t="shared" si="171"/>
        <v>1</v>
      </c>
      <c r="C245" s="1092" t="str">
        <f t="shared" si="172"/>
        <v>Dólares</v>
      </c>
      <c r="D245" s="15"/>
      <c r="E245" s="743"/>
      <c r="F245" s="17"/>
      <c r="G245" s="17" t="str">
        <f t="shared" si="159"/>
        <v xml:space="preserve"> </v>
      </c>
      <c r="H245" s="12">
        <v>0</v>
      </c>
      <c r="I245" s="16" t="str">
        <f>IFERROR(VLOOKUP(G245,Proveedores!B:C,2,0)," ")</f>
        <v xml:space="preserve"> </v>
      </c>
      <c r="J245" s="745">
        <v>0</v>
      </c>
      <c r="K245" s="745" t="str">
        <f t="shared" si="160"/>
        <v>Not Found</v>
      </c>
      <c r="L245" s="16">
        <f>IF(K245="Importado",Fletes!$B$66,0%)</f>
        <v>0</v>
      </c>
      <c r="M245" s="745">
        <f t="shared" si="173"/>
        <v>0</v>
      </c>
      <c r="N245" s="16">
        <f>IF(K245&lt;&gt;"Importado",0%,IF(Fletes!$B$67&lt;10,15%,IF(Fletes!$B$67&lt;20,10%,5%)))</f>
        <v>0</v>
      </c>
      <c r="O245" s="745" t="str">
        <f>IFERROR(IF(OR(F245="Offiho",F245="Lauco Sofas",F245="Requiez",F245="Labenze",F245="Sunon Mty",F245="Sonara"),(M245*(1-_xlfn.XLOOKUP(F245,Proveedores!A:A,Proveedores!I:I)))*(1+N245),((M245*(1-_xlfn.XLOOKUP(F245,Proveedores!A:A,Proveedores!I:I)))*(1+N245))+U245),"")</f>
        <v/>
      </c>
      <c r="P245" s="1031"/>
      <c r="Q245" s="1133">
        <f>IF(K245&lt;&gt;"Importado",0,IF(P245&gt;0,P245*H245,IFERROR(_xlfn.XLOOKUP(F245,Proveedores!A:A,Proveedores!F:F,0)*H245,0)))</f>
        <v>0</v>
      </c>
      <c r="R245" s="1134" t="e">
        <f t="shared" si="174"/>
        <v>#VALUE!</v>
      </c>
      <c r="S245" s="743"/>
      <c r="T245" s="1034" t="e">
        <f t="shared" si="161"/>
        <v>#N/A</v>
      </c>
      <c r="U245" s="1034" t="e">
        <f t="shared" si="175"/>
        <v>#N/A</v>
      </c>
      <c r="V245" s="1165" t="e">
        <f t="shared" si="162"/>
        <v>#N/A</v>
      </c>
      <c r="W245" s="1034" t="e">
        <f t="shared" si="176"/>
        <v>#N/A</v>
      </c>
      <c r="X245" s="1034" t="b">
        <f t="shared" si="177"/>
        <v>0</v>
      </c>
      <c r="Y245" s="1034">
        <f t="shared" si="178"/>
        <v>0</v>
      </c>
      <c r="Z245" s="1034">
        <f t="shared" si="179"/>
        <v>0</v>
      </c>
      <c r="AA245" s="1034">
        <f t="shared" si="163"/>
        <v>0</v>
      </c>
      <c r="AB245" s="1034">
        <f t="shared" si="164"/>
        <v>0</v>
      </c>
      <c r="AC245" s="1033">
        <f t="shared" si="180"/>
        <v>0</v>
      </c>
      <c r="AD245" s="1266">
        <f t="shared" si="165"/>
        <v>0</v>
      </c>
      <c r="AE245" s="1093">
        <f t="shared" si="181"/>
        <v>0</v>
      </c>
      <c r="AF245" s="1093">
        <f t="shared" si="182"/>
        <v>0</v>
      </c>
      <c r="AG245" s="1093">
        <f t="shared" si="166"/>
        <v>0</v>
      </c>
      <c r="AH245" s="1033" t="e">
        <f t="shared" si="167"/>
        <v>#DIV/0!</v>
      </c>
      <c r="AI245" s="1091">
        <f t="shared" si="168"/>
        <v>0</v>
      </c>
      <c r="AJ245" s="1094">
        <f t="shared" si="169"/>
        <v>0</v>
      </c>
      <c r="AK245" s="1053" t="str">
        <f t="shared" si="170"/>
        <v/>
      </c>
      <c r="AL245" s="1053"/>
      <c r="AM245" s="1290">
        <f>_xlfn.XLOOKUP(F245,Proveedores!A:A,Proveedores!G:G)</f>
        <v>0</v>
      </c>
      <c r="AN245" s="1095" t="str">
        <f t="shared" si="183"/>
        <v>OK</v>
      </c>
    </row>
    <row r="246" spans="1:40" ht="15.95">
      <c r="A246" s="1090" t="b">
        <f t="shared" si="158"/>
        <v>1</v>
      </c>
      <c r="B246" s="1091" t="b">
        <f t="shared" si="171"/>
        <v>1</v>
      </c>
      <c r="C246" s="1092" t="str">
        <f t="shared" si="172"/>
        <v>Dólares</v>
      </c>
      <c r="D246" s="15"/>
      <c r="E246" s="743"/>
      <c r="F246" s="17"/>
      <c r="G246" s="17" t="str">
        <f t="shared" si="159"/>
        <v xml:space="preserve"> </v>
      </c>
      <c r="H246" s="12">
        <v>0</v>
      </c>
      <c r="I246" s="16" t="str">
        <f>IFERROR(VLOOKUP(G246,Proveedores!B:C,2,0)," ")</f>
        <v xml:space="preserve"> </v>
      </c>
      <c r="J246" s="745">
        <v>0</v>
      </c>
      <c r="K246" s="745" t="str">
        <f t="shared" si="160"/>
        <v>Not Found</v>
      </c>
      <c r="L246" s="16">
        <f>IF(K246="Importado",Fletes!$B$66,0%)</f>
        <v>0</v>
      </c>
      <c r="M246" s="745">
        <f t="shared" si="173"/>
        <v>0</v>
      </c>
      <c r="N246" s="16">
        <f>IF(K246&lt;&gt;"Importado",0%,IF(Fletes!$B$67&lt;10,15%,IF(Fletes!$B$67&lt;20,10%,5%)))</f>
        <v>0</v>
      </c>
      <c r="O246" s="745" t="str">
        <f>IFERROR(IF(OR(F246="Offiho",F246="Lauco Sofas",F246="Requiez",F246="Labenze",F246="Sunon Mty",F246="Sonara"),(M246*(1-_xlfn.XLOOKUP(F246,Proveedores!A:A,Proveedores!I:I)))*(1+N246),((M246*(1-_xlfn.XLOOKUP(F246,Proveedores!A:A,Proveedores!I:I)))*(1+N246))+U246),"")</f>
        <v/>
      </c>
      <c r="P246" s="1031"/>
      <c r="Q246" s="1133">
        <f>IF(K246&lt;&gt;"Importado",0,IF(P246&gt;0,P246*H246,IFERROR(_xlfn.XLOOKUP(F246,Proveedores!A:A,Proveedores!F:F,0)*H246,0)))</f>
        <v>0</v>
      </c>
      <c r="R246" s="1134" t="e">
        <f t="shared" si="174"/>
        <v>#VALUE!</v>
      </c>
      <c r="S246" s="743"/>
      <c r="T246" s="1034" t="e">
        <f t="shared" si="161"/>
        <v>#N/A</v>
      </c>
      <c r="U246" s="1034" t="e">
        <f t="shared" si="175"/>
        <v>#N/A</v>
      </c>
      <c r="V246" s="1165" t="e">
        <f t="shared" si="162"/>
        <v>#N/A</v>
      </c>
      <c r="W246" s="1034" t="e">
        <f t="shared" si="176"/>
        <v>#N/A</v>
      </c>
      <c r="X246" s="1034" t="b">
        <f t="shared" si="177"/>
        <v>0</v>
      </c>
      <c r="Y246" s="1034">
        <f t="shared" si="178"/>
        <v>0</v>
      </c>
      <c r="Z246" s="1034">
        <f t="shared" si="179"/>
        <v>0</v>
      </c>
      <c r="AA246" s="1034">
        <f t="shared" si="163"/>
        <v>0</v>
      </c>
      <c r="AB246" s="1034">
        <f t="shared" si="164"/>
        <v>0</v>
      </c>
      <c r="AC246" s="1033">
        <f t="shared" si="180"/>
        <v>0</v>
      </c>
      <c r="AD246" s="1266">
        <f t="shared" si="165"/>
        <v>0</v>
      </c>
      <c r="AE246" s="1093">
        <f t="shared" si="181"/>
        <v>0</v>
      </c>
      <c r="AF246" s="1093">
        <f t="shared" si="182"/>
        <v>0</v>
      </c>
      <c r="AG246" s="1093">
        <f t="shared" si="166"/>
        <v>0</v>
      </c>
      <c r="AH246" s="1033" t="e">
        <f t="shared" si="167"/>
        <v>#DIV/0!</v>
      </c>
      <c r="AI246" s="1091">
        <f t="shared" si="168"/>
        <v>0</v>
      </c>
      <c r="AJ246" s="1094">
        <f t="shared" si="169"/>
        <v>0</v>
      </c>
      <c r="AK246" s="1053" t="str">
        <f t="shared" si="170"/>
        <v/>
      </c>
      <c r="AL246" s="1053"/>
      <c r="AM246" s="1290">
        <f>_xlfn.XLOOKUP(F246,Proveedores!A:A,Proveedores!G:G)</f>
        <v>0</v>
      </c>
      <c r="AN246" s="1095" t="str">
        <f t="shared" si="183"/>
        <v>OK</v>
      </c>
    </row>
    <row r="247" spans="1:40" ht="15.95">
      <c r="A247" s="1090" t="b">
        <f t="shared" si="158"/>
        <v>1</v>
      </c>
      <c r="B247" s="1091" t="b">
        <f t="shared" si="171"/>
        <v>1</v>
      </c>
      <c r="C247" s="1092" t="str">
        <f t="shared" si="172"/>
        <v>Dólares</v>
      </c>
      <c r="D247" s="14"/>
      <c r="E247" s="743"/>
      <c r="F247" s="17"/>
      <c r="G247" s="17" t="str">
        <f t="shared" si="159"/>
        <v xml:space="preserve"> </v>
      </c>
      <c r="H247" s="12">
        <v>0</v>
      </c>
      <c r="I247" s="16" t="str">
        <f>IFERROR(VLOOKUP(G247,Proveedores!B:C,2,0)," ")</f>
        <v xml:space="preserve"> </v>
      </c>
      <c r="J247" s="745">
        <v>0</v>
      </c>
      <c r="K247" s="745" t="str">
        <f t="shared" si="160"/>
        <v>Not Found</v>
      </c>
      <c r="L247" s="16">
        <f>IF(K247="Importado",Fletes!$B$66,0%)</f>
        <v>0</v>
      </c>
      <c r="M247" s="745">
        <f t="shared" si="173"/>
        <v>0</v>
      </c>
      <c r="N247" s="16">
        <f>IF(K247&lt;&gt;"Importado",0%,IF(Fletes!$B$67&lt;10,15%,IF(Fletes!$B$67&lt;20,10%,5%)))</f>
        <v>0</v>
      </c>
      <c r="O247" s="745" t="str">
        <f>IFERROR(IF(OR(F247="Offiho",F247="Lauco Sofas",F247="Requiez",F247="Labenze",F247="Sunon Mty",F247="Sonara"),(M247*(1-_xlfn.XLOOKUP(F247,Proveedores!A:A,Proveedores!I:I)))*(1+N247),((M247*(1-_xlfn.XLOOKUP(F247,Proveedores!A:A,Proveedores!I:I)))*(1+N247))+U247),"")</f>
        <v/>
      </c>
      <c r="P247" s="1031"/>
      <c r="Q247" s="1133">
        <f>IF(K247&lt;&gt;"Importado",0,IF(P247&gt;0,P247*H247,IFERROR(_xlfn.XLOOKUP(F247,Proveedores!A:A,Proveedores!F:F,0)*H247,0)))</f>
        <v>0</v>
      </c>
      <c r="R247" s="1134" t="e">
        <f t="shared" si="174"/>
        <v>#VALUE!</v>
      </c>
      <c r="S247" s="743"/>
      <c r="T247" s="1034" t="e">
        <f t="shared" si="161"/>
        <v>#N/A</v>
      </c>
      <c r="U247" s="1034" t="e">
        <f t="shared" si="175"/>
        <v>#N/A</v>
      </c>
      <c r="V247" s="1165" t="e">
        <f t="shared" si="162"/>
        <v>#N/A</v>
      </c>
      <c r="W247" s="1034" t="e">
        <f t="shared" si="176"/>
        <v>#N/A</v>
      </c>
      <c r="X247" s="1034" t="b">
        <f t="shared" si="177"/>
        <v>0</v>
      </c>
      <c r="Y247" s="1034">
        <f t="shared" si="178"/>
        <v>0</v>
      </c>
      <c r="Z247" s="1034">
        <f t="shared" si="179"/>
        <v>0</v>
      </c>
      <c r="AA247" s="1034">
        <f t="shared" si="163"/>
        <v>0</v>
      </c>
      <c r="AB247" s="1034">
        <f t="shared" si="164"/>
        <v>0</v>
      </c>
      <c r="AC247" s="1033">
        <f t="shared" si="180"/>
        <v>0</v>
      </c>
      <c r="AD247" s="1266">
        <f t="shared" si="165"/>
        <v>0</v>
      </c>
      <c r="AE247" s="1093">
        <f t="shared" si="181"/>
        <v>0</v>
      </c>
      <c r="AF247" s="1093">
        <f t="shared" si="182"/>
        <v>0</v>
      </c>
      <c r="AG247" s="1093">
        <f t="shared" si="166"/>
        <v>0</v>
      </c>
      <c r="AH247" s="1033" t="e">
        <f t="shared" si="167"/>
        <v>#DIV/0!</v>
      </c>
      <c r="AI247" s="1091">
        <f t="shared" si="168"/>
        <v>0</v>
      </c>
      <c r="AJ247" s="1094">
        <f t="shared" si="169"/>
        <v>0</v>
      </c>
      <c r="AK247" s="1053" t="str">
        <f t="shared" si="170"/>
        <v/>
      </c>
      <c r="AL247" s="1053"/>
      <c r="AM247" s="1290">
        <f>_xlfn.XLOOKUP(F247,Proveedores!A:A,Proveedores!G:G)</f>
        <v>0</v>
      </c>
      <c r="AN247" s="1095" t="str">
        <f t="shared" si="183"/>
        <v>OK</v>
      </c>
    </row>
    <row r="248" spans="1:40" ht="15.95">
      <c r="A248" s="1090" t="b">
        <f t="shared" si="158"/>
        <v>1</v>
      </c>
      <c r="B248" s="1091" t="b">
        <f t="shared" si="171"/>
        <v>1</v>
      </c>
      <c r="C248" s="1092" t="str">
        <f t="shared" si="172"/>
        <v>Dólares</v>
      </c>
      <c r="D248" s="14"/>
      <c r="E248" s="743"/>
      <c r="F248" s="17"/>
      <c r="G248" s="17" t="str">
        <f t="shared" si="159"/>
        <v xml:space="preserve"> </v>
      </c>
      <c r="H248" s="12">
        <v>0</v>
      </c>
      <c r="I248" s="16" t="str">
        <f>IFERROR(VLOOKUP(G248,Proveedores!B:C,2,0)," ")</f>
        <v xml:space="preserve"> </v>
      </c>
      <c r="J248" s="745">
        <v>0</v>
      </c>
      <c r="K248" s="745" t="str">
        <f t="shared" si="160"/>
        <v>Not Found</v>
      </c>
      <c r="L248" s="16">
        <f>IF(K248="Importado",Fletes!$B$66,0%)</f>
        <v>0</v>
      </c>
      <c r="M248" s="745">
        <f t="shared" si="173"/>
        <v>0</v>
      </c>
      <c r="N248" s="16">
        <f>IF(K248&lt;&gt;"Importado",0%,IF(Fletes!$B$67&lt;10,15%,IF(Fletes!$B$67&lt;20,10%,5%)))</f>
        <v>0</v>
      </c>
      <c r="O248" s="745" t="str">
        <f>IFERROR(IF(OR(F248="Offiho",F248="Lauco Sofas",F248="Requiez",F248="Labenze",F248="Sunon Mty",F248="Sonara"),(M248*(1-_xlfn.XLOOKUP(F248,Proveedores!A:A,Proveedores!I:I)))*(1+N248),((M248*(1-_xlfn.XLOOKUP(F248,Proveedores!A:A,Proveedores!I:I)))*(1+N248))+U248),"")</f>
        <v/>
      </c>
      <c r="P248" s="1031"/>
      <c r="Q248" s="1133">
        <f>IF(K248&lt;&gt;"Importado",0,IF(P248&gt;0,P248*H248,IFERROR(_xlfn.XLOOKUP(F248,Proveedores!A:A,Proveedores!F:F,0)*H248,0)))</f>
        <v>0</v>
      </c>
      <c r="R248" s="1134" t="e">
        <f t="shared" si="174"/>
        <v>#VALUE!</v>
      </c>
      <c r="S248" s="743"/>
      <c r="T248" s="1034" t="e">
        <f t="shared" si="161"/>
        <v>#N/A</v>
      </c>
      <c r="U248" s="1034" t="e">
        <f t="shared" si="175"/>
        <v>#N/A</v>
      </c>
      <c r="V248" s="1165" t="e">
        <f t="shared" si="162"/>
        <v>#N/A</v>
      </c>
      <c r="W248" s="1034" t="e">
        <f t="shared" si="176"/>
        <v>#N/A</v>
      </c>
      <c r="X248" s="1034" t="b">
        <f t="shared" si="177"/>
        <v>0</v>
      </c>
      <c r="Y248" s="1034">
        <f t="shared" si="178"/>
        <v>0</v>
      </c>
      <c r="Z248" s="1034">
        <f t="shared" si="179"/>
        <v>0</v>
      </c>
      <c r="AA248" s="1034">
        <f t="shared" si="163"/>
        <v>0</v>
      </c>
      <c r="AB248" s="1034">
        <f t="shared" si="164"/>
        <v>0</v>
      </c>
      <c r="AC248" s="1033">
        <f t="shared" si="180"/>
        <v>0</v>
      </c>
      <c r="AD248" s="1266">
        <f t="shared" si="165"/>
        <v>0</v>
      </c>
      <c r="AE248" s="1093">
        <f t="shared" si="181"/>
        <v>0</v>
      </c>
      <c r="AF248" s="1093">
        <f t="shared" si="182"/>
        <v>0</v>
      </c>
      <c r="AG248" s="1093">
        <f t="shared" si="166"/>
        <v>0</v>
      </c>
      <c r="AH248" s="1033" t="e">
        <f t="shared" si="167"/>
        <v>#DIV/0!</v>
      </c>
      <c r="AI248" s="1091">
        <f t="shared" si="168"/>
        <v>0</v>
      </c>
      <c r="AJ248" s="1094">
        <f t="shared" si="169"/>
        <v>0</v>
      </c>
      <c r="AK248" s="1053" t="str">
        <f t="shared" si="170"/>
        <v/>
      </c>
      <c r="AL248" s="1053"/>
      <c r="AM248" s="1290">
        <f>_xlfn.XLOOKUP(F248,Proveedores!A:A,Proveedores!G:G)</f>
        <v>0</v>
      </c>
      <c r="AN248" s="1095" t="str">
        <f t="shared" si="183"/>
        <v>OK</v>
      </c>
    </row>
    <row r="249" spans="1:40" ht="15.95">
      <c r="A249" s="1090" t="b">
        <f t="shared" si="158"/>
        <v>1</v>
      </c>
      <c r="B249" s="1091" t="b">
        <f t="shared" si="171"/>
        <v>1</v>
      </c>
      <c r="C249" s="1092" t="str">
        <f t="shared" si="172"/>
        <v>Dólares</v>
      </c>
      <c r="D249" s="14"/>
      <c r="E249" s="743"/>
      <c r="F249" s="17"/>
      <c r="G249" s="17" t="str">
        <f t="shared" si="159"/>
        <v xml:space="preserve"> </v>
      </c>
      <c r="H249" s="12">
        <v>0</v>
      </c>
      <c r="I249" s="16" t="str">
        <f>IFERROR(VLOOKUP(G249,Proveedores!B:C,2,0)," ")</f>
        <v xml:space="preserve"> </v>
      </c>
      <c r="J249" s="745">
        <v>0</v>
      </c>
      <c r="K249" s="745" t="str">
        <f t="shared" si="160"/>
        <v>Not Found</v>
      </c>
      <c r="L249" s="16">
        <f>IF(K249="Importado",Fletes!$B$66,0%)</f>
        <v>0</v>
      </c>
      <c r="M249" s="745">
        <f t="shared" si="173"/>
        <v>0</v>
      </c>
      <c r="N249" s="16">
        <f>IF(K249&lt;&gt;"Importado",0%,IF(Fletes!$B$67&lt;10,15%,IF(Fletes!$B$67&lt;20,10%,5%)))</f>
        <v>0</v>
      </c>
      <c r="O249" s="745" t="str">
        <f>IFERROR(IF(OR(F249="Offiho",F249="Lauco Sofas",F249="Requiez",F249="Labenze",F249="Sunon Mty",F249="Sonara"),(M249*(1-_xlfn.XLOOKUP(F249,Proveedores!A:A,Proveedores!I:I)))*(1+N249),((M249*(1-_xlfn.XLOOKUP(F249,Proveedores!A:A,Proveedores!I:I)))*(1+N249))+U249),"")</f>
        <v/>
      </c>
      <c r="P249" s="1031"/>
      <c r="Q249" s="1133">
        <f>IF(K249&lt;&gt;"Importado",0,IF(P249&gt;0,P249*H249,IFERROR(_xlfn.XLOOKUP(F249,Proveedores!A:A,Proveedores!F:F,0)*H249,0)))</f>
        <v>0</v>
      </c>
      <c r="R249" s="1134" t="e">
        <f t="shared" si="174"/>
        <v>#VALUE!</v>
      </c>
      <c r="S249" s="743"/>
      <c r="T249" s="1034" t="e">
        <f t="shared" si="161"/>
        <v>#N/A</v>
      </c>
      <c r="U249" s="1034" t="e">
        <f t="shared" si="175"/>
        <v>#N/A</v>
      </c>
      <c r="V249" s="1165" t="e">
        <f t="shared" si="162"/>
        <v>#N/A</v>
      </c>
      <c r="W249" s="1034" t="e">
        <f t="shared" si="176"/>
        <v>#N/A</v>
      </c>
      <c r="X249" s="1034" t="b">
        <f t="shared" si="177"/>
        <v>0</v>
      </c>
      <c r="Y249" s="1034">
        <f t="shared" si="178"/>
        <v>0</v>
      </c>
      <c r="Z249" s="1034">
        <f t="shared" si="179"/>
        <v>0</v>
      </c>
      <c r="AA249" s="1034">
        <f t="shared" si="163"/>
        <v>0</v>
      </c>
      <c r="AB249" s="1034">
        <f t="shared" si="164"/>
        <v>0</v>
      </c>
      <c r="AC249" s="1033">
        <f t="shared" si="180"/>
        <v>0</v>
      </c>
      <c r="AD249" s="1266">
        <f t="shared" si="165"/>
        <v>0</v>
      </c>
      <c r="AE249" s="1093">
        <f t="shared" si="181"/>
        <v>0</v>
      </c>
      <c r="AF249" s="1093">
        <f t="shared" si="182"/>
        <v>0</v>
      </c>
      <c r="AG249" s="1093">
        <f t="shared" si="166"/>
        <v>0</v>
      </c>
      <c r="AH249" s="1033" t="e">
        <f t="shared" si="167"/>
        <v>#DIV/0!</v>
      </c>
      <c r="AI249" s="1091">
        <f t="shared" si="168"/>
        <v>0</v>
      </c>
      <c r="AJ249" s="1094">
        <f t="shared" si="169"/>
        <v>0</v>
      </c>
      <c r="AK249" s="1053" t="str">
        <f t="shared" si="170"/>
        <v/>
      </c>
      <c r="AL249" s="1053"/>
      <c r="AM249" s="1290">
        <f>_xlfn.XLOOKUP(F249,Proveedores!A:A,Proveedores!G:G)</f>
        <v>0</v>
      </c>
      <c r="AN249" s="1095" t="str">
        <f t="shared" si="183"/>
        <v>OK</v>
      </c>
    </row>
    <row r="250" spans="1:40" ht="15.95">
      <c r="A250" s="1090" t="b">
        <f t="shared" si="158"/>
        <v>1</v>
      </c>
      <c r="B250" s="1091" t="b">
        <f t="shared" si="171"/>
        <v>1</v>
      </c>
      <c r="C250" s="1092" t="str">
        <f t="shared" si="172"/>
        <v>Dólares</v>
      </c>
      <c r="D250" s="15"/>
      <c r="E250" s="743"/>
      <c r="F250" s="17"/>
      <c r="G250" s="17" t="str">
        <f t="shared" si="159"/>
        <v xml:space="preserve"> </v>
      </c>
      <c r="H250" s="12">
        <v>0</v>
      </c>
      <c r="I250" s="16" t="str">
        <f>IFERROR(VLOOKUP(G250,Proveedores!B:C,2,0)," ")</f>
        <v xml:space="preserve"> </v>
      </c>
      <c r="J250" s="745">
        <v>0</v>
      </c>
      <c r="K250" s="745" t="str">
        <f t="shared" si="160"/>
        <v>Not Found</v>
      </c>
      <c r="L250" s="16">
        <f>IF(K250="Importado",Fletes!$B$66,0%)</f>
        <v>0</v>
      </c>
      <c r="M250" s="745">
        <f t="shared" si="173"/>
        <v>0</v>
      </c>
      <c r="N250" s="16">
        <f>IF(K250&lt;&gt;"Importado",0%,IF(Fletes!$B$67&lt;10,15%,IF(Fletes!$B$67&lt;20,10%,5%)))</f>
        <v>0</v>
      </c>
      <c r="O250" s="745" t="str">
        <f>IFERROR(IF(OR(F250="Offiho",F250="Lauco Sofas",F250="Requiez",F250="Labenze",F250="Sunon Mty",F250="Sonara"),(M250*(1-_xlfn.XLOOKUP(F250,Proveedores!A:A,Proveedores!I:I)))*(1+N250),((M250*(1-_xlfn.XLOOKUP(F250,Proveedores!A:A,Proveedores!I:I)))*(1+N250))+U250),"")</f>
        <v/>
      </c>
      <c r="P250" s="1031"/>
      <c r="Q250" s="1133">
        <f>IF(K250&lt;&gt;"Importado",0,IF(P250&gt;0,P250*H250,IFERROR(_xlfn.XLOOKUP(F250,Proveedores!A:A,Proveedores!F:F,0)*H250,0)))</f>
        <v>0</v>
      </c>
      <c r="R250" s="1134" t="e">
        <f t="shared" si="174"/>
        <v>#VALUE!</v>
      </c>
      <c r="S250" s="743"/>
      <c r="T250" s="1034" t="e">
        <f t="shared" si="161"/>
        <v>#N/A</v>
      </c>
      <c r="U250" s="1034" t="e">
        <f t="shared" si="175"/>
        <v>#N/A</v>
      </c>
      <c r="V250" s="1165" t="e">
        <f t="shared" si="162"/>
        <v>#N/A</v>
      </c>
      <c r="W250" s="1034" t="e">
        <f t="shared" si="176"/>
        <v>#N/A</v>
      </c>
      <c r="X250" s="1034" t="b">
        <f t="shared" si="177"/>
        <v>0</v>
      </c>
      <c r="Y250" s="1034">
        <f t="shared" si="178"/>
        <v>0</v>
      </c>
      <c r="Z250" s="1034">
        <f t="shared" si="179"/>
        <v>0</v>
      </c>
      <c r="AA250" s="1034">
        <f t="shared" si="163"/>
        <v>0</v>
      </c>
      <c r="AB250" s="1034">
        <f t="shared" si="164"/>
        <v>0</v>
      </c>
      <c r="AC250" s="1033">
        <f t="shared" si="180"/>
        <v>0</v>
      </c>
      <c r="AD250" s="1266">
        <f t="shared" si="165"/>
        <v>0</v>
      </c>
      <c r="AE250" s="1093">
        <f t="shared" si="181"/>
        <v>0</v>
      </c>
      <c r="AF250" s="1093">
        <f t="shared" si="182"/>
        <v>0</v>
      </c>
      <c r="AG250" s="1093">
        <f t="shared" si="166"/>
        <v>0</v>
      </c>
      <c r="AH250" s="1033" t="e">
        <f t="shared" si="167"/>
        <v>#DIV/0!</v>
      </c>
      <c r="AI250" s="1091">
        <f t="shared" si="168"/>
        <v>0</v>
      </c>
      <c r="AJ250" s="1094">
        <f t="shared" si="169"/>
        <v>0</v>
      </c>
      <c r="AK250" s="1053" t="str">
        <f t="shared" si="170"/>
        <v/>
      </c>
      <c r="AL250" s="1053"/>
      <c r="AM250" s="1290">
        <f>_xlfn.XLOOKUP(F250,Proveedores!A:A,Proveedores!G:G)</f>
        <v>0</v>
      </c>
      <c r="AN250" s="1095" t="str">
        <f t="shared" si="183"/>
        <v>OK</v>
      </c>
    </row>
    <row r="251" spans="1:40" ht="15.95">
      <c r="A251" s="1090" t="b">
        <f t="shared" si="158"/>
        <v>1</v>
      </c>
      <c r="B251" s="1091" t="b">
        <f t="shared" si="171"/>
        <v>1</v>
      </c>
      <c r="C251" s="1092" t="str">
        <f t="shared" si="172"/>
        <v>Dólares</v>
      </c>
      <c r="D251" s="15"/>
      <c r="E251" s="743"/>
      <c r="F251" s="17"/>
      <c r="G251" s="17" t="str">
        <f t="shared" si="159"/>
        <v xml:space="preserve"> </v>
      </c>
      <c r="H251" s="12">
        <v>0</v>
      </c>
      <c r="I251" s="16" t="str">
        <f>IFERROR(VLOOKUP(G251,Proveedores!B:C,2,0)," ")</f>
        <v xml:space="preserve"> </v>
      </c>
      <c r="J251" s="745">
        <v>0</v>
      </c>
      <c r="K251" s="745" t="str">
        <f t="shared" si="160"/>
        <v>Not Found</v>
      </c>
      <c r="L251" s="16">
        <f>IF(K251="Importado",Fletes!$B$66,0%)</f>
        <v>0</v>
      </c>
      <c r="M251" s="745">
        <f t="shared" si="173"/>
        <v>0</v>
      </c>
      <c r="N251" s="16">
        <f>IF(K251&lt;&gt;"Importado",0%,IF(Fletes!$B$67&lt;10,15%,IF(Fletes!$B$67&lt;20,10%,5%)))</f>
        <v>0</v>
      </c>
      <c r="O251" s="745" t="str">
        <f>IFERROR(IF(OR(F251="Offiho",F251="Lauco Sofas",F251="Requiez",F251="Labenze",F251="Sunon Mty",F251="Sonara"),(M251*(1-_xlfn.XLOOKUP(F251,Proveedores!A:A,Proveedores!I:I)))*(1+N251),((M251*(1-_xlfn.XLOOKUP(F251,Proveedores!A:A,Proveedores!I:I)))*(1+N251))+U251),"")</f>
        <v/>
      </c>
      <c r="P251" s="1031"/>
      <c r="Q251" s="1133">
        <f>IF(K251&lt;&gt;"Importado",0,IF(P251&gt;0,P251*H251,IFERROR(_xlfn.XLOOKUP(F251,Proveedores!A:A,Proveedores!F:F,0)*H251,0)))</f>
        <v>0</v>
      </c>
      <c r="R251" s="1134" t="e">
        <f t="shared" si="174"/>
        <v>#VALUE!</v>
      </c>
      <c r="S251" s="743"/>
      <c r="T251" s="1034" t="e">
        <f t="shared" si="161"/>
        <v>#N/A</v>
      </c>
      <c r="U251" s="1034" t="e">
        <f t="shared" si="175"/>
        <v>#N/A</v>
      </c>
      <c r="V251" s="1165" t="e">
        <f t="shared" si="162"/>
        <v>#N/A</v>
      </c>
      <c r="W251" s="1034" t="e">
        <f t="shared" si="176"/>
        <v>#N/A</v>
      </c>
      <c r="X251" s="1034" t="b">
        <f t="shared" si="177"/>
        <v>0</v>
      </c>
      <c r="Y251" s="1034">
        <f t="shared" si="178"/>
        <v>0</v>
      </c>
      <c r="Z251" s="1034">
        <f t="shared" si="179"/>
        <v>0</v>
      </c>
      <c r="AA251" s="1034">
        <f t="shared" si="163"/>
        <v>0</v>
      </c>
      <c r="AB251" s="1034">
        <f t="shared" si="164"/>
        <v>0</v>
      </c>
      <c r="AC251" s="1033">
        <f t="shared" si="180"/>
        <v>0</v>
      </c>
      <c r="AD251" s="1266">
        <f t="shared" si="165"/>
        <v>0</v>
      </c>
      <c r="AE251" s="1093">
        <f t="shared" si="181"/>
        <v>0</v>
      </c>
      <c r="AF251" s="1093">
        <f t="shared" si="182"/>
        <v>0</v>
      </c>
      <c r="AG251" s="1093">
        <f t="shared" si="166"/>
        <v>0</v>
      </c>
      <c r="AH251" s="1033" t="e">
        <f t="shared" si="167"/>
        <v>#DIV/0!</v>
      </c>
      <c r="AI251" s="1091">
        <f t="shared" si="168"/>
        <v>0</v>
      </c>
      <c r="AJ251" s="1094">
        <f t="shared" si="169"/>
        <v>0</v>
      </c>
      <c r="AK251" s="1053" t="str">
        <f t="shared" si="170"/>
        <v/>
      </c>
      <c r="AL251" s="1053"/>
      <c r="AM251" s="1290">
        <f>_xlfn.XLOOKUP(F251,Proveedores!A:A,Proveedores!G:G)</f>
        <v>0</v>
      </c>
      <c r="AN251" s="1095" t="str">
        <f t="shared" si="183"/>
        <v>OK</v>
      </c>
    </row>
    <row r="252" spans="1:40" ht="15.95">
      <c r="A252" s="1090" t="b">
        <f t="shared" si="158"/>
        <v>1</v>
      </c>
      <c r="B252" s="1091" t="b">
        <f t="shared" si="171"/>
        <v>1</v>
      </c>
      <c r="C252" s="1092" t="str">
        <f t="shared" si="172"/>
        <v>Dólares</v>
      </c>
      <c r="D252" s="14"/>
      <c r="E252" s="743"/>
      <c r="F252" s="17"/>
      <c r="G252" s="17" t="str">
        <f t="shared" si="159"/>
        <v xml:space="preserve"> </v>
      </c>
      <c r="H252" s="12">
        <v>0</v>
      </c>
      <c r="I252" s="16" t="str">
        <f>IFERROR(VLOOKUP(G252,Proveedores!B:C,2,0)," ")</f>
        <v xml:space="preserve"> </v>
      </c>
      <c r="J252" s="745">
        <v>0</v>
      </c>
      <c r="K252" s="745" t="str">
        <f t="shared" si="160"/>
        <v>Not Found</v>
      </c>
      <c r="L252" s="16">
        <f>IF(K252="Importado",Fletes!$B$66,0%)</f>
        <v>0</v>
      </c>
      <c r="M252" s="745">
        <f t="shared" si="173"/>
        <v>0</v>
      </c>
      <c r="N252" s="16">
        <f>IF(K252&lt;&gt;"Importado",0%,IF(Fletes!$B$67&lt;10,15%,IF(Fletes!$B$67&lt;20,10%,5%)))</f>
        <v>0</v>
      </c>
      <c r="O252" s="745" t="str">
        <f>IFERROR(IF(OR(F252="Offiho",F252="Lauco Sofas",F252="Requiez",F252="Labenze",F252="Sunon Mty",F252="Sonara"),(M252*(1-_xlfn.XLOOKUP(F252,Proveedores!A:A,Proveedores!I:I)))*(1+N252),((M252*(1-_xlfn.XLOOKUP(F252,Proveedores!A:A,Proveedores!I:I)))*(1+N252))+U252),"")</f>
        <v/>
      </c>
      <c r="P252" s="1031"/>
      <c r="Q252" s="1133">
        <f>IF(K252&lt;&gt;"Importado",0,IF(P252&gt;0,P252*H252,IFERROR(_xlfn.XLOOKUP(F252,Proveedores!A:A,Proveedores!F:F,0)*H252,0)))</f>
        <v>0</v>
      </c>
      <c r="R252" s="1134" t="e">
        <f t="shared" si="174"/>
        <v>#VALUE!</v>
      </c>
      <c r="S252" s="743"/>
      <c r="T252" s="1034" t="e">
        <f t="shared" si="161"/>
        <v>#N/A</v>
      </c>
      <c r="U252" s="1034" t="e">
        <f t="shared" si="175"/>
        <v>#N/A</v>
      </c>
      <c r="V252" s="1165" t="e">
        <f t="shared" si="162"/>
        <v>#N/A</v>
      </c>
      <c r="W252" s="1034" t="e">
        <f t="shared" si="176"/>
        <v>#N/A</v>
      </c>
      <c r="X252" s="1034" t="b">
        <f t="shared" si="177"/>
        <v>0</v>
      </c>
      <c r="Y252" s="1034">
        <f t="shared" si="178"/>
        <v>0</v>
      </c>
      <c r="Z252" s="1034">
        <f t="shared" si="179"/>
        <v>0</v>
      </c>
      <c r="AA252" s="1034">
        <f t="shared" si="163"/>
        <v>0</v>
      </c>
      <c r="AB252" s="1034">
        <f t="shared" si="164"/>
        <v>0</v>
      </c>
      <c r="AC252" s="1033">
        <f t="shared" si="180"/>
        <v>0</v>
      </c>
      <c r="AD252" s="1266">
        <f t="shared" si="165"/>
        <v>0</v>
      </c>
      <c r="AE252" s="1093">
        <f t="shared" si="181"/>
        <v>0</v>
      </c>
      <c r="AF252" s="1093">
        <f t="shared" si="182"/>
        <v>0</v>
      </c>
      <c r="AG252" s="1093">
        <f t="shared" si="166"/>
        <v>0</v>
      </c>
      <c r="AH252" s="1033" t="e">
        <f t="shared" si="167"/>
        <v>#DIV/0!</v>
      </c>
      <c r="AI252" s="1091">
        <f t="shared" si="168"/>
        <v>0</v>
      </c>
      <c r="AJ252" s="1094">
        <f t="shared" si="169"/>
        <v>0</v>
      </c>
      <c r="AK252" s="1053" t="str">
        <f t="shared" si="170"/>
        <v/>
      </c>
      <c r="AL252" s="1053"/>
      <c r="AM252" s="1290">
        <f>_xlfn.XLOOKUP(F252,Proveedores!A:A,Proveedores!G:G)</f>
        <v>0</v>
      </c>
      <c r="AN252" s="1095" t="str">
        <f t="shared" si="183"/>
        <v>OK</v>
      </c>
    </row>
    <row r="253" spans="1:40" ht="15.95">
      <c r="A253" s="1090" t="b">
        <f t="shared" si="158"/>
        <v>1</v>
      </c>
      <c r="B253" s="1091" t="b">
        <f t="shared" si="171"/>
        <v>1</v>
      </c>
      <c r="C253" s="1092" t="str">
        <f t="shared" si="172"/>
        <v>Dólares</v>
      </c>
      <c r="D253" s="14"/>
      <c r="E253" s="743"/>
      <c r="F253" s="17"/>
      <c r="G253" s="17" t="str">
        <f t="shared" si="159"/>
        <v xml:space="preserve"> </v>
      </c>
      <c r="H253" s="12">
        <v>0</v>
      </c>
      <c r="I253" s="16" t="str">
        <f>IFERROR(VLOOKUP(G253,Proveedores!B:C,2,0)," ")</f>
        <v xml:space="preserve"> </v>
      </c>
      <c r="J253" s="745">
        <v>0</v>
      </c>
      <c r="K253" s="745" t="str">
        <f t="shared" si="160"/>
        <v>Not Found</v>
      </c>
      <c r="L253" s="16">
        <f>IF(K253="Importado",Fletes!$B$66,0%)</f>
        <v>0</v>
      </c>
      <c r="M253" s="745">
        <f t="shared" si="173"/>
        <v>0</v>
      </c>
      <c r="N253" s="16">
        <f>IF(K253&lt;&gt;"Importado",0%,IF(Fletes!$B$67&lt;10,15%,IF(Fletes!$B$67&lt;20,10%,5%)))</f>
        <v>0</v>
      </c>
      <c r="O253" s="745" t="str">
        <f>IFERROR(IF(OR(F253="Offiho",F253="Lauco Sofas",F253="Requiez",F253="Labenze",F253="Sunon Mty",F253="Sonara"),(M253*(1-_xlfn.XLOOKUP(F253,Proveedores!A:A,Proveedores!I:I)))*(1+N253),((M253*(1-_xlfn.XLOOKUP(F253,Proveedores!A:A,Proveedores!I:I)))*(1+N253))+U253),"")</f>
        <v/>
      </c>
      <c r="P253" s="1031"/>
      <c r="Q253" s="1133">
        <f>IF(K253&lt;&gt;"Importado",0,IF(P253&gt;0,P253*H253,IFERROR(_xlfn.XLOOKUP(F253,Proveedores!A:A,Proveedores!F:F,0)*H253,0)))</f>
        <v>0</v>
      </c>
      <c r="R253" s="1134" t="e">
        <f t="shared" si="174"/>
        <v>#VALUE!</v>
      </c>
      <c r="S253" s="743"/>
      <c r="T253" s="1034" t="e">
        <f t="shared" si="161"/>
        <v>#N/A</v>
      </c>
      <c r="U253" s="1034" t="e">
        <f t="shared" si="175"/>
        <v>#N/A</v>
      </c>
      <c r="V253" s="1165" t="e">
        <f t="shared" si="162"/>
        <v>#N/A</v>
      </c>
      <c r="W253" s="1034" t="e">
        <f t="shared" si="176"/>
        <v>#N/A</v>
      </c>
      <c r="X253" s="1034" t="b">
        <f t="shared" si="177"/>
        <v>0</v>
      </c>
      <c r="Y253" s="1034">
        <f t="shared" si="178"/>
        <v>0</v>
      </c>
      <c r="Z253" s="1034">
        <f t="shared" si="179"/>
        <v>0</v>
      </c>
      <c r="AA253" s="1034">
        <f t="shared" si="163"/>
        <v>0</v>
      </c>
      <c r="AB253" s="1034">
        <f t="shared" si="164"/>
        <v>0</v>
      </c>
      <c r="AC253" s="1033">
        <f t="shared" si="180"/>
        <v>0</v>
      </c>
      <c r="AD253" s="1266">
        <f t="shared" si="165"/>
        <v>0</v>
      </c>
      <c r="AE253" s="1093">
        <f t="shared" si="181"/>
        <v>0</v>
      </c>
      <c r="AF253" s="1093">
        <f t="shared" si="182"/>
        <v>0</v>
      </c>
      <c r="AG253" s="1093">
        <f t="shared" si="166"/>
        <v>0</v>
      </c>
      <c r="AH253" s="1033" t="e">
        <f t="shared" si="167"/>
        <v>#DIV/0!</v>
      </c>
      <c r="AI253" s="1091">
        <f t="shared" si="168"/>
        <v>0</v>
      </c>
      <c r="AJ253" s="1094">
        <f t="shared" si="169"/>
        <v>0</v>
      </c>
      <c r="AK253" s="1053" t="str">
        <f t="shared" si="170"/>
        <v/>
      </c>
      <c r="AL253" s="1053"/>
      <c r="AM253" s="1290">
        <f>_xlfn.XLOOKUP(F253,Proveedores!A:A,Proveedores!G:G)</f>
        <v>0</v>
      </c>
      <c r="AN253" s="1095" t="str">
        <f t="shared" si="183"/>
        <v>OK</v>
      </c>
    </row>
    <row r="254" spans="1:40" ht="15.95">
      <c r="A254" s="1090" t="b">
        <f t="shared" si="158"/>
        <v>1</v>
      </c>
      <c r="B254" s="1091" t="b">
        <f t="shared" si="171"/>
        <v>1</v>
      </c>
      <c r="C254" s="1092" t="str">
        <f t="shared" si="172"/>
        <v>Dólares</v>
      </c>
      <c r="D254" s="14"/>
      <c r="E254" s="743"/>
      <c r="F254" s="17"/>
      <c r="G254" s="17" t="str">
        <f t="shared" si="159"/>
        <v xml:space="preserve"> </v>
      </c>
      <c r="H254" s="12">
        <v>0</v>
      </c>
      <c r="I254" s="16" t="str">
        <f>IFERROR(VLOOKUP(G254,Proveedores!B:C,2,0)," ")</f>
        <v xml:space="preserve"> </v>
      </c>
      <c r="J254" s="745">
        <v>0</v>
      </c>
      <c r="K254" s="745" t="str">
        <f t="shared" si="160"/>
        <v>Not Found</v>
      </c>
      <c r="L254" s="16">
        <f>IF(K254="Importado",Fletes!$B$66,0%)</f>
        <v>0</v>
      </c>
      <c r="M254" s="745">
        <f t="shared" si="173"/>
        <v>0</v>
      </c>
      <c r="N254" s="16">
        <f>IF(K254&lt;&gt;"Importado",0%,IF(Fletes!$B$67&lt;10,15%,IF(Fletes!$B$67&lt;20,10%,5%)))</f>
        <v>0</v>
      </c>
      <c r="O254" s="745" t="str">
        <f>IFERROR(IF(OR(F254="Offiho",F254="Lauco Sofas",F254="Requiez",F254="Labenze",F254="Sunon Mty",F254="Sonara"),(M254*(1-_xlfn.XLOOKUP(F254,Proveedores!A:A,Proveedores!I:I)))*(1+N254),((M254*(1-_xlfn.XLOOKUP(F254,Proveedores!A:A,Proveedores!I:I)))*(1+N254))+U254),"")</f>
        <v/>
      </c>
      <c r="P254" s="1031"/>
      <c r="Q254" s="1133">
        <f>IF(K254&lt;&gt;"Importado",0,IF(P254&gt;0,P254*H254,IFERROR(_xlfn.XLOOKUP(F254,Proveedores!A:A,Proveedores!F:F,0)*H254,0)))</f>
        <v>0</v>
      </c>
      <c r="R254" s="1134" t="e">
        <f t="shared" si="174"/>
        <v>#VALUE!</v>
      </c>
      <c r="S254" s="743"/>
      <c r="T254" s="1034" t="e">
        <f t="shared" si="161"/>
        <v>#N/A</v>
      </c>
      <c r="U254" s="1034" t="e">
        <f t="shared" si="175"/>
        <v>#N/A</v>
      </c>
      <c r="V254" s="1165" t="e">
        <f t="shared" si="162"/>
        <v>#N/A</v>
      </c>
      <c r="W254" s="1034" t="e">
        <f t="shared" si="176"/>
        <v>#N/A</v>
      </c>
      <c r="X254" s="1034" t="b">
        <f t="shared" si="177"/>
        <v>0</v>
      </c>
      <c r="Y254" s="1034">
        <f t="shared" si="178"/>
        <v>0</v>
      </c>
      <c r="Z254" s="1034">
        <f t="shared" si="179"/>
        <v>0</v>
      </c>
      <c r="AA254" s="1034">
        <f t="shared" si="163"/>
        <v>0</v>
      </c>
      <c r="AB254" s="1034">
        <f t="shared" si="164"/>
        <v>0</v>
      </c>
      <c r="AC254" s="1033">
        <f t="shared" si="180"/>
        <v>0</v>
      </c>
      <c r="AD254" s="1266">
        <f t="shared" si="165"/>
        <v>0</v>
      </c>
      <c r="AE254" s="1093">
        <f t="shared" si="181"/>
        <v>0</v>
      </c>
      <c r="AF254" s="1093">
        <f t="shared" si="182"/>
        <v>0</v>
      </c>
      <c r="AG254" s="1093">
        <f t="shared" si="166"/>
        <v>0</v>
      </c>
      <c r="AH254" s="1033" t="e">
        <f t="shared" si="167"/>
        <v>#DIV/0!</v>
      </c>
      <c r="AI254" s="1091">
        <f t="shared" si="168"/>
        <v>0</v>
      </c>
      <c r="AJ254" s="1094">
        <f t="shared" si="169"/>
        <v>0</v>
      </c>
      <c r="AK254" s="1053" t="str">
        <f t="shared" si="170"/>
        <v/>
      </c>
      <c r="AL254" s="1053"/>
      <c r="AM254" s="1290">
        <f>_xlfn.XLOOKUP(F254,Proveedores!A:A,Proveedores!G:G)</f>
        <v>0</v>
      </c>
      <c r="AN254" s="1095" t="str">
        <f t="shared" si="183"/>
        <v>OK</v>
      </c>
    </row>
    <row r="255" spans="1:40" ht="15.95">
      <c r="A255" s="1090" t="b">
        <f t="shared" si="158"/>
        <v>1</v>
      </c>
      <c r="B255" s="1091" t="b">
        <f t="shared" si="171"/>
        <v>1</v>
      </c>
      <c r="C255" s="1092" t="str">
        <f t="shared" si="172"/>
        <v>Dólares</v>
      </c>
      <c r="D255" s="14"/>
      <c r="E255" s="743"/>
      <c r="F255" s="17"/>
      <c r="G255" s="17" t="str">
        <f t="shared" si="159"/>
        <v xml:space="preserve"> </v>
      </c>
      <c r="H255" s="12">
        <v>0</v>
      </c>
      <c r="I255" s="16" t="str">
        <f>IFERROR(VLOOKUP(G255,Proveedores!B:C,2,0)," ")</f>
        <v xml:space="preserve"> </v>
      </c>
      <c r="J255" s="745">
        <v>0</v>
      </c>
      <c r="K255" s="745" t="str">
        <f t="shared" si="160"/>
        <v>Not Found</v>
      </c>
      <c r="L255" s="16">
        <f>IF(K255="Importado",Fletes!$B$66,0%)</f>
        <v>0</v>
      </c>
      <c r="M255" s="745">
        <f t="shared" si="173"/>
        <v>0</v>
      </c>
      <c r="N255" s="16">
        <f>IF(K255&lt;&gt;"Importado",0%,IF(Fletes!$B$67&lt;10,15%,IF(Fletes!$B$67&lt;20,10%,5%)))</f>
        <v>0</v>
      </c>
      <c r="O255" s="745" t="str">
        <f>IFERROR(IF(OR(F255="Offiho",F255="Lauco Sofas",F255="Requiez",F255="Labenze",F255="Sunon Mty",F255="Sonara"),(M255*(1-_xlfn.XLOOKUP(F255,Proveedores!A:A,Proveedores!I:I)))*(1+N255),((M255*(1-_xlfn.XLOOKUP(F255,Proveedores!A:A,Proveedores!I:I)))*(1+N255))+U255),"")</f>
        <v/>
      </c>
      <c r="P255" s="1031"/>
      <c r="Q255" s="1133">
        <f>IF(K255&lt;&gt;"Importado",0,IF(P255&gt;0,P255*H255,IFERROR(_xlfn.XLOOKUP(F255,Proveedores!A:A,Proveedores!F:F,0)*H255,0)))</f>
        <v>0</v>
      </c>
      <c r="R255" s="1134" t="e">
        <f t="shared" si="174"/>
        <v>#VALUE!</v>
      </c>
      <c r="S255" s="743"/>
      <c r="T255" s="1034" t="e">
        <f t="shared" si="161"/>
        <v>#N/A</v>
      </c>
      <c r="U255" s="1034" t="e">
        <f t="shared" si="175"/>
        <v>#N/A</v>
      </c>
      <c r="V255" s="1165" t="e">
        <f t="shared" si="162"/>
        <v>#N/A</v>
      </c>
      <c r="W255" s="1034" t="e">
        <f t="shared" si="176"/>
        <v>#N/A</v>
      </c>
      <c r="X255" s="1034" t="b">
        <f t="shared" si="177"/>
        <v>0</v>
      </c>
      <c r="Y255" s="1034">
        <f t="shared" si="178"/>
        <v>0</v>
      </c>
      <c r="Z255" s="1034">
        <f t="shared" si="179"/>
        <v>0</v>
      </c>
      <c r="AA255" s="1034">
        <f t="shared" si="163"/>
        <v>0</v>
      </c>
      <c r="AB255" s="1034">
        <f t="shared" si="164"/>
        <v>0</v>
      </c>
      <c r="AC255" s="1033">
        <f t="shared" si="180"/>
        <v>0</v>
      </c>
      <c r="AD255" s="1266">
        <f t="shared" si="165"/>
        <v>0</v>
      </c>
      <c r="AE255" s="1093">
        <f t="shared" si="181"/>
        <v>0</v>
      </c>
      <c r="AF255" s="1093">
        <f t="shared" si="182"/>
        <v>0</v>
      </c>
      <c r="AG255" s="1093">
        <f t="shared" si="166"/>
        <v>0</v>
      </c>
      <c r="AH255" s="1033" t="e">
        <f t="shared" si="167"/>
        <v>#DIV/0!</v>
      </c>
      <c r="AI255" s="1091">
        <f t="shared" si="168"/>
        <v>0</v>
      </c>
      <c r="AJ255" s="1094">
        <f t="shared" si="169"/>
        <v>0</v>
      </c>
      <c r="AK255" s="1053" t="str">
        <f t="shared" si="170"/>
        <v/>
      </c>
      <c r="AL255" s="1053"/>
      <c r="AM255" s="1290">
        <f>_xlfn.XLOOKUP(F255,Proveedores!A:A,Proveedores!G:G)</f>
        <v>0</v>
      </c>
      <c r="AN255" s="1095" t="str">
        <f t="shared" si="183"/>
        <v>OK</v>
      </c>
    </row>
    <row r="256" spans="1:40" ht="15.95">
      <c r="A256" s="1090" t="b">
        <f t="shared" si="158"/>
        <v>1</v>
      </c>
      <c r="B256" s="1091" t="b">
        <f t="shared" si="171"/>
        <v>1</v>
      </c>
      <c r="C256" s="1092" t="str">
        <f t="shared" si="172"/>
        <v>Dólares</v>
      </c>
      <c r="D256" s="14"/>
      <c r="E256" s="743"/>
      <c r="F256" s="17"/>
      <c r="G256" s="17" t="str">
        <f t="shared" si="159"/>
        <v xml:space="preserve"> </v>
      </c>
      <c r="H256" s="12">
        <v>0</v>
      </c>
      <c r="I256" s="16" t="str">
        <f>IFERROR(VLOOKUP(G256,Proveedores!B:C,2,0)," ")</f>
        <v xml:space="preserve"> </v>
      </c>
      <c r="J256" s="745">
        <v>0</v>
      </c>
      <c r="K256" s="745" t="str">
        <f t="shared" si="160"/>
        <v>Not Found</v>
      </c>
      <c r="L256" s="16">
        <f>IF(K256="Importado",Fletes!$B$66,0%)</f>
        <v>0</v>
      </c>
      <c r="M256" s="745">
        <f t="shared" si="173"/>
        <v>0</v>
      </c>
      <c r="N256" s="16">
        <f>IF(K256&lt;&gt;"Importado",0%,IF(Fletes!$B$67&lt;10,15%,IF(Fletes!$B$67&lt;20,10%,5%)))</f>
        <v>0</v>
      </c>
      <c r="O256" s="745" t="str">
        <f>IFERROR(IF(OR(F256="Offiho",F256="Lauco Sofas",F256="Requiez",F256="Labenze",F256="Sunon Mty",F256="Sonara"),(M256*(1-_xlfn.XLOOKUP(F256,Proveedores!A:A,Proveedores!I:I)))*(1+N256),((M256*(1-_xlfn.XLOOKUP(F256,Proveedores!A:A,Proveedores!I:I)))*(1+N256))+U256),"")</f>
        <v/>
      </c>
      <c r="P256" s="1031"/>
      <c r="Q256" s="1133">
        <f>IF(K256&lt;&gt;"Importado",0,IF(P256&gt;0,P256*H256,IFERROR(_xlfn.XLOOKUP(F256,Proveedores!A:A,Proveedores!F:F,0)*H256,0)))</f>
        <v>0</v>
      </c>
      <c r="R256" s="1134" t="e">
        <f t="shared" si="174"/>
        <v>#VALUE!</v>
      </c>
      <c r="S256" s="743"/>
      <c r="T256" s="1034" t="e">
        <f t="shared" si="161"/>
        <v>#N/A</v>
      </c>
      <c r="U256" s="1034" t="e">
        <f t="shared" si="175"/>
        <v>#N/A</v>
      </c>
      <c r="V256" s="1165" t="e">
        <f t="shared" si="162"/>
        <v>#N/A</v>
      </c>
      <c r="W256" s="1034" t="e">
        <f t="shared" si="176"/>
        <v>#N/A</v>
      </c>
      <c r="X256" s="1034" t="b">
        <f t="shared" si="177"/>
        <v>0</v>
      </c>
      <c r="Y256" s="1034">
        <f t="shared" si="178"/>
        <v>0</v>
      </c>
      <c r="Z256" s="1034">
        <f t="shared" si="179"/>
        <v>0</v>
      </c>
      <c r="AA256" s="1034">
        <f t="shared" si="163"/>
        <v>0</v>
      </c>
      <c r="AB256" s="1034">
        <f t="shared" si="164"/>
        <v>0</v>
      </c>
      <c r="AC256" s="1033">
        <f t="shared" si="180"/>
        <v>0</v>
      </c>
      <c r="AD256" s="1266">
        <f t="shared" si="165"/>
        <v>0</v>
      </c>
      <c r="AE256" s="1093">
        <f t="shared" si="181"/>
        <v>0</v>
      </c>
      <c r="AF256" s="1093">
        <f t="shared" si="182"/>
        <v>0</v>
      </c>
      <c r="AG256" s="1093">
        <f t="shared" si="166"/>
        <v>0</v>
      </c>
      <c r="AH256" s="1033" t="e">
        <f t="shared" si="167"/>
        <v>#DIV/0!</v>
      </c>
      <c r="AI256" s="1091">
        <f t="shared" si="168"/>
        <v>0</v>
      </c>
      <c r="AJ256" s="1094">
        <f t="shared" si="169"/>
        <v>0</v>
      </c>
      <c r="AK256" s="1053" t="str">
        <f t="shared" si="170"/>
        <v/>
      </c>
      <c r="AL256" s="1053"/>
      <c r="AM256" s="1290">
        <f>_xlfn.XLOOKUP(F256,Proveedores!A:A,Proveedores!G:G)</f>
        <v>0</v>
      </c>
      <c r="AN256" s="1095" t="str">
        <f t="shared" si="183"/>
        <v>OK</v>
      </c>
    </row>
    <row r="257" spans="1:40" ht="15.95">
      <c r="A257" s="1090" t="b">
        <f t="shared" si="158"/>
        <v>1</v>
      </c>
      <c r="B257" s="1091" t="b">
        <f t="shared" si="171"/>
        <v>1</v>
      </c>
      <c r="C257" s="1092" t="str">
        <f t="shared" si="172"/>
        <v>Dólares</v>
      </c>
      <c r="D257" s="14"/>
      <c r="E257" s="743"/>
      <c r="F257" s="17"/>
      <c r="G257" s="17" t="str">
        <f t="shared" si="159"/>
        <v xml:space="preserve"> </v>
      </c>
      <c r="H257" s="12">
        <v>0</v>
      </c>
      <c r="I257" s="16" t="str">
        <f>IFERROR(VLOOKUP(G257,Proveedores!B:C,2,0)," ")</f>
        <v xml:space="preserve"> </v>
      </c>
      <c r="J257" s="745">
        <v>0</v>
      </c>
      <c r="K257" s="745" t="str">
        <f t="shared" si="160"/>
        <v>Not Found</v>
      </c>
      <c r="L257" s="16">
        <f>IF(K257="Importado",Fletes!$B$66,0%)</f>
        <v>0</v>
      </c>
      <c r="M257" s="745">
        <f t="shared" si="173"/>
        <v>0</v>
      </c>
      <c r="N257" s="16">
        <f>IF(K257&lt;&gt;"Importado",0%,IF(Fletes!$B$67&lt;10,15%,IF(Fletes!$B$67&lt;20,10%,5%)))</f>
        <v>0</v>
      </c>
      <c r="O257" s="745" t="str">
        <f>IFERROR(IF(OR(F257="Offiho",F257="Lauco Sofas",F257="Requiez",F257="Labenze",F257="Sunon Mty",F257="Sonara"),(M257*(1-_xlfn.XLOOKUP(F257,Proveedores!A:A,Proveedores!I:I)))*(1+N257),((M257*(1-_xlfn.XLOOKUP(F257,Proveedores!A:A,Proveedores!I:I)))*(1+N257))+U257),"")</f>
        <v/>
      </c>
      <c r="P257" s="1031"/>
      <c r="Q257" s="1133">
        <f>IF(K257&lt;&gt;"Importado",0,IF(P257&gt;0,P257*H257,IFERROR(_xlfn.XLOOKUP(F257,Proveedores!A:A,Proveedores!F:F,0)*H257,0)))</f>
        <v>0</v>
      </c>
      <c r="R257" s="1134" t="e">
        <f t="shared" si="174"/>
        <v>#VALUE!</v>
      </c>
      <c r="S257" s="743"/>
      <c r="T257" s="1034" t="e">
        <f t="shared" si="161"/>
        <v>#N/A</v>
      </c>
      <c r="U257" s="1034" t="e">
        <f t="shared" si="175"/>
        <v>#N/A</v>
      </c>
      <c r="V257" s="1165" t="e">
        <f t="shared" si="162"/>
        <v>#N/A</v>
      </c>
      <c r="W257" s="1034" t="e">
        <f t="shared" si="176"/>
        <v>#N/A</v>
      </c>
      <c r="X257" s="1034" t="b">
        <f t="shared" si="177"/>
        <v>0</v>
      </c>
      <c r="Y257" s="1034">
        <f t="shared" si="178"/>
        <v>0</v>
      </c>
      <c r="Z257" s="1034">
        <f t="shared" si="179"/>
        <v>0</v>
      </c>
      <c r="AA257" s="1034">
        <f t="shared" si="163"/>
        <v>0</v>
      </c>
      <c r="AB257" s="1034">
        <f t="shared" si="164"/>
        <v>0</v>
      </c>
      <c r="AC257" s="1033">
        <f t="shared" si="180"/>
        <v>0</v>
      </c>
      <c r="AD257" s="1266">
        <f t="shared" si="165"/>
        <v>0</v>
      </c>
      <c r="AE257" s="1093">
        <f t="shared" si="181"/>
        <v>0</v>
      </c>
      <c r="AF257" s="1093">
        <f t="shared" si="182"/>
        <v>0</v>
      </c>
      <c r="AG257" s="1093">
        <f t="shared" si="166"/>
        <v>0</v>
      </c>
      <c r="AH257" s="1033" t="str">
        <f t="shared" si="167"/>
        <v>NA</v>
      </c>
      <c r="AI257" s="1091">
        <f t="shared" si="168"/>
        <v>0</v>
      </c>
      <c r="AJ257" s="1094">
        <f t="shared" si="169"/>
        <v>0</v>
      </c>
      <c r="AK257" s="1053" t="str">
        <f t="shared" si="170"/>
        <v/>
      </c>
      <c r="AL257" s="1053"/>
      <c r="AM257" s="1290">
        <f>_xlfn.XLOOKUP(F257,Proveedores!A:A,Proveedores!G:G)</f>
        <v>0</v>
      </c>
      <c r="AN257" s="1095" t="str">
        <f t="shared" si="183"/>
        <v>OK</v>
      </c>
    </row>
    <row r="258" spans="1:40" ht="24" customHeight="1">
      <c r="A258" s="1375" t="s">
        <v>139</v>
      </c>
      <c r="B258" s="1375"/>
      <c r="C258" s="1375"/>
      <c r="D258" s="1375"/>
      <c r="E258" s="1375"/>
      <c r="F258" s="1375"/>
      <c r="G258" s="1099"/>
      <c r="H258" s="1100" cm="1">
        <f t="array" ref="H258">SUM(IFERROR(H225:H257,0))</f>
        <v>0</v>
      </c>
      <c r="I258" s="1099"/>
      <c r="J258" s="1101"/>
      <c r="K258" s="1101"/>
      <c r="L258" s="1101"/>
      <c r="M258" s="1101"/>
      <c r="N258" s="1101"/>
      <c r="O258" s="1101"/>
      <c r="P258" s="1102"/>
      <c r="Q258" s="1100" cm="1">
        <f t="array" ref="Q258">SUM(IFERROR(Q225:Q257,0))</f>
        <v>0</v>
      </c>
      <c r="R258" s="1103" cm="1">
        <f t="array" ref="R258">SUM(IFERROR(R225:R257,0))</f>
        <v>0</v>
      </c>
      <c r="S258" s="1104"/>
      <c r="T258" s="1104"/>
      <c r="U258" s="1104"/>
      <c r="V258" s="1104"/>
      <c r="W258" s="1104"/>
      <c r="X258" s="1104"/>
      <c r="Y258" s="1102"/>
      <c r="Z258" s="1102"/>
      <c r="AA258" s="1102"/>
      <c r="AB258" s="1103" cm="1">
        <f t="array" ref="AB258">SUM(IFERROR(AB225:AB257,0))</f>
        <v>0</v>
      </c>
      <c r="AC258" s="1104" t="s">
        <v>127</v>
      </c>
      <c r="AD258" s="1104"/>
      <c r="AE258" s="1104"/>
      <c r="AF258" s="1104"/>
      <c r="AG258" s="1103" cm="1">
        <f t="array" ref="AG258">SUM(IFERROR(AG225:AG257,0))</f>
        <v>0</v>
      </c>
      <c r="AH258" s="1103"/>
      <c r="AI258" s="1103"/>
      <c r="AJ258" s="1103" cm="1">
        <f t="array" ref="AJ258">SUM(IFERROR(AJ225:AJ257,0))</f>
        <v>0</v>
      </c>
      <c r="AK258" s="1054" cm="1">
        <f t="array" ref="AK258">IFERROR(SUMPRODUCT(IFERROR(AG225:AG257,0),IFERROR(AK225:AK257,0))/SUMPRODUCT(IFERROR(AG225:AG257,0)),0)</f>
        <v>0</v>
      </c>
      <c r="AL258" s="1288"/>
      <c r="AM258" s="1288"/>
      <c r="AN258"/>
    </row>
    <row r="259" spans="1:40" ht="26.1" customHeight="1">
      <c r="A259" s="1397" t="s">
        <v>140</v>
      </c>
      <c r="B259" s="1397"/>
      <c r="C259" s="1397"/>
      <c r="D259" s="1397"/>
      <c r="E259" s="1397"/>
      <c r="F259" s="1397"/>
      <c r="G259" s="1397"/>
      <c r="H259" s="1397"/>
      <c r="I259" s="1397"/>
      <c r="J259" s="1398"/>
      <c r="K259" s="1160"/>
      <c r="L259" s="1160"/>
      <c r="M259" s="1160"/>
      <c r="N259" s="1160"/>
      <c r="O259" s="1160"/>
      <c r="P259" s="1088"/>
      <c r="Q259" s="1088"/>
      <c r="R259" s="1088"/>
      <c r="S259" s="1087"/>
      <c r="T259" s="1087"/>
      <c r="U259" s="1087"/>
      <c r="V259" s="1087"/>
      <c r="W259" s="1087"/>
      <c r="X259" s="1087"/>
      <c r="Y259" s="1055"/>
      <c r="Z259" s="1055"/>
      <c r="AA259" s="1055"/>
      <c r="AB259" s="1055"/>
      <c r="AC259" s="1055"/>
      <c r="AD259" s="1087"/>
      <c r="AE259" s="1087"/>
      <c r="AF259" s="1087"/>
      <c r="AG259" s="1087"/>
      <c r="AH259" s="1087"/>
      <c r="AI259" s="1087"/>
      <c r="AJ259" s="1087"/>
      <c r="AK259" s="1089"/>
      <c r="AL259" s="1287"/>
      <c r="AM259" s="1287"/>
      <c r="AN259"/>
    </row>
    <row r="260" spans="1:40" ht="15.95">
      <c r="A260" s="1090" t="b">
        <f t="shared" ref="A260:A292" si="184">$A$14</f>
        <v>1</v>
      </c>
      <c r="B260" s="1091" t="b">
        <f>A260</f>
        <v>1</v>
      </c>
      <c r="C260" s="1092" t="str">
        <f>$C$14</f>
        <v>Dólares</v>
      </c>
      <c r="D260" s="11"/>
      <c r="E260" s="743"/>
      <c r="F260" s="17"/>
      <c r="G260" s="17" t="str">
        <f t="shared" ref="G260:G292" si="185">IFERROR(VLOOKUP(F260,Tabla_Proveedores_1,2,0)," ")</f>
        <v xml:space="preserve"> </v>
      </c>
      <c r="H260" s="12">
        <v>0</v>
      </c>
      <c r="I260" s="16" t="str">
        <f>IFERROR(VLOOKUP(G260,Proveedores!B:C,2,0)," ")</f>
        <v xml:space="preserve"> </v>
      </c>
      <c r="J260" s="745">
        <v>0</v>
      </c>
      <c r="K260" s="745" t="str">
        <f t="shared" ref="K260:K292" si="186">IFERROR(VLOOKUP(TRIM(F260), ProveedoreS_TC, 5, FALSE), "Not Found")</f>
        <v>Not Found</v>
      </c>
      <c r="L260" s="16">
        <f>IF(K260="Importado",Fletes!$B$66,0%)</f>
        <v>0</v>
      </c>
      <c r="M260" s="745">
        <f>IF(K260="Importado",J260*(1+L260),J260*(1+L260))</f>
        <v>0</v>
      </c>
      <c r="N260" s="16">
        <f>IF(K260&lt;&gt;"Importado",0%,IF(Fletes!$B$67&lt;10,15%,IF(Fletes!$B$67&lt;20,10%,5%)))</f>
        <v>0</v>
      </c>
      <c r="O260" s="745" t="str">
        <f>IFERROR(IF(OR(F260="Offiho",F260="Lauco Sofas",F260="Requiez",F260="Labenze",F260="Sunon Mty",F260="Sonara"),(M260*(1-_xlfn.XLOOKUP(F260,Proveedores!A:A,Proveedores!I:I)))*(1+N260),((M260*(1-_xlfn.XLOOKUP(F260,Proveedores!A:A,Proveedores!I:I)))*(1+N260))+U260),"")</f>
        <v/>
      </c>
      <c r="P260" s="1031"/>
      <c r="Q260" s="1133">
        <f>IF(K260&lt;&gt;"Importado",0,IF(P260&gt;0,P260*H260,IFERROR(_xlfn.XLOOKUP(F260,Proveedores!A:A,Proveedores!F:F,0)*H260,0)))</f>
        <v>0</v>
      </c>
      <c r="R260" s="1134" t="e">
        <f>O260*H260</f>
        <v>#VALUE!</v>
      </c>
      <c r="S260" s="743"/>
      <c r="T260" s="1034" t="e">
        <f t="shared" ref="T260:T292" si="187">IF(H260&gt;15,0,VLOOKUP(E260,Tabla_Instalacion,2,FALSE))</f>
        <v>#N/A</v>
      </c>
      <c r="U260" s="1034" t="e">
        <f>X260/V260</f>
        <v>#N/A</v>
      </c>
      <c r="V260" s="1165" t="e">
        <f t="shared" ref="V260:V292" si="188">VLOOKUP(E260,Tabla_Factor,2,FALSE)</f>
        <v>#N/A</v>
      </c>
      <c r="W260" s="1034" t="e">
        <f>T260*V260</f>
        <v>#N/A</v>
      </c>
      <c r="X260" s="1034" t="b">
        <f>IF(S260="Occidente",W260,IF(S260="Norte",W260*1.5,IF(S260="Centro",W260*1.2,IF(S260="Sur",W260*1.7))))</f>
        <v>0</v>
      </c>
      <c r="Y260" s="1034">
        <f>ROUNDUP(IF(OR(F260="Offiho",F260="Lauco Sofas",F260="Requiez",F260="Labenze",F260="Sunon Mty",F260="Sonara",F260="Santeco"),J260,IF(K260="Nacional",O260/(1-30%),IF(K260="Importado",O260/(1-40%),IF(OR(F260="Lumbro",F260="Idelika"),O260/(1-20%))))),0)</f>
        <v>0</v>
      </c>
      <c r="Z260" s="1034">
        <f>ROUNDUP(IF(OR(F260="Offiho",F260="Lauco Sofas",F260="Requiez",F260="Labenze",F260="Sunon Mty",F260="Sonara",F260="Sonara"),Y260,IF($P$10="MIXTO",IF(K260="Nacional",Y260/(1-50%),Y260/(1-50%)),IF($P$10="IMPORTADO",Y260/(1-50%),IF($P$10="NACIONAL",Y260/(1-20%),Y260/(1-20%))))),0)</f>
        <v>0</v>
      </c>
      <c r="AA260" s="1034">
        <f t="shared" ref="AA260:AA292" si="189">IF(Z260&gt;=Y260,_xlfn.MINIFS($Z$15:$Z$572,$D$15:$D$572,D260),"NO SE ESTA RESPETANDO EL MARGEN")</f>
        <v>0</v>
      </c>
      <c r="AB260" s="1034">
        <f t="shared" ref="AB260:AB292" si="190">IFERROR(AA260*H260,0)</f>
        <v>0</v>
      </c>
      <c r="AC260" s="1033">
        <f>IF($P$10="IMPORTADO",50%,IF($P$10="NACIONAL",20%,IF($P$10="MIXTO",50%,0%)))</f>
        <v>0</v>
      </c>
      <c r="AD260" s="1266">
        <f t="shared" ref="AD260:AD292" si="191">IF(H260&gt;0,$E$5,0)</f>
        <v>0</v>
      </c>
      <c r="AE260" s="1093">
        <f>IFERROR(AA260*AD260,0)</f>
        <v>0</v>
      </c>
      <c r="AF260" s="1093">
        <f>IF($E$5&gt;$E$6,"ERROR",AA260-AE260)</f>
        <v>0</v>
      </c>
      <c r="AG260" s="1093">
        <f t="shared" ref="AG260:AG292" si="192">AF260*H260</f>
        <v>0</v>
      </c>
      <c r="AH260" s="1033" t="e">
        <f t="shared" ref="AH260:AH292" si="193">IF(A261=TRUE,MAX(0,1-(AI260/Z260)),"NA")</f>
        <v>#DIV/0!</v>
      </c>
      <c r="AI260" s="1091">
        <f t="shared" ref="AI260:AI292" si="194">IF(A259=FALSE,"NO APLICA",AF260*(1+$AI$8))</f>
        <v>0</v>
      </c>
      <c r="AJ260" s="1094">
        <f t="shared" ref="AJ260:AJ292" si="195">AI260*H260</f>
        <v>0</v>
      </c>
      <c r="AK260" s="1053" t="str">
        <f t="shared" ref="AK260:AK292" si="196">IFERROR(IF(OR(F260="Offiho",F260="Vandesk",F260="Requiez",F260="Labenze",F260="Idelika",F260="Sunon Mty"),(AG260-(J260*(1-I260)*H260))/AG260,(AG260-R260)/AG260),"")</f>
        <v/>
      </c>
      <c r="AL260" s="1053"/>
      <c r="AM260" s="1290">
        <f>_xlfn.XLOOKUP(F260,Proveedores!A:A,Proveedores!G:G)</f>
        <v>0</v>
      </c>
      <c r="AN260" s="1095" t="str">
        <f>IF(AK260&lt;AM260,"ERROR","OK")</f>
        <v>OK</v>
      </c>
    </row>
    <row r="261" spans="1:40" ht="15.95">
      <c r="A261" s="1090" t="b">
        <f t="shared" si="184"/>
        <v>1</v>
      </c>
      <c r="B261" s="1091" t="b">
        <f t="shared" ref="B261:B292" si="197">A261</f>
        <v>1</v>
      </c>
      <c r="C261" s="1092" t="str">
        <f t="shared" ref="C261:C292" si="198">$C$14</f>
        <v>Dólares</v>
      </c>
      <c r="D261" s="13"/>
      <c r="E261" s="743"/>
      <c r="F261" s="17"/>
      <c r="G261" s="17" t="str">
        <f t="shared" si="185"/>
        <v xml:space="preserve"> </v>
      </c>
      <c r="H261" s="12">
        <v>0</v>
      </c>
      <c r="I261" s="16" t="str">
        <f>IFERROR(VLOOKUP(G261,Proveedores!B:C,2,0)," ")</f>
        <v xml:space="preserve"> </v>
      </c>
      <c r="J261" s="745">
        <v>0</v>
      </c>
      <c r="K261" s="745" t="str">
        <f t="shared" si="186"/>
        <v>Not Found</v>
      </c>
      <c r="L261" s="16">
        <f>IF(K261="Importado",Fletes!$B$66,0%)</f>
        <v>0</v>
      </c>
      <c r="M261" s="745">
        <f t="shared" ref="M261:M292" si="199">IF(K261="Importado",J261*(1+L261),J261*(1+L261))</f>
        <v>0</v>
      </c>
      <c r="N261" s="16">
        <f>IF(K261&lt;&gt;"Importado",0%,IF(Fletes!$B$67&lt;10,15%,IF(Fletes!$B$67&lt;20,10%,5%)))</f>
        <v>0</v>
      </c>
      <c r="O261" s="745" t="str">
        <f>IFERROR(IF(OR(F261="Offiho",F261="Lauco Sofas",F261="Requiez",F261="Labenze",F261="Sunon Mty",F261="Sonara"),(M261*(1-_xlfn.XLOOKUP(F261,Proveedores!A:A,Proveedores!I:I)))*(1+N261),((M261*(1-_xlfn.XLOOKUP(F261,Proveedores!A:A,Proveedores!I:I)))*(1+N261))+U261),"")</f>
        <v/>
      </c>
      <c r="P261" s="1031"/>
      <c r="Q261" s="1133">
        <f>IF(K261&lt;&gt;"Importado",0,IF(P261&gt;0,P261*H261,IFERROR(_xlfn.XLOOKUP(F261,Proveedores!A:A,Proveedores!F:F,0)*H261,0)))</f>
        <v>0</v>
      </c>
      <c r="R261" s="1134" t="e">
        <f t="shared" ref="R261:R292" si="200">O261*H261</f>
        <v>#VALUE!</v>
      </c>
      <c r="S261" s="743"/>
      <c r="T261" s="1034" t="e">
        <f t="shared" si="187"/>
        <v>#N/A</v>
      </c>
      <c r="U261" s="1034" t="e">
        <f t="shared" ref="U261:U292" si="201">X261/V261</f>
        <v>#N/A</v>
      </c>
      <c r="V261" s="1165" t="e">
        <f t="shared" si="188"/>
        <v>#N/A</v>
      </c>
      <c r="W261" s="1034" t="e">
        <f t="shared" ref="W261:W292" si="202">T261*V261</f>
        <v>#N/A</v>
      </c>
      <c r="X261" s="1034" t="b">
        <f t="shared" ref="X261:X292" si="203">IF(S261="Occidente",W261,IF(S261="Norte",W261*1.5,IF(S261="Centro",W261*1.2,IF(S261="Sur",W261*1.7))))</f>
        <v>0</v>
      </c>
      <c r="Y261" s="1034">
        <f t="shared" ref="Y261:Y292" si="204">ROUNDUP(IF(OR(F261="Offiho",F261="Lauco Sofas",F261="Requiez",F261="Labenze",F261="Sunon Mty",F261="Sonara",F261="Santeco"),J261,IF(K261="Nacional",O261/(1-30%),IF(K261="Importado",O261/(1-40%),IF(OR(F261="Lumbro",F261="Idelika"),O261/(1-20%))))),0)</f>
        <v>0</v>
      </c>
      <c r="Z261" s="1034">
        <f t="shared" ref="Z261:Z292" si="205">ROUNDUP(IF(OR(F261="Offiho",F261="Lauco Sofas",F261="Requiez",F261="Labenze",F261="Sunon Mty",F261="Sonara",F261="Sonara"),Y261,IF($P$10="MIXTO",IF(K261="Nacional",Y261/(1-50%),Y261/(1-50%)),IF($P$10="IMPORTADO",Y261/(1-50%),IF($P$10="NACIONAL",Y261/(1-20%),Y261/(1-20%))))),0)</f>
        <v>0</v>
      </c>
      <c r="AA261" s="1034">
        <f t="shared" si="189"/>
        <v>0</v>
      </c>
      <c r="AB261" s="1034">
        <f t="shared" si="190"/>
        <v>0</v>
      </c>
      <c r="AC261" s="1033">
        <f t="shared" ref="AC261:AC292" si="206">IF($P$10="IMPORTADO",50%,IF($P$10="NACIONAL",20%,IF($P$10="MIXTO",50%,0%)))</f>
        <v>0</v>
      </c>
      <c r="AD261" s="1266">
        <f t="shared" si="191"/>
        <v>0</v>
      </c>
      <c r="AE261" s="1093">
        <f t="shared" ref="AE261:AE292" si="207">IFERROR(AA261*AD261,0)</f>
        <v>0</v>
      </c>
      <c r="AF261" s="1093">
        <f t="shared" ref="AF261:AF292" si="208">IF($E$5&gt;$E$6,"ERROR",AA261-AE261)</f>
        <v>0</v>
      </c>
      <c r="AG261" s="1093">
        <f t="shared" si="192"/>
        <v>0</v>
      </c>
      <c r="AH261" s="1033" t="e">
        <f t="shared" si="193"/>
        <v>#DIV/0!</v>
      </c>
      <c r="AI261" s="1091">
        <f t="shared" si="194"/>
        <v>0</v>
      </c>
      <c r="AJ261" s="1094">
        <f t="shared" si="195"/>
        <v>0</v>
      </c>
      <c r="AK261" s="1053" t="str">
        <f t="shared" si="196"/>
        <v/>
      </c>
      <c r="AL261" s="1053"/>
      <c r="AM261" s="1290">
        <f>_xlfn.XLOOKUP(F261,Proveedores!A:A,Proveedores!G:G)</f>
        <v>0</v>
      </c>
      <c r="AN261" s="1095" t="str">
        <f t="shared" ref="AN261:AN292" si="209">IF(AK261&lt;AM261,"ERROR","OK")</f>
        <v>OK</v>
      </c>
    </row>
    <row r="262" spans="1:40" ht="15.95">
      <c r="A262" s="1090" t="b">
        <f t="shared" si="184"/>
        <v>1</v>
      </c>
      <c r="B262" s="1091" t="b">
        <f t="shared" si="197"/>
        <v>1</v>
      </c>
      <c r="C262" s="1092" t="str">
        <f t="shared" si="198"/>
        <v>Dólares</v>
      </c>
      <c r="D262" s="13"/>
      <c r="E262" s="743"/>
      <c r="F262" s="17"/>
      <c r="G262" s="17" t="str">
        <f t="shared" si="185"/>
        <v xml:space="preserve"> </v>
      </c>
      <c r="H262" s="12">
        <v>0</v>
      </c>
      <c r="I262" s="16" t="str">
        <f>IFERROR(VLOOKUP(G262,Proveedores!B:C,2,0)," ")</f>
        <v xml:space="preserve"> </v>
      </c>
      <c r="J262" s="745">
        <v>0</v>
      </c>
      <c r="K262" s="745" t="str">
        <f t="shared" si="186"/>
        <v>Not Found</v>
      </c>
      <c r="L262" s="16">
        <f>IF(K262="Importado",Fletes!$B$66,0%)</f>
        <v>0</v>
      </c>
      <c r="M262" s="745">
        <f t="shared" si="199"/>
        <v>0</v>
      </c>
      <c r="N262" s="16">
        <f>IF(K262&lt;&gt;"Importado",0%,IF(Fletes!$B$67&lt;10,15%,IF(Fletes!$B$67&lt;20,10%,5%)))</f>
        <v>0</v>
      </c>
      <c r="O262" s="745" t="str">
        <f>IFERROR(IF(OR(F262="Offiho",F262="Lauco Sofas",F262="Requiez",F262="Labenze",F262="Sunon Mty",F262="Sonara"),(M262*(1-_xlfn.XLOOKUP(F262,Proveedores!A:A,Proveedores!I:I)))*(1+N262),((M262*(1-_xlfn.XLOOKUP(F262,Proveedores!A:A,Proveedores!I:I)))*(1+N262))+U262),"")</f>
        <v/>
      </c>
      <c r="P262" s="1031"/>
      <c r="Q262" s="1133">
        <f>IF(K262&lt;&gt;"Importado",0,IF(P262&gt;0,P262*H262,IFERROR(_xlfn.XLOOKUP(F262,Proveedores!A:A,Proveedores!F:F,0)*H262,0)))</f>
        <v>0</v>
      </c>
      <c r="R262" s="1134" t="e">
        <f t="shared" si="200"/>
        <v>#VALUE!</v>
      </c>
      <c r="S262" s="743"/>
      <c r="T262" s="1034" t="e">
        <f t="shared" si="187"/>
        <v>#N/A</v>
      </c>
      <c r="U262" s="1034" t="e">
        <f t="shared" si="201"/>
        <v>#N/A</v>
      </c>
      <c r="V262" s="1165" t="e">
        <f t="shared" si="188"/>
        <v>#N/A</v>
      </c>
      <c r="W262" s="1034" t="e">
        <f t="shared" si="202"/>
        <v>#N/A</v>
      </c>
      <c r="X262" s="1034" t="b">
        <f t="shared" si="203"/>
        <v>0</v>
      </c>
      <c r="Y262" s="1034">
        <f t="shared" si="204"/>
        <v>0</v>
      </c>
      <c r="Z262" s="1034">
        <f t="shared" si="205"/>
        <v>0</v>
      </c>
      <c r="AA262" s="1034">
        <f t="shared" si="189"/>
        <v>0</v>
      </c>
      <c r="AB262" s="1034">
        <f t="shared" si="190"/>
        <v>0</v>
      </c>
      <c r="AC262" s="1033">
        <f t="shared" si="206"/>
        <v>0</v>
      </c>
      <c r="AD262" s="1266">
        <f t="shared" si="191"/>
        <v>0</v>
      </c>
      <c r="AE262" s="1093">
        <f t="shared" si="207"/>
        <v>0</v>
      </c>
      <c r="AF262" s="1093">
        <f t="shared" si="208"/>
        <v>0</v>
      </c>
      <c r="AG262" s="1093">
        <f t="shared" si="192"/>
        <v>0</v>
      </c>
      <c r="AH262" s="1033" t="e">
        <f t="shared" si="193"/>
        <v>#DIV/0!</v>
      </c>
      <c r="AI262" s="1091">
        <f t="shared" si="194"/>
        <v>0</v>
      </c>
      <c r="AJ262" s="1094">
        <f t="shared" si="195"/>
        <v>0</v>
      </c>
      <c r="AK262" s="1053" t="str">
        <f t="shared" si="196"/>
        <v/>
      </c>
      <c r="AL262" s="1053"/>
      <c r="AM262" s="1290">
        <f>_xlfn.XLOOKUP(F262,Proveedores!A:A,Proveedores!G:G)</f>
        <v>0</v>
      </c>
      <c r="AN262" s="1095" t="str">
        <f t="shared" si="209"/>
        <v>OK</v>
      </c>
    </row>
    <row r="263" spans="1:40" ht="15.95">
      <c r="A263" s="1090" t="b">
        <f t="shared" si="184"/>
        <v>1</v>
      </c>
      <c r="B263" s="1091" t="b">
        <f t="shared" si="197"/>
        <v>1</v>
      </c>
      <c r="C263" s="1092" t="str">
        <f t="shared" si="198"/>
        <v>Dólares</v>
      </c>
      <c r="D263" s="13"/>
      <c r="E263" s="743"/>
      <c r="F263" s="17"/>
      <c r="G263" s="17" t="str">
        <f t="shared" si="185"/>
        <v xml:space="preserve"> </v>
      </c>
      <c r="H263" s="12">
        <v>0</v>
      </c>
      <c r="I263" s="16" t="str">
        <f>IFERROR(VLOOKUP(G263,Proveedores!B:C,2,0)," ")</f>
        <v xml:space="preserve"> </v>
      </c>
      <c r="J263" s="745">
        <v>0</v>
      </c>
      <c r="K263" s="745" t="str">
        <f t="shared" si="186"/>
        <v>Not Found</v>
      </c>
      <c r="L263" s="16">
        <f>IF(K263="Importado",Fletes!$B$66,0%)</f>
        <v>0</v>
      </c>
      <c r="M263" s="745">
        <f t="shared" si="199"/>
        <v>0</v>
      </c>
      <c r="N263" s="16">
        <f>IF(K263&lt;&gt;"Importado",0%,IF(Fletes!$B$67&lt;10,15%,IF(Fletes!$B$67&lt;20,10%,5%)))</f>
        <v>0</v>
      </c>
      <c r="O263" s="745" t="str">
        <f>IFERROR(IF(OR(F263="Offiho",F263="Lauco Sofas",F263="Requiez",F263="Labenze",F263="Sunon Mty",F263="Sonara"),(M263*(1-_xlfn.XLOOKUP(F263,Proveedores!A:A,Proveedores!I:I)))*(1+N263),((M263*(1-_xlfn.XLOOKUP(F263,Proveedores!A:A,Proveedores!I:I)))*(1+N263))+U263),"")</f>
        <v/>
      </c>
      <c r="P263" s="1031"/>
      <c r="Q263" s="1133">
        <f>IF(K263&lt;&gt;"Importado",0,IF(P263&gt;0,P263*H263,IFERROR(_xlfn.XLOOKUP(F263,Proveedores!A:A,Proveedores!F:F,0)*H263,0)))</f>
        <v>0</v>
      </c>
      <c r="R263" s="1134" t="e">
        <f t="shared" si="200"/>
        <v>#VALUE!</v>
      </c>
      <c r="S263" s="743"/>
      <c r="T263" s="1034" t="e">
        <f t="shared" si="187"/>
        <v>#N/A</v>
      </c>
      <c r="U263" s="1034" t="e">
        <f t="shared" si="201"/>
        <v>#N/A</v>
      </c>
      <c r="V263" s="1165" t="e">
        <f t="shared" si="188"/>
        <v>#N/A</v>
      </c>
      <c r="W263" s="1034" t="e">
        <f t="shared" si="202"/>
        <v>#N/A</v>
      </c>
      <c r="X263" s="1034" t="b">
        <f t="shared" si="203"/>
        <v>0</v>
      </c>
      <c r="Y263" s="1034">
        <f t="shared" si="204"/>
        <v>0</v>
      </c>
      <c r="Z263" s="1034">
        <f t="shared" si="205"/>
        <v>0</v>
      </c>
      <c r="AA263" s="1034">
        <f t="shared" si="189"/>
        <v>0</v>
      </c>
      <c r="AB263" s="1034">
        <f t="shared" si="190"/>
        <v>0</v>
      </c>
      <c r="AC263" s="1033">
        <f t="shared" si="206"/>
        <v>0</v>
      </c>
      <c r="AD263" s="1266">
        <f t="shared" si="191"/>
        <v>0</v>
      </c>
      <c r="AE263" s="1093">
        <f t="shared" si="207"/>
        <v>0</v>
      </c>
      <c r="AF263" s="1093">
        <f t="shared" si="208"/>
        <v>0</v>
      </c>
      <c r="AG263" s="1093">
        <f t="shared" si="192"/>
        <v>0</v>
      </c>
      <c r="AH263" s="1033" t="e">
        <f t="shared" si="193"/>
        <v>#DIV/0!</v>
      </c>
      <c r="AI263" s="1091">
        <f t="shared" si="194"/>
        <v>0</v>
      </c>
      <c r="AJ263" s="1094">
        <f t="shared" si="195"/>
        <v>0</v>
      </c>
      <c r="AK263" s="1053" t="str">
        <f t="shared" si="196"/>
        <v/>
      </c>
      <c r="AL263" s="1053"/>
      <c r="AM263" s="1290">
        <f>_xlfn.XLOOKUP(F263,Proveedores!A:A,Proveedores!G:G)</f>
        <v>0</v>
      </c>
      <c r="AN263" s="1095" t="str">
        <f t="shared" si="209"/>
        <v>OK</v>
      </c>
    </row>
    <row r="264" spans="1:40" ht="15.95">
      <c r="A264" s="1090" t="b">
        <f t="shared" si="184"/>
        <v>1</v>
      </c>
      <c r="B264" s="1091" t="b">
        <f t="shared" si="197"/>
        <v>1</v>
      </c>
      <c r="C264" s="1092" t="str">
        <f t="shared" si="198"/>
        <v>Dólares</v>
      </c>
      <c r="D264" s="13"/>
      <c r="E264" s="743"/>
      <c r="F264" s="17"/>
      <c r="G264" s="17" t="str">
        <f t="shared" si="185"/>
        <v xml:space="preserve"> </v>
      </c>
      <c r="H264" s="12">
        <v>0</v>
      </c>
      <c r="I264" s="16" t="str">
        <f>IFERROR(VLOOKUP(G264,Proveedores!B:C,2,0)," ")</f>
        <v xml:space="preserve"> </v>
      </c>
      <c r="J264" s="745">
        <v>0</v>
      </c>
      <c r="K264" s="745" t="str">
        <f t="shared" si="186"/>
        <v>Not Found</v>
      </c>
      <c r="L264" s="16">
        <f>IF(K264="Importado",Fletes!$B$66,0%)</f>
        <v>0</v>
      </c>
      <c r="M264" s="745">
        <f t="shared" si="199"/>
        <v>0</v>
      </c>
      <c r="N264" s="16">
        <f>IF(K264&lt;&gt;"Importado",0%,IF(Fletes!$B$67&lt;10,15%,IF(Fletes!$B$67&lt;20,10%,5%)))</f>
        <v>0</v>
      </c>
      <c r="O264" s="745" t="str">
        <f>IFERROR(IF(OR(F264="Offiho",F264="Lauco Sofas",F264="Requiez",F264="Labenze",F264="Sunon Mty",F264="Sonara"),(M264*(1-_xlfn.XLOOKUP(F264,Proveedores!A:A,Proveedores!I:I)))*(1+N264),((M264*(1-_xlfn.XLOOKUP(F264,Proveedores!A:A,Proveedores!I:I)))*(1+N264))+U264),"")</f>
        <v/>
      </c>
      <c r="P264" s="1031"/>
      <c r="Q264" s="1133">
        <f>IF(K264&lt;&gt;"Importado",0,IF(P264&gt;0,P264*H264,IFERROR(_xlfn.XLOOKUP(F264,Proveedores!A:A,Proveedores!F:F,0)*H264,0)))</f>
        <v>0</v>
      </c>
      <c r="R264" s="1134" t="e">
        <f t="shared" si="200"/>
        <v>#VALUE!</v>
      </c>
      <c r="S264" s="743"/>
      <c r="T264" s="1034" t="e">
        <f t="shared" si="187"/>
        <v>#N/A</v>
      </c>
      <c r="U264" s="1034" t="e">
        <f t="shared" si="201"/>
        <v>#N/A</v>
      </c>
      <c r="V264" s="1165" t="e">
        <f t="shared" si="188"/>
        <v>#N/A</v>
      </c>
      <c r="W264" s="1034" t="e">
        <f t="shared" si="202"/>
        <v>#N/A</v>
      </c>
      <c r="X264" s="1034" t="b">
        <f t="shared" si="203"/>
        <v>0</v>
      </c>
      <c r="Y264" s="1034">
        <f t="shared" si="204"/>
        <v>0</v>
      </c>
      <c r="Z264" s="1034">
        <f t="shared" si="205"/>
        <v>0</v>
      </c>
      <c r="AA264" s="1034">
        <f t="shared" si="189"/>
        <v>0</v>
      </c>
      <c r="AB264" s="1034">
        <f t="shared" si="190"/>
        <v>0</v>
      </c>
      <c r="AC264" s="1033">
        <f t="shared" si="206"/>
        <v>0</v>
      </c>
      <c r="AD264" s="1266">
        <f t="shared" si="191"/>
        <v>0</v>
      </c>
      <c r="AE264" s="1093">
        <f t="shared" si="207"/>
        <v>0</v>
      </c>
      <c r="AF264" s="1093">
        <f t="shared" si="208"/>
        <v>0</v>
      </c>
      <c r="AG264" s="1093">
        <f t="shared" si="192"/>
        <v>0</v>
      </c>
      <c r="AH264" s="1033" t="e">
        <f t="shared" si="193"/>
        <v>#DIV/0!</v>
      </c>
      <c r="AI264" s="1091">
        <f t="shared" si="194"/>
        <v>0</v>
      </c>
      <c r="AJ264" s="1094">
        <f t="shared" si="195"/>
        <v>0</v>
      </c>
      <c r="AK264" s="1053" t="str">
        <f t="shared" si="196"/>
        <v/>
      </c>
      <c r="AL264" s="1053"/>
      <c r="AM264" s="1290">
        <f>_xlfn.XLOOKUP(F264,Proveedores!A:A,Proveedores!G:G)</f>
        <v>0</v>
      </c>
      <c r="AN264" s="1095" t="str">
        <f t="shared" si="209"/>
        <v>OK</v>
      </c>
    </row>
    <row r="265" spans="1:40" ht="15.95">
      <c r="A265" s="1090" t="b">
        <f t="shared" si="184"/>
        <v>1</v>
      </c>
      <c r="B265" s="1091" t="b">
        <f t="shared" si="197"/>
        <v>1</v>
      </c>
      <c r="C265" s="1092" t="str">
        <f t="shared" si="198"/>
        <v>Dólares</v>
      </c>
      <c r="D265" s="13"/>
      <c r="E265" s="743"/>
      <c r="F265" s="17"/>
      <c r="G265" s="17" t="str">
        <f t="shared" si="185"/>
        <v xml:space="preserve"> </v>
      </c>
      <c r="H265" s="12">
        <v>0</v>
      </c>
      <c r="I265" s="16" t="str">
        <f>IFERROR(VLOOKUP(G265,Proveedores!B:C,2,0)," ")</f>
        <v xml:space="preserve"> </v>
      </c>
      <c r="J265" s="745">
        <v>0</v>
      </c>
      <c r="K265" s="745" t="str">
        <f t="shared" si="186"/>
        <v>Not Found</v>
      </c>
      <c r="L265" s="16">
        <f>IF(K265="Importado",Fletes!$B$66,0%)</f>
        <v>0</v>
      </c>
      <c r="M265" s="745">
        <f t="shared" si="199"/>
        <v>0</v>
      </c>
      <c r="N265" s="16">
        <f>IF(K265&lt;&gt;"Importado",0%,IF(Fletes!$B$67&lt;10,15%,IF(Fletes!$B$67&lt;20,10%,5%)))</f>
        <v>0</v>
      </c>
      <c r="O265" s="745" t="str">
        <f>IFERROR(IF(OR(F265="Offiho",F265="Lauco Sofas",F265="Requiez",F265="Labenze",F265="Sunon Mty",F265="Sonara"),(M265*(1-_xlfn.XLOOKUP(F265,Proveedores!A:A,Proveedores!I:I)))*(1+N265),((M265*(1-_xlfn.XLOOKUP(F265,Proveedores!A:A,Proveedores!I:I)))*(1+N265))+U265),"")</f>
        <v/>
      </c>
      <c r="P265" s="1031"/>
      <c r="Q265" s="1133">
        <f>IF(K265&lt;&gt;"Importado",0,IF(P265&gt;0,P265*H265,IFERROR(_xlfn.XLOOKUP(F265,Proveedores!A:A,Proveedores!F:F,0)*H265,0)))</f>
        <v>0</v>
      </c>
      <c r="R265" s="1134" t="e">
        <f t="shared" si="200"/>
        <v>#VALUE!</v>
      </c>
      <c r="S265" s="743"/>
      <c r="T265" s="1034" t="e">
        <f t="shared" si="187"/>
        <v>#N/A</v>
      </c>
      <c r="U265" s="1034" t="e">
        <f t="shared" si="201"/>
        <v>#N/A</v>
      </c>
      <c r="V265" s="1165" t="e">
        <f t="shared" si="188"/>
        <v>#N/A</v>
      </c>
      <c r="W265" s="1034" t="e">
        <f t="shared" si="202"/>
        <v>#N/A</v>
      </c>
      <c r="X265" s="1034" t="b">
        <f t="shared" si="203"/>
        <v>0</v>
      </c>
      <c r="Y265" s="1034">
        <f t="shared" si="204"/>
        <v>0</v>
      </c>
      <c r="Z265" s="1034">
        <f t="shared" si="205"/>
        <v>0</v>
      </c>
      <c r="AA265" s="1034">
        <f t="shared" si="189"/>
        <v>0</v>
      </c>
      <c r="AB265" s="1034">
        <f t="shared" si="190"/>
        <v>0</v>
      </c>
      <c r="AC265" s="1033">
        <f t="shared" si="206"/>
        <v>0</v>
      </c>
      <c r="AD265" s="1266">
        <f t="shared" si="191"/>
        <v>0</v>
      </c>
      <c r="AE265" s="1093">
        <f t="shared" si="207"/>
        <v>0</v>
      </c>
      <c r="AF265" s="1093">
        <f t="shared" si="208"/>
        <v>0</v>
      </c>
      <c r="AG265" s="1093">
        <f t="shared" si="192"/>
        <v>0</v>
      </c>
      <c r="AH265" s="1033" t="e">
        <f t="shared" si="193"/>
        <v>#DIV/0!</v>
      </c>
      <c r="AI265" s="1091">
        <f t="shared" si="194"/>
        <v>0</v>
      </c>
      <c r="AJ265" s="1094">
        <f t="shared" si="195"/>
        <v>0</v>
      </c>
      <c r="AK265" s="1053" t="str">
        <f t="shared" si="196"/>
        <v/>
      </c>
      <c r="AL265" s="1053"/>
      <c r="AM265" s="1290">
        <f>_xlfn.XLOOKUP(F265,Proveedores!A:A,Proveedores!G:G)</f>
        <v>0</v>
      </c>
      <c r="AN265" s="1095" t="str">
        <f t="shared" si="209"/>
        <v>OK</v>
      </c>
    </row>
    <row r="266" spans="1:40" ht="15.95">
      <c r="A266" s="1090" t="b">
        <f t="shared" si="184"/>
        <v>1</v>
      </c>
      <c r="B266" s="1091" t="b">
        <f t="shared" si="197"/>
        <v>1</v>
      </c>
      <c r="C266" s="1092" t="str">
        <f t="shared" si="198"/>
        <v>Dólares</v>
      </c>
      <c r="D266" s="11"/>
      <c r="E266" s="743"/>
      <c r="F266" s="17"/>
      <c r="G266" s="17" t="str">
        <f t="shared" si="185"/>
        <v xml:space="preserve"> </v>
      </c>
      <c r="H266" s="12">
        <v>0</v>
      </c>
      <c r="I266" s="16" t="str">
        <f>IFERROR(VLOOKUP(G266,Proveedores!B:C,2,0)," ")</f>
        <v xml:space="preserve"> </v>
      </c>
      <c r="J266" s="745">
        <v>0</v>
      </c>
      <c r="K266" s="745" t="str">
        <f t="shared" si="186"/>
        <v>Not Found</v>
      </c>
      <c r="L266" s="16">
        <f>IF(K266="Importado",Fletes!$B$66,0%)</f>
        <v>0</v>
      </c>
      <c r="M266" s="745">
        <f t="shared" si="199"/>
        <v>0</v>
      </c>
      <c r="N266" s="16">
        <f>IF(K266&lt;&gt;"Importado",0%,IF(Fletes!$B$67&lt;10,15%,IF(Fletes!$B$67&lt;20,10%,5%)))</f>
        <v>0</v>
      </c>
      <c r="O266" s="745" t="str">
        <f>IFERROR(IF(OR(F266="Offiho",F266="Lauco Sofas",F266="Requiez",F266="Labenze",F266="Sunon Mty",F266="Sonara"),(M266*(1-_xlfn.XLOOKUP(F266,Proveedores!A:A,Proveedores!I:I)))*(1+N266),((M266*(1-_xlfn.XLOOKUP(F266,Proveedores!A:A,Proveedores!I:I)))*(1+N266))+U266),"")</f>
        <v/>
      </c>
      <c r="P266" s="1031"/>
      <c r="Q266" s="1133">
        <f>IF(K266&lt;&gt;"Importado",0,IF(P266&gt;0,P266*H266,IFERROR(_xlfn.XLOOKUP(F266,Proveedores!A:A,Proveedores!F:F,0)*H266,0)))</f>
        <v>0</v>
      </c>
      <c r="R266" s="1134" t="e">
        <f t="shared" si="200"/>
        <v>#VALUE!</v>
      </c>
      <c r="S266" s="743"/>
      <c r="T266" s="1034" t="e">
        <f t="shared" si="187"/>
        <v>#N/A</v>
      </c>
      <c r="U266" s="1034" t="e">
        <f t="shared" si="201"/>
        <v>#N/A</v>
      </c>
      <c r="V266" s="1165" t="e">
        <f t="shared" si="188"/>
        <v>#N/A</v>
      </c>
      <c r="W266" s="1034" t="e">
        <f t="shared" si="202"/>
        <v>#N/A</v>
      </c>
      <c r="X266" s="1034" t="b">
        <f t="shared" si="203"/>
        <v>0</v>
      </c>
      <c r="Y266" s="1034">
        <f t="shared" si="204"/>
        <v>0</v>
      </c>
      <c r="Z266" s="1034">
        <f t="shared" si="205"/>
        <v>0</v>
      </c>
      <c r="AA266" s="1034">
        <f t="shared" si="189"/>
        <v>0</v>
      </c>
      <c r="AB266" s="1034">
        <f t="shared" si="190"/>
        <v>0</v>
      </c>
      <c r="AC266" s="1033">
        <f t="shared" si="206"/>
        <v>0</v>
      </c>
      <c r="AD266" s="1266">
        <f t="shared" si="191"/>
        <v>0</v>
      </c>
      <c r="AE266" s="1093">
        <f t="shared" si="207"/>
        <v>0</v>
      </c>
      <c r="AF266" s="1093">
        <f t="shared" si="208"/>
        <v>0</v>
      </c>
      <c r="AG266" s="1093">
        <f t="shared" si="192"/>
        <v>0</v>
      </c>
      <c r="AH266" s="1033" t="e">
        <f t="shared" si="193"/>
        <v>#DIV/0!</v>
      </c>
      <c r="AI266" s="1091">
        <f t="shared" si="194"/>
        <v>0</v>
      </c>
      <c r="AJ266" s="1094">
        <f t="shared" si="195"/>
        <v>0</v>
      </c>
      <c r="AK266" s="1053" t="str">
        <f t="shared" si="196"/>
        <v/>
      </c>
      <c r="AL266" s="1053"/>
      <c r="AM266" s="1290">
        <f>_xlfn.XLOOKUP(F266,Proveedores!A:A,Proveedores!G:G)</f>
        <v>0</v>
      </c>
      <c r="AN266" s="1095" t="str">
        <f t="shared" si="209"/>
        <v>OK</v>
      </c>
    </row>
    <row r="267" spans="1:40" ht="15.95">
      <c r="A267" s="1090" t="b">
        <f t="shared" si="184"/>
        <v>1</v>
      </c>
      <c r="B267" s="1091" t="b">
        <f t="shared" si="197"/>
        <v>1</v>
      </c>
      <c r="C267" s="1092" t="str">
        <f t="shared" si="198"/>
        <v>Dólares</v>
      </c>
      <c r="D267" s="11"/>
      <c r="E267" s="743"/>
      <c r="F267" s="17"/>
      <c r="G267" s="17" t="str">
        <f t="shared" si="185"/>
        <v xml:space="preserve"> </v>
      </c>
      <c r="H267" s="12">
        <v>0</v>
      </c>
      <c r="I267" s="16" t="str">
        <f>IFERROR(VLOOKUP(G267,Proveedores!B:C,2,0)," ")</f>
        <v xml:space="preserve"> </v>
      </c>
      <c r="J267" s="745">
        <v>0</v>
      </c>
      <c r="K267" s="745" t="str">
        <f t="shared" si="186"/>
        <v>Not Found</v>
      </c>
      <c r="L267" s="16">
        <f>IF(K267="Importado",Fletes!$B$66,0%)</f>
        <v>0</v>
      </c>
      <c r="M267" s="745">
        <f t="shared" si="199"/>
        <v>0</v>
      </c>
      <c r="N267" s="16">
        <f>IF(K267&lt;&gt;"Importado",0%,IF(Fletes!$B$67&lt;10,15%,IF(Fletes!$B$67&lt;20,10%,5%)))</f>
        <v>0</v>
      </c>
      <c r="O267" s="745" t="str">
        <f>IFERROR(IF(OR(F267="Offiho",F267="Lauco Sofas",F267="Requiez",F267="Labenze",F267="Sunon Mty",F267="Sonara"),(M267*(1-_xlfn.XLOOKUP(F267,Proveedores!A:A,Proveedores!I:I)))*(1+N267),((M267*(1-_xlfn.XLOOKUP(F267,Proveedores!A:A,Proveedores!I:I)))*(1+N267))+U267),"")</f>
        <v/>
      </c>
      <c r="P267" s="1031"/>
      <c r="Q267" s="1133">
        <f>IF(K267&lt;&gt;"Importado",0,IF(P267&gt;0,P267*H267,IFERROR(_xlfn.XLOOKUP(F267,Proveedores!A:A,Proveedores!F:F,0)*H267,0)))</f>
        <v>0</v>
      </c>
      <c r="R267" s="1134" t="e">
        <f t="shared" si="200"/>
        <v>#VALUE!</v>
      </c>
      <c r="S267" s="743"/>
      <c r="T267" s="1034" t="e">
        <f t="shared" si="187"/>
        <v>#N/A</v>
      </c>
      <c r="U267" s="1034" t="e">
        <f t="shared" si="201"/>
        <v>#N/A</v>
      </c>
      <c r="V267" s="1165" t="e">
        <f t="shared" si="188"/>
        <v>#N/A</v>
      </c>
      <c r="W267" s="1034" t="e">
        <f t="shared" si="202"/>
        <v>#N/A</v>
      </c>
      <c r="X267" s="1034" t="b">
        <f t="shared" si="203"/>
        <v>0</v>
      </c>
      <c r="Y267" s="1034">
        <f t="shared" si="204"/>
        <v>0</v>
      </c>
      <c r="Z267" s="1034">
        <f t="shared" si="205"/>
        <v>0</v>
      </c>
      <c r="AA267" s="1034">
        <f t="shared" si="189"/>
        <v>0</v>
      </c>
      <c r="AB267" s="1034">
        <f t="shared" si="190"/>
        <v>0</v>
      </c>
      <c r="AC267" s="1033">
        <f t="shared" si="206"/>
        <v>0</v>
      </c>
      <c r="AD267" s="1266">
        <f t="shared" si="191"/>
        <v>0</v>
      </c>
      <c r="AE267" s="1093">
        <f t="shared" si="207"/>
        <v>0</v>
      </c>
      <c r="AF267" s="1093">
        <f t="shared" si="208"/>
        <v>0</v>
      </c>
      <c r="AG267" s="1093">
        <f t="shared" si="192"/>
        <v>0</v>
      </c>
      <c r="AH267" s="1033" t="e">
        <f t="shared" si="193"/>
        <v>#DIV/0!</v>
      </c>
      <c r="AI267" s="1091">
        <f t="shared" si="194"/>
        <v>0</v>
      </c>
      <c r="AJ267" s="1094">
        <f t="shared" si="195"/>
        <v>0</v>
      </c>
      <c r="AK267" s="1053" t="str">
        <f t="shared" si="196"/>
        <v/>
      </c>
      <c r="AL267" s="1053"/>
      <c r="AM267" s="1290">
        <f>_xlfn.XLOOKUP(F267,Proveedores!A:A,Proveedores!G:G)</f>
        <v>0</v>
      </c>
      <c r="AN267" s="1095" t="str">
        <f t="shared" si="209"/>
        <v>OK</v>
      </c>
    </row>
    <row r="268" spans="1:40" ht="15.95">
      <c r="A268" s="1090" t="b">
        <f t="shared" si="184"/>
        <v>1</v>
      </c>
      <c r="B268" s="1091" t="b">
        <f t="shared" si="197"/>
        <v>1</v>
      </c>
      <c r="C268" s="1092" t="str">
        <f t="shared" si="198"/>
        <v>Dólares</v>
      </c>
      <c r="D268" s="11"/>
      <c r="E268" s="743"/>
      <c r="F268" s="17"/>
      <c r="G268" s="17" t="str">
        <f t="shared" si="185"/>
        <v xml:space="preserve"> </v>
      </c>
      <c r="H268" s="12">
        <v>0</v>
      </c>
      <c r="I268" s="16" t="str">
        <f>IFERROR(VLOOKUP(G268,Proveedores!B:C,2,0)," ")</f>
        <v xml:space="preserve"> </v>
      </c>
      <c r="J268" s="745">
        <v>0</v>
      </c>
      <c r="K268" s="745" t="str">
        <f t="shared" si="186"/>
        <v>Not Found</v>
      </c>
      <c r="L268" s="16">
        <f>IF(K268="Importado",Fletes!$B$66,0%)</f>
        <v>0</v>
      </c>
      <c r="M268" s="745">
        <f t="shared" si="199"/>
        <v>0</v>
      </c>
      <c r="N268" s="16">
        <f>IF(K268&lt;&gt;"Importado",0%,IF(Fletes!$B$67&lt;10,15%,IF(Fletes!$B$67&lt;20,10%,5%)))</f>
        <v>0</v>
      </c>
      <c r="O268" s="745" t="str">
        <f>IFERROR(IF(OR(F268="Offiho",F268="Lauco Sofas",F268="Requiez",F268="Labenze",F268="Sunon Mty",F268="Sonara"),(M268*(1-_xlfn.XLOOKUP(F268,Proveedores!A:A,Proveedores!I:I)))*(1+N268),((M268*(1-_xlfn.XLOOKUP(F268,Proveedores!A:A,Proveedores!I:I)))*(1+N268))+U268),"")</f>
        <v/>
      </c>
      <c r="P268" s="1031"/>
      <c r="Q268" s="1133">
        <f>IF(K268&lt;&gt;"Importado",0,IF(P268&gt;0,P268*H268,IFERROR(_xlfn.XLOOKUP(F268,Proveedores!A:A,Proveedores!F:F,0)*H268,0)))</f>
        <v>0</v>
      </c>
      <c r="R268" s="1134" t="e">
        <f t="shared" si="200"/>
        <v>#VALUE!</v>
      </c>
      <c r="S268" s="743"/>
      <c r="T268" s="1034" t="e">
        <f t="shared" si="187"/>
        <v>#N/A</v>
      </c>
      <c r="U268" s="1034" t="e">
        <f t="shared" si="201"/>
        <v>#N/A</v>
      </c>
      <c r="V268" s="1165" t="e">
        <f t="shared" si="188"/>
        <v>#N/A</v>
      </c>
      <c r="W268" s="1034" t="e">
        <f t="shared" si="202"/>
        <v>#N/A</v>
      </c>
      <c r="X268" s="1034" t="b">
        <f t="shared" si="203"/>
        <v>0</v>
      </c>
      <c r="Y268" s="1034">
        <f t="shared" si="204"/>
        <v>0</v>
      </c>
      <c r="Z268" s="1034">
        <f t="shared" si="205"/>
        <v>0</v>
      </c>
      <c r="AA268" s="1034">
        <f t="shared" si="189"/>
        <v>0</v>
      </c>
      <c r="AB268" s="1034">
        <f t="shared" si="190"/>
        <v>0</v>
      </c>
      <c r="AC268" s="1033">
        <f t="shared" si="206"/>
        <v>0</v>
      </c>
      <c r="AD268" s="1266">
        <f t="shared" si="191"/>
        <v>0</v>
      </c>
      <c r="AE268" s="1093">
        <f t="shared" si="207"/>
        <v>0</v>
      </c>
      <c r="AF268" s="1093">
        <f t="shared" si="208"/>
        <v>0</v>
      </c>
      <c r="AG268" s="1093">
        <f t="shared" si="192"/>
        <v>0</v>
      </c>
      <c r="AH268" s="1033" t="e">
        <f t="shared" si="193"/>
        <v>#DIV/0!</v>
      </c>
      <c r="AI268" s="1091">
        <f t="shared" si="194"/>
        <v>0</v>
      </c>
      <c r="AJ268" s="1094">
        <f t="shared" si="195"/>
        <v>0</v>
      </c>
      <c r="AK268" s="1053" t="str">
        <f t="shared" si="196"/>
        <v/>
      </c>
      <c r="AL268" s="1053"/>
      <c r="AM268" s="1290">
        <f>_xlfn.XLOOKUP(F268,Proveedores!A:A,Proveedores!G:G)</f>
        <v>0</v>
      </c>
      <c r="AN268" s="1095" t="str">
        <f t="shared" si="209"/>
        <v>OK</v>
      </c>
    </row>
    <row r="269" spans="1:40" ht="15.95">
      <c r="A269" s="1090" t="b">
        <f t="shared" si="184"/>
        <v>1</v>
      </c>
      <c r="B269" s="1091" t="b">
        <f t="shared" si="197"/>
        <v>1</v>
      </c>
      <c r="C269" s="1092" t="str">
        <f t="shared" si="198"/>
        <v>Dólares</v>
      </c>
      <c r="D269" s="11"/>
      <c r="E269" s="743"/>
      <c r="F269" s="17"/>
      <c r="G269" s="17" t="str">
        <f t="shared" si="185"/>
        <v xml:space="preserve"> </v>
      </c>
      <c r="H269" s="12">
        <v>0</v>
      </c>
      <c r="I269" s="16" t="str">
        <f>IFERROR(VLOOKUP(G269,Proveedores!B:C,2,0)," ")</f>
        <v xml:space="preserve"> </v>
      </c>
      <c r="J269" s="745">
        <v>0</v>
      </c>
      <c r="K269" s="745" t="str">
        <f t="shared" si="186"/>
        <v>Not Found</v>
      </c>
      <c r="L269" s="16">
        <f>IF(K269="Importado",Fletes!$B$66,0%)</f>
        <v>0</v>
      </c>
      <c r="M269" s="745">
        <f t="shared" si="199"/>
        <v>0</v>
      </c>
      <c r="N269" s="16">
        <f>IF(K269&lt;&gt;"Importado",0%,IF(Fletes!$B$67&lt;10,15%,IF(Fletes!$B$67&lt;20,10%,5%)))</f>
        <v>0</v>
      </c>
      <c r="O269" s="745" t="str">
        <f>IFERROR(IF(OR(F269="Offiho",F269="Lauco Sofas",F269="Requiez",F269="Labenze",F269="Sunon Mty",F269="Sonara"),(M269*(1-_xlfn.XLOOKUP(F269,Proveedores!A:A,Proveedores!I:I)))*(1+N269),((M269*(1-_xlfn.XLOOKUP(F269,Proveedores!A:A,Proveedores!I:I)))*(1+N269))+U269),"")</f>
        <v/>
      </c>
      <c r="P269" s="1031"/>
      <c r="Q269" s="1133">
        <f>IF(K269&lt;&gt;"Importado",0,IF(P269&gt;0,P269*H269,IFERROR(_xlfn.XLOOKUP(F269,Proveedores!A:A,Proveedores!F:F,0)*H269,0)))</f>
        <v>0</v>
      </c>
      <c r="R269" s="1134" t="e">
        <f t="shared" si="200"/>
        <v>#VALUE!</v>
      </c>
      <c r="S269" s="743"/>
      <c r="T269" s="1034" t="e">
        <f t="shared" si="187"/>
        <v>#N/A</v>
      </c>
      <c r="U269" s="1034" t="e">
        <f t="shared" si="201"/>
        <v>#N/A</v>
      </c>
      <c r="V269" s="1165" t="e">
        <f t="shared" si="188"/>
        <v>#N/A</v>
      </c>
      <c r="W269" s="1034" t="e">
        <f t="shared" si="202"/>
        <v>#N/A</v>
      </c>
      <c r="X269" s="1034" t="b">
        <f t="shared" si="203"/>
        <v>0</v>
      </c>
      <c r="Y269" s="1034">
        <f t="shared" si="204"/>
        <v>0</v>
      </c>
      <c r="Z269" s="1034">
        <f t="shared" si="205"/>
        <v>0</v>
      </c>
      <c r="AA269" s="1034">
        <f t="shared" si="189"/>
        <v>0</v>
      </c>
      <c r="AB269" s="1034">
        <f t="shared" si="190"/>
        <v>0</v>
      </c>
      <c r="AC269" s="1033">
        <f t="shared" si="206"/>
        <v>0</v>
      </c>
      <c r="AD269" s="1266">
        <f t="shared" si="191"/>
        <v>0</v>
      </c>
      <c r="AE269" s="1093">
        <f t="shared" si="207"/>
        <v>0</v>
      </c>
      <c r="AF269" s="1093">
        <f t="shared" si="208"/>
        <v>0</v>
      </c>
      <c r="AG269" s="1093">
        <f t="shared" si="192"/>
        <v>0</v>
      </c>
      <c r="AH269" s="1033" t="e">
        <f t="shared" si="193"/>
        <v>#DIV/0!</v>
      </c>
      <c r="AI269" s="1091">
        <f t="shared" si="194"/>
        <v>0</v>
      </c>
      <c r="AJ269" s="1094">
        <f t="shared" si="195"/>
        <v>0</v>
      </c>
      <c r="AK269" s="1053" t="str">
        <f t="shared" si="196"/>
        <v/>
      </c>
      <c r="AL269" s="1053"/>
      <c r="AM269" s="1290">
        <f>_xlfn.XLOOKUP(F269,Proveedores!A:A,Proveedores!G:G)</f>
        <v>0</v>
      </c>
      <c r="AN269" s="1095" t="str">
        <f t="shared" si="209"/>
        <v>OK</v>
      </c>
    </row>
    <row r="270" spans="1:40" ht="15.95">
      <c r="A270" s="1090" t="b">
        <f t="shared" si="184"/>
        <v>1</v>
      </c>
      <c r="B270" s="1091" t="b">
        <f t="shared" si="197"/>
        <v>1</v>
      </c>
      <c r="C270" s="1092" t="str">
        <f t="shared" si="198"/>
        <v>Dólares</v>
      </c>
      <c r="D270" s="13"/>
      <c r="E270" s="743"/>
      <c r="F270" s="17"/>
      <c r="G270" s="17" t="str">
        <f t="shared" si="185"/>
        <v xml:space="preserve"> </v>
      </c>
      <c r="H270" s="12">
        <v>0</v>
      </c>
      <c r="I270" s="16" t="str">
        <f>IFERROR(VLOOKUP(G270,Proveedores!B:C,2,0)," ")</f>
        <v xml:space="preserve"> </v>
      </c>
      <c r="J270" s="745">
        <v>0</v>
      </c>
      <c r="K270" s="745" t="str">
        <f t="shared" si="186"/>
        <v>Not Found</v>
      </c>
      <c r="L270" s="16">
        <f>IF(K270="Importado",Fletes!$B$66,0%)</f>
        <v>0</v>
      </c>
      <c r="M270" s="745">
        <f t="shared" si="199"/>
        <v>0</v>
      </c>
      <c r="N270" s="16">
        <f>IF(K270&lt;&gt;"Importado",0%,IF(Fletes!$B$67&lt;10,15%,IF(Fletes!$B$67&lt;20,10%,5%)))</f>
        <v>0</v>
      </c>
      <c r="O270" s="745" t="str">
        <f>IFERROR(IF(OR(F270="Offiho",F270="Lauco Sofas",F270="Requiez",F270="Labenze",F270="Sunon Mty",F270="Sonara"),(M270*(1-_xlfn.XLOOKUP(F270,Proveedores!A:A,Proveedores!I:I)))*(1+N270),((M270*(1-_xlfn.XLOOKUP(F270,Proveedores!A:A,Proveedores!I:I)))*(1+N270))+U270),"")</f>
        <v/>
      </c>
      <c r="P270" s="1031"/>
      <c r="Q270" s="1133">
        <f>IF(K270&lt;&gt;"Importado",0,IF(P270&gt;0,P270*H270,IFERROR(_xlfn.XLOOKUP(F270,Proveedores!A:A,Proveedores!F:F,0)*H270,0)))</f>
        <v>0</v>
      </c>
      <c r="R270" s="1134" t="e">
        <f t="shared" si="200"/>
        <v>#VALUE!</v>
      </c>
      <c r="S270" s="743"/>
      <c r="T270" s="1034" t="e">
        <f t="shared" si="187"/>
        <v>#N/A</v>
      </c>
      <c r="U270" s="1034" t="e">
        <f t="shared" si="201"/>
        <v>#N/A</v>
      </c>
      <c r="V270" s="1165" t="e">
        <f t="shared" si="188"/>
        <v>#N/A</v>
      </c>
      <c r="W270" s="1034" t="e">
        <f t="shared" si="202"/>
        <v>#N/A</v>
      </c>
      <c r="X270" s="1034" t="b">
        <f t="shared" si="203"/>
        <v>0</v>
      </c>
      <c r="Y270" s="1034">
        <f t="shared" si="204"/>
        <v>0</v>
      </c>
      <c r="Z270" s="1034">
        <f t="shared" si="205"/>
        <v>0</v>
      </c>
      <c r="AA270" s="1034">
        <f t="shared" si="189"/>
        <v>0</v>
      </c>
      <c r="AB270" s="1034">
        <f t="shared" si="190"/>
        <v>0</v>
      </c>
      <c r="AC270" s="1033">
        <f t="shared" si="206"/>
        <v>0</v>
      </c>
      <c r="AD270" s="1266">
        <f t="shared" si="191"/>
        <v>0</v>
      </c>
      <c r="AE270" s="1093">
        <f t="shared" si="207"/>
        <v>0</v>
      </c>
      <c r="AF270" s="1093">
        <f t="shared" si="208"/>
        <v>0</v>
      </c>
      <c r="AG270" s="1093">
        <f t="shared" si="192"/>
        <v>0</v>
      </c>
      <c r="AH270" s="1033" t="e">
        <f t="shared" si="193"/>
        <v>#DIV/0!</v>
      </c>
      <c r="AI270" s="1091">
        <f t="shared" si="194"/>
        <v>0</v>
      </c>
      <c r="AJ270" s="1094">
        <f t="shared" si="195"/>
        <v>0</v>
      </c>
      <c r="AK270" s="1053" t="str">
        <f t="shared" si="196"/>
        <v/>
      </c>
      <c r="AL270" s="1053"/>
      <c r="AM270" s="1290">
        <f>_xlfn.XLOOKUP(F270,Proveedores!A:A,Proveedores!G:G)</f>
        <v>0</v>
      </c>
      <c r="AN270" s="1095" t="str">
        <f t="shared" si="209"/>
        <v>OK</v>
      </c>
    </row>
    <row r="271" spans="1:40" ht="15.95">
      <c r="A271" s="1090" t="b">
        <f t="shared" si="184"/>
        <v>1</v>
      </c>
      <c r="B271" s="1091" t="b">
        <f t="shared" si="197"/>
        <v>1</v>
      </c>
      <c r="C271" s="1092" t="str">
        <f t="shared" si="198"/>
        <v>Dólares</v>
      </c>
      <c r="D271" s="13"/>
      <c r="E271" s="743"/>
      <c r="F271" s="17"/>
      <c r="G271" s="17" t="str">
        <f t="shared" si="185"/>
        <v xml:space="preserve"> </v>
      </c>
      <c r="H271" s="12">
        <v>0</v>
      </c>
      <c r="I271" s="16" t="str">
        <f>IFERROR(VLOOKUP(G271,Proveedores!B:C,2,0)," ")</f>
        <v xml:space="preserve"> </v>
      </c>
      <c r="J271" s="745">
        <v>0</v>
      </c>
      <c r="K271" s="745" t="str">
        <f t="shared" si="186"/>
        <v>Not Found</v>
      </c>
      <c r="L271" s="16">
        <f>IF(K271="Importado",Fletes!$B$66,0%)</f>
        <v>0</v>
      </c>
      <c r="M271" s="745">
        <f t="shared" si="199"/>
        <v>0</v>
      </c>
      <c r="N271" s="16">
        <f>IF(K271&lt;&gt;"Importado",0%,IF(Fletes!$B$67&lt;10,15%,IF(Fletes!$B$67&lt;20,10%,5%)))</f>
        <v>0</v>
      </c>
      <c r="O271" s="745" t="str">
        <f>IFERROR(IF(OR(F271="Offiho",F271="Lauco Sofas",F271="Requiez",F271="Labenze",F271="Sunon Mty",F271="Sonara"),(M271*(1-_xlfn.XLOOKUP(F271,Proveedores!A:A,Proveedores!I:I)))*(1+N271),((M271*(1-_xlfn.XLOOKUP(F271,Proveedores!A:A,Proveedores!I:I)))*(1+N271))+U271),"")</f>
        <v/>
      </c>
      <c r="P271" s="1031"/>
      <c r="Q271" s="1133">
        <f>IF(K271&lt;&gt;"Importado",0,IF(P271&gt;0,P271*H271,IFERROR(_xlfn.XLOOKUP(F271,Proveedores!A:A,Proveedores!F:F,0)*H271,0)))</f>
        <v>0</v>
      </c>
      <c r="R271" s="1134" t="e">
        <f t="shared" si="200"/>
        <v>#VALUE!</v>
      </c>
      <c r="S271" s="743"/>
      <c r="T271" s="1034" t="e">
        <f t="shared" si="187"/>
        <v>#N/A</v>
      </c>
      <c r="U271" s="1034" t="e">
        <f t="shared" si="201"/>
        <v>#N/A</v>
      </c>
      <c r="V271" s="1165" t="e">
        <f t="shared" si="188"/>
        <v>#N/A</v>
      </c>
      <c r="W271" s="1034" t="e">
        <f t="shared" si="202"/>
        <v>#N/A</v>
      </c>
      <c r="X271" s="1034" t="b">
        <f t="shared" si="203"/>
        <v>0</v>
      </c>
      <c r="Y271" s="1034">
        <f t="shared" si="204"/>
        <v>0</v>
      </c>
      <c r="Z271" s="1034">
        <f t="shared" si="205"/>
        <v>0</v>
      </c>
      <c r="AA271" s="1034">
        <f t="shared" si="189"/>
        <v>0</v>
      </c>
      <c r="AB271" s="1034">
        <f t="shared" si="190"/>
        <v>0</v>
      </c>
      <c r="AC271" s="1033">
        <f t="shared" si="206"/>
        <v>0</v>
      </c>
      <c r="AD271" s="1266">
        <f t="shared" si="191"/>
        <v>0</v>
      </c>
      <c r="AE271" s="1093">
        <f t="shared" si="207"/>
        <v>0</v>
      </c>
      <c r="AF271" s="1093">
        <f t="shared" si="208"/>
        <v>0</v>
      </c>
      <c r="AG271" s="1093">
        <f t="shared" si="192"/>
        <v>0</v>
      </c>
      <c r="AH271" s="1033" t="e">
        <f t="shared" si="193"/>
        <v>#DIV/0!</v>
      </c>
      <c r="AI271" s="1091">
        <f t="shared" si="194"/>
        <v>0</v>
      </c>
      <c r="AJ271" s="1094">
        <f t="shared" si="195"/>
        <v>0</v>
      </c>
      <c r="AK271" s="1053" t="str">
        <f t="shared" si="196"/>
        <v/>
      </c>
      <c r="AL271" s="1053"/>
      <c r="AM271" s="1290">
        <f>_xlfn.XLOOKUP(F271,Proveedores!A:A,Proveedores!G:G)</f>
        <v>0</v>
      </c>
      <c r="AN271" s="1095" t="str">
        <f t="shared" si="209"/>
        <v>OK</v>
      </c>
    </row>
    <row r="272" spans="1:40" ht="15.95">
      <c r="A272" s="1090" t="b">
        <f t="shared" si="184"/>
        <v>1</v>
      </c>
      <c r="B272" s="1091" t="b">
        <f t="shared" si="197"/>
        <v>1</v>
      </c>
      <c r="C272" s="1092" t="str">
        <f t="shared" si="198"/>
        <v>Dólares</v>
      </c>
      <c r="D272" s="13"/>
      <c r="E272" s="743"/>
      <c r="F272" s="17"/>
      <c r="G272" s="17" t="str">
        <f t="shared" si="185"/>
        <v xml:space="preserve"> </v>
      </c>
      <c r="H272" s="12">
        <v>0</v>
      </c>
      <c r="I272" s="16" t="str">
        <f>IFERROR(VLOOKUP(G272,Proveedores!B:C,2,0)," ")</f>
        <v xml:space="preserve"> </v>
      </c>
      <c r="J272" s="745">
        <v>0</v>
      </c>
      <c r="K272" s="745" t="str">
        <f t="shared" si="186"/>
        <v>Not Found</v>
      </c>
      <c r="L272" s="16">
        <f>IF(K272="Importado",Fletes!$B$66,0%)</f>
        <v>0</v>
      </c>
      <c r="M272" s="745">
        <f t="shared" si="199"/>
        <v>0</v>
      </c>
      <c r="N272" s="16">
        <f>IF(K272&lt;&gt;"Importado",0%,IF(Fletes!$B$67&lt;10,15%,IF(Fletes!$B$67&lt;20,10%,5%)))</f>
        <v>0</v>
      </c>
      <c r="O272" s="745" t="str">
        <f>IFERROR(IF(OR(F272="Offiho",F272="Lauco Sofas",F272="Requiez",F272="Labenze",F272="Sunon Mty",F272="Sonara"),(M272*(1-_xlfn.XLOOKUP(F272,Proveedores!A:A,Proveedores!I:I)))*(1+N272),((M272*(1-_xlfn.XLOOKUP(F272,Proveedores!A:A,Proveedores!I:I)))*(1+N272))+U272),"")</f>
        <v/>
      </c>
      <c r="P272" s="1031"/>
      <c r="Q272" s="1133">
        <f>IF(K272&lt;&gt;"Importado",0,IF(P272&gt;0,P272*H272,IFERROR(_xlfn.XLOOKUP(F272,Proveedores!A:A,Proveedores!F:F,0)*H272,0)))</f>
        <v>0</v>
      </c>
      <c r="R272" s="1134" t="e">
        <f t="shared" si="200"/>
        <v>#VALUE!</v>
      </c>
      <c r="S272" s="743"/>
      <c r="T272" s="1034" t="e">
        <f t="shared" si="187"/>
        <v>#N/A</v>
      </c>
      <c r="U272" s="1034" t="e">
        <f t="shared" si="201"/>
        <v>#N/A</v>
      </c>
      <c r="V272" s="1165" t="e">
        <f t="shared" si="188"/>
        <v>#N/A</v>
      </c>
      <c r="W272" s="1034" t="e">
        <f t="shared" si="202"/>
        <v>#N/A</v>
      </c>
      <c r="X272" s="1034" t="b">
        <f t="shared" si="203"/>
        <v>0</v>
      </c>
      <c r="Y272" s="1034">
        <f t="shared" si="204"/>
        <v>0</v>
      </c>
      <c r="Z272" s="1034">
        <f t="shared" si="205"/>
        <v>0</v>
      </c>
      <c r="AA272" s="1034">
        <f t="shared" si="189"/>
        <v>0</v>
      </c>
      <c r="AB272" s="1034">
        <f t="shared" si="190"/>
        <v>0</v>
      </c>
      <c r="AC272" s="1033">
        <f t="shared" si="206"/>
        <v>0</v>
      </c>
      <c r="AD272" s="1266">
        <f t="shared" si="191"/>
        <v>0</v>
      </c>
      <c r="AE272" s="1093">
        <f t="shared" si="207"/>
        <v>0</v>
      </c>
      <c r="AF272" s="1093">
        <f t="shared" si="208"/>
        <v>0</v>
      </c>
      <c r="AG272" s="1093">
        <f t="shared" si="192"/>
        <v>0</v>
      </c>
      <c r="AH272" s="1033" t="e">
        <f t="shared" si="193"/>
        <v>#DIV/0!</v>
      </c>
      <c r="AI272" s="1091">
        <f t="shared" si="194"/>
        <v>0</v>
      </c>
      <c r="AJ272" s="1094">
        <f t="shared" si="195"/>
        <v>0</v>
      </c>
      <c r="AK272" s="1053" t="str">
        <f t="shared" si="196"/>
        <v/>
      </c>
      <c r="AL272" s="1053"/>
      <c r="AM272" s="1290">
        <f>_xlfn.XLOOKUP(F272,Proveedores!A:A,Proveedores!G:G)</f>
        <v>0</v>
      </c>
      <c r="AN272" s="1095" t="str">
        <f t="shared" si="209"/>
        <v>OK</v>
      </c>
    </row>
    <row r="273" spans="1:40" ht="15.95">
      <c r="A273" s="1090" t="b">
        <f t="shared" si="184"/>
        <v>1</v>
      </c>
      <c r="B273" s="1091" t="b">
        <f t="shared" si="197"/>
        <v>1</v>
      </c>
      <c r="C273" s="1092" t="str">
        <f t="shared" si="198"/>
        <v>Dólares</v>
      </c>
      <c r="D273" s="13"/>
      <c r="E273" s="743"/>
      <c r="F273" s="17"/>
      <c r="G273" s="17" t="str">
        <f t="shared" si="185"/>
        <v xml:space="preserve"> </v>
      </c>
      <c r="H273" s="12">
        <v>0</v>
      </c>
      <c r="I273" s="16" t="str">
        <f>IFERROR(VLOOKUP(G273,Proveedores!B:C,2,0)," ")</f>
        <v xml:space="preserve"> </v>
      </c>
      <c r="J273" s="745">
        <v>0</v>
      </c>
      <c r="K273" s="745" t="str">
        <f t="shared" si="186"/>
        <v>Not Found</v>
      </c>
      <c r="L273" s="16">
        <f>IF(K273="Importado",Fletes!$B$66,0%)</f>
        <v>0</v>
      </c>
      <c r="M273" s="745">
        <f t="shared" si="199"/>
        <v>0</v>
      </c>
      <c r="N273" s="16">
        <f>IF(K273&lt;&gt;"Importado",0%,IF(Fletes!$B$67&lt;10,15%,IF(Fletes!$B$67&lt;20,10%,5%)))</f>
        <v>0</v>
      </c>
      <c r="O273" s="745" t="str">
        <f>IFERROR(IF(OR(F273="Offiho",F273="Lauco Sofas",F273="Requiez",F273="Labenze",F273="Sunon Mty",F273="Sonara"),(M273*(1-_xlfn.XLOOKUP(F273,Proveedores!A:A,Proveedores!I:I)))*(1+N273),((M273*(1-_xlfn.XLOOKUP(F273,Proveedores!A:A,Proveedores!I:I)))*(1+N273))+U273),"")</f>
        <v/>
      </c>
      <c r="P273" s="1031"/>
      <c r="Q273" s="1133">
        <f>IF(K273&lt;&gt;"Importado",0,IF(P273&gt;0,P273*H273,IFERROR(_xlfn.XLOOKUP(F273,Proveedores!A:A,Proveedores!F:F,0)*H273,0)))</f>
        <v>0</v>
      </c>
      <c r="R273" s="1134" t="e">
        <f t="shared" si="200"/>
        <v>#VALUE!</v>
      </c>
      <c r="S273" s="743"/>
      <c r="T273" s="1034" t="e">
        <f t="shared" si="187"/>
        <v>#N/A</v>
      </c>
      <c r="U273" s="1034" t="e">
        <f t="shared" si="201"/>
        <v>#N/A</v>
      </c>
      <c r="V273" s="1165" t="e">
        <f t="shared" si="188"/>
        <v>#N/A</v>
      </c>
      <c r="W273" s="1034" t="e">
        <f t="shared" si="202"/>
        <v>#N/A</v>
      </c>
      <c r="X273" s="1034" t="b">
        <f t="shared" si="203"/>
        <v>0</v>
      </c>
      <c r="Y273" s="1034">
        <f t="shared" si="204"/>
        <v>0</v>
      </c>
      <c r="Z273" s="1034">
        <f t="shared" si="205"/>
        <v>0</v>
      </c>
      <c r="AA273" s="1034">
        <f t="shared" si="189"/>
        <v>0</v>
      </c>
      <c r="AB273" s="1034">
        <f t="shared" si="190"/>
        <v>0</v>
      </c>
      <c r="AC273" s="1033">
        <f t="shared" si="206"/>
        <v>0</v>
      </c>
      <c r="AD273" s="1266">
        <f t="shared" si="191"/>
        <v>0</v>
      </c>
      <c r="AE273" s="1093">
        <f t="shared" si="207"/>
        <v>0</v>
      </c>
      <c r="AF273" s="1093">
        <f t="shared" si="208"/>
        <v>0</v>
      </c>
      <c r="AG273" s="1093">
        <f t="shared" si="192"/>
        <v>0</v>
      </c>
      <c r="AH273" s="1033" t="e">
        <f t="shared" si="193"/>
        <v>#DIV/0!</v>
      </c>
      <c r="AI273" s="1091">
        <f t="shared" si="194"/>
        <v>0</v>
      </c>
      <c r="AJ273" s="1094">
        <f t="shared" si="195"/>
        <v>0</v>
      </c>
      <c r="AK273" s="1053" t="str">
        <f t="shared" si="196"/>
        <v/>
      </c>
      <c r="AL273" s="1053"/>
      <c r="AM273" s="1290">
        <f>_xlfn.XLOOKUP(F273,Proveedores!A:A,Proveedores!G:G)</f>
        <v>0</v>
      </c>
      <c r="AN273" s="1095" t="str">
        <f t="shared" si="209"/>
        <v>OK</v>
      </c>
    </row>
    <row r="274" spans="1:40" ht="15.95">
      <c r="A274" s="1090" t="b">
        <f t="shared" si="184"/>
        <v>1</v>
      </c>
      <c r="B274" s="1091" t="b">
        <f t="shared" si="197"/>
        <v>1</v>
      </c>
      <c r="C274" s="1092" t="str">
        <f t="shared" si="198"/>
        <v>Dólares</v>
      </c>
      <c r="D274" s="13"/>
      <c r="E274" s="743"/>
      <c r="F274" s="17"/>
      <c r="G274" s="17" t="str">
        <f t="shared" si="185"/>
        <v xml:space="preserve"> </v>
      </c>
      <c r="H274" s="12">
        <v>0</v>
      </c>
      <c r="I274" s="16" t="str">
        <f>IFERROR(VLOOKUP(G274,Proveedores!B:C,2,0)," ")</f>
        <v xml:space="preserve"> </v>
      </c>
      <c r="J274" s="745">
        <v>0</v>
      </c>
      <c r="K274" s="745" t="str">
        <f t="shared" si="186"/>
        <v>Not Found</v>
      </c>
      <c r="L274" s="16">
        <f>IF(K274="Importado",Fletes!$B$66,0%)</f>
        <v>0</v>
      </c>
      <c r="M274" s="745">
        <f t="shared" si="199"/>
        <v>0</v>
      </c>
      <c r="N274" s="16">
        <f>IF(K274&lt;&gt;"Importado",0%,IF(Fletes!$B$67&lt;10,15%,IF(Fletes!$B$67&lt;20,10%,5%)))</f>
        <v>0</v>
      </c>
      <c r="O274" s="745" t="str">
        <f>IFERROR(IF(OR(F274="Offiho",F274="Lauco Sofas",F274="Requiez",F274="Labenze",F274="Sunon Mty",F274="Sonara"),(M274*(1-_xlfn.XLOOKUP(F274,Proveedores!A:A,Proveedores!I:I)))*(1+N274),((M274*(1-_xlfn.XLOOKUP(F274,Proveedores!A:A,Proveedores!I:I)))*(1+N274))+U274),"")</f>
        <v/>
      </c>
      <c r="P274" s="1031"/>
      <c r="Q274" s="1133">
        <f>IF(K274&lt;&gt;"Importado",0,IF(P274&gt;0,P274*H274,IFERROR(_xlfn.XLOOKUP(F274,Proveedores!A:A,Proveedores!F:F,0)*H274,0)))</f>
        <v>0</v>
      </c>
      <c r="R274" s="1134" t="e">
        <f t="shared" si="200"/>
        <v>#VALUE!</v>
      </c>
      <c r="S274" s="743"/>
      <c r="T274" s="1034" t="e">
        <f t="shared" si="187"/>
        <v>#N/A</v>
      </c>
      <c r="U274" s="1034" t="e">
        <f t="shared" si="201"/>
        <v>#N/A</v>
      </c>
      <c r="V274" s="1165" t="e">
        <f t="shared" si="188"/>
        <v>#N/A</v>
      </c>
      <c r="W274" s="1034" t="e">
        <f t="shared" si="202"/>
        <v>#N/A</v>
      </c>
      <c r="X274" s="1034" t="b">
        <f t="shared" si="203"/>
        <v>0</v>
      </c>
      <c r="Y274" s="1034">
        <f t="shared" si="204"/>
        <v>0</v>
      </c>
      <c r="Z274" s="1034">
        <f t="shared" si="205"/>
        <v>0</v>
      </c>
      <c r="AA274" s="1034">
        <f t="shared" si="189"/>
        <v>0</v>
      </c>
      <c r="AB274" s="1034">
        <f t="shared" si="190"/>
        <v>0</v>
      </c>
      <c r="AC274" s="1033">
        <f t="shared" si="206"/>
        <v>0</v>
      </c>
      <c r="AD274" s="1266">
        <f t="shared" si="191"/>
        <v>0</v>
      </c>
      <c r="AE274" s="1093">
        <f t="shared" si="207"/>
        <v>0</v>
      </c>
      <c r="AF274" s="1093">
        <f t="shared" si="208"/>
        <v>0</v>
      </c>
      <c r="AG274" s="1093">
        <f t="shared" si="192"/>
        <v>0</v>
      </c>
      <c r="AH274" s="1033" t="e">
        <f t="shared" si="193"/>
        <v>#DIV/0!</v>
      </c>
      <c r="AI274" s="1091">
        <f t="shared" si="194"/>
        <v>0</v>
      </c>
      <c r="AJ274" s="1094">
        <f t="shared" si="195"/>
        <v>0</v>
      </c>
      <c r="AK274" s="1053" t="str">
        <f t="shared" si="196"/>
        <v/>
      </c>
      <c r="AL274" s="1053"/>
      <c r="AM274" s="1290">
        <f>_xlfn.XLOOKUP(F274,Proveedores!A:A,Proveedores!G:G)</f>
        <v>0</v>
      </c>
      <c r="AN274" s="1095" t="str">
        <f t="shared" si="209"/>
        <v>OK</v>
      </c>
    </row>
    <row r="275" spans="1:40" ht="15.95">
      <c r="A275" s="1090" t="b">
        <f t="shared" si="184"/>
        <v>1</v>
      </c>
      <c r="B275" s="1091" t="b">
        <f t="shared" si="197"/>
        <v>1</v>
      </c>
      <c r="C275" s="1092" t="str">
        <f t="shared" si="198"/>
        <v>Dólares</v>
      </c>
      <c r="D275" s="13"/>
      <c r="E275" s="743"/>
      <c r="F275" s="17"/>
      <c r="G275" s="17" t="str">
        <f t="shared" si="185"/>
        <v xml:space="preserve"> </v>
      </c>
      <c r="H275" s="12">
        <v>0</v>
      </c>
      <c r="I275" s="16" t="str">
        <f>IFERROR(VLOOKUP(G275,Proveedores!B:C,2,0)," ")</f>
        <v xml:space="preserve"> </v>
      </c>
      <c r="J275" s="745">
        <v>0</v>
      </c>
      <c r="K275" s="745" t="str">
        <f t="shared" si="186"/>
        <v>Not Found</v>
      </c>
      <c r="L275" s="16">
        <f>IF(K275="Importado",Fletes!$B$66,0%)</f>
        <v>0</v>
      </c>
      <c r="M275" s="745">
        <f t="shared" si="199"/>
        <v>0</v>
      </c>
      <c r="N275" s="16">
        <f>IF(K275&lt;&gt;"Importado",0%,IF(Fletes!$B$67&lt;10,15%,IF(Fletes!$B$67&lt;20,10%,5%)))</f>
        <v>0</v>
      </c>
      <c r="O275" s="745" t="str">
        <f>IFERROR(IF(OR(F275="Offiho",F275="Lauco Sofas",F275="Requiez",F275="Labenze",F275="Sunon Mty",F275="Sonara"),(M275*(1-_xlfn.XLOOKUP(F275,Proveedores!A:A,Proveedores!I:I)))*(1+N275),((M275*(1-_xlfn.XLOOKUP(F275,Proveedores!A:A,Proveedores!I:I)))*(1+N275))+U275),"")</f>
        <v/>
      </c>
      <c r="P275" s="1031"/>
      <c r="Q275" s="1133">
        <f>IF(K275&lt;&gt;"Importado",0,IF(P275&gt;0,P275*H275,IFERROR(_xlfn.XLOOKUP(F275,Proveedores!A:A,Proveedores!F:F,0)*H275,0)))</f>
        <v>0</v>
      </c>
      <c r="R275" s="1134" t="e">
        <f t="shared" si="200"/>
        <v>#VALUE!</v>
      </c>
      <c r="S275" s="743"/>
      <c r="T275" s="1034" t="e">
        <f t="shared" si="187"/>
        <v>#N/A</v>
      </c>
      <c r="U275" s="1034" t="e">
        <f t="shared" si="201"/>
        <v>#N/A</v>
      </c>
      <c r="V275" s="1165" t="e">
        <f t="shared" si="188"/>
        <v>#N/A</v>
      </c>
      <c r="W275" s="1034" t="e">
        <f t="shared" si="202"/>
        <v>#N/A</v>
      </c>
      <c r="X275" s="1034" t="b">
        <f t="shared" si="203"/>
        <v>0</v>
      </c>
      <c r="Y275" s="1034">
        <f t="shared" si="204"/>
        <v>0</v>
      </c>
      <c r="Z275" s="1034">
        <f t="shared" si="205"/>
        <v>0</v>
      </c>
      <c r="AA275" s="1034">
        <f t="shared" si="189"/>
        <v>0</v>
      </c>
      <c r="AB275" s="1034">
        <f t="shared" si="190"/>
        <v>0</v>
      </c>
      <c r="AC275" s="1033">
        <f t="shared" si="206"/>
        <v>0</v>
      </c>
      <c r="AD275" s="1266">
        <f t="shared" si="191"/>
        <v>0</v>
      </c>
      <c r="AE275" s="1093">
        <f t="shared" si="207"/>
        <v>0</v>
      </c>
      <c r="AF275" s="1093">
        <f t="shared" si="208"/>
        <v>0</v>
      </c>
      <c r="AG275" s="1093">
        <f t="shared" si="192"/>
        <v>0</v>
      </c>
      <c r="AH275" s="1033" t="e">
        <f t="shared" si="193"/>
        <v>#DIV/0!</v>
      </c>
      <c r="AI275" s="1091">
        <f t="shared" si="194"/>
        <v>0</v>
      </c>
      <c r="AJ275" s="1094">
        <f t="shared" si="195"/>
        <v>0</v>
      </c>
      <c r="AK275" s="1053" t="str">
        <f t="shared" si="196"/>
        <v/>
      </c>
      <c r="AL275" s="1053"/>
      <c r="AM275" s="1290">
        <f>_xlfn.XLOOKUP(F275,Proveedores!A:A,Proveedores!G:G)</f>
        <v>0</v>
      </c>
      <c r="AN275" s="1095" t="str">
        <f t="shared" si="209"/>
        <v>OK</v>
      </c>
    </row>
    <row r="276" spans="1:40" ht="15.95">
      <c r="A276" s="1090" t="b">
        <f t="shared" si="184"/>
        <v>1</v>
      </c>
      <c r="B276" s="1091" t="b">
        <f t="shared" si="197"/>
        <v>1</v>
      </c>
      <c r="C276" s="1092" t="str">
        <f t="shared" si="198"/>
        <v>Dólares</v>
      </c>
      <c r="D276" s="13"/>
      <c r="E276" s="743"/>
      <c r="F276" s="17"/>
      <c r="G276" s="17" t="str">
        <f t="shared" si="185"/>
        <v xml:space="preserve"> </v>
      </c>
      <c r="H276" s="12">
        <v>0</v>
      </c>
      <c r="I276" s="16" t="str">
        <f>IFERROR(VLOOKUP(G276,Proveedores!B:C,2,0)," ")</f>
        <v xml:space="preserve"> </v>
      </c>
      <c r="J276" s="745">
        <v>0</v>
      </c>
      <c r="K276" s="745" t="str">
        <f t="shared" si="186"/>
        <v>Not Found</v>
      </c>
      <c r="L276" s="16">
        <f>IF(K276="Importado",Fletes!$B$66,0%)</f>
        <v>0</v>
      </c>
      <c r="M276" s="745">
        <f t="shared" si="199"/>
        <v>0</v>
      </c>
      <c r="N276" s="16">
        <f>IF(K276&lt;&gt;"Importado",0%,IF(Fletes!$B$67&lt;10,15%,IF(Fletes!$B$67&lt;20,10%,5%)))</f>
        <v>0</v>
      </c>
      <c r="O276" s="745" t="str">
        <f>IFERROR(IF(OR(F276="Offiho",F276="Lauco Sofas",F276="Requiez",F276="Labenze",F276="Sunon Mty",F276="Sonara"),(M276*(1-_xlfn.XLOOKUP(F276,Proveedores!A:A,Proveedores!I:I)))*(1+N276),((M276*(1-_xlfn.XLOOKUP(F276,Proveedores!A:A,Proveedores!I:I)))*(1+N276))+U276),"")</f>
        <v/>
      </c>
      <c r="P276" s="1031"/>
      <c r="Q276" s="1133">
        <f>IF(K276&lt;&gt;"Importado",0,IF(P276&gt;0,P276*H276,IFERROR(_xlfn.XLOOKUP(F276,Proveedores!A:A,Proveedores!F:F,0)*H276,0)))</f>
        <v>0</v>
      </c>
      <c r="R276" s="1134" t="e">
        <f t="shared" si="200"/>
        <v>#VALUE!</v>
      </c>
      <c r="S276" s="743"/>
      <c r="T276" s="1034" t="e">
        <f t="shared" si="187"/>
        <v>#N/A</v>
      </c>
      <c r="U276" s="1034" t="e">
        <f t="shared" si="201"/>
        <v>#N/A</v>
      </c>
      <c r="V276" s="1165" t="e">
        <f t="shared" si="188"/>
        <v>#N/A</v>
      </c>
      <c r="W276" s="1034" t="e">
        <f t="shared" si="202"/>
        <v>#N/A</v>
      </c>
      <c r="X276" s="1034" t="b">
        <f t="shared" si="203"/>
        <v>0</v>
      </c>
      <c r="Y276" s="1034">
        <f t="shared" si="204"/>
        <v>0</v>
      </c>
      <c r="Z276" s="1034">
        <f t="shared" si="205"/>
        <v>0</v>
      </c>
      <c r="AA276" s="1034">
        <f t="shared" si="189"/>
        <v>0</v>
      </c>
      <c r="AB276" s="1034">
        <f t="shared" si="190"/>
        <v>0</v>
      </c>
      <c r="AC276" s="1033">
        <f t="shared" si="206"/>
        <v>0</v>
      </c>
      <c r="AD276" s="1266">
        <f t="shared" si="191"/>
        <v>0</v>
      </c>
      <c r="AE276" s="1093">
        <f t="shared" si="207"/>
        <v>0</v>
      </c>
      <c r="AF276" s="1093">
        <f t="shared" si="208"/>
        <v>0</v>
      </c>
      <c r="AG276" s="1093">
        <f t="shared" si="192"/>
        <v>0</v>
      </c>
      <c r="AH276" s="1033" t="e">
        <f t="shared" si="193"/>
        <v>#DIV/0!</v>
      </c>
      <c r="AI276" s="1091">
        <f t="shared" si="194"/>
        <v>0</v>
      </c>
      <c r="AJ276" s="1094">
        <f t="shared" si="195"/>
        <v>0</v>
      </c>
      <c r="AK276" s="1053" t="str">
        <f t="shared" si="196"/>
        <v/>
      </c>
      <c r="AL276" s="1053"/>
      <c r="AM276" s="1290">
        <f>_xlfn.XLOOKUP(F276,Proveedores!A:A,Proveedores!G:G)</f>
        <v>0</v>
      </c>
      <c r="AN276" s="1095" t="str">
        <f t="shared" si="209"/>
        <v>OK</v>
      </c>
    </row>
    <row r="277" spans="1:40" ht="15.95">
      <c r="A277" s="1090" t="b">
        <f t="shared" si="184"/>
        <v>1</v>
      </c>
      <c r="B277" s="1091" t="b">
        <f t="shared" si="197"/>
        <v>1</v>
      </c>
      <c r="C277" s="1092" t="str">
        <f t="shared" si="198"/>
        <v>Dólares</v>
      </c>
      <c r="D277" s="14"/>
      <c r="E277" s="743"/>
      <c r="F277" s="17"/>
      <c r="G277" s="17" t="str">
        <f t="shared" si="185"/>
        <v xml:space="preserve"> </v>
      </c>
      <c r="H277" s="12">
        <v>0</v>
      </c>
      <c r="I277" s="16" t="str">
        <f>IFERROR(VLOOKUP(G277,Proveedores!B:C,2,0)," ")</f>
        <v xml:space="preserve"> </v>
      </c>
      <c r="J277" s="745">
        <v>0</v>
      </c>
      <c r="K277" s="745" t="str">
        <f t="shared" si="186"/>
        <v>Not Found</v>
      </c>
      <c r="L277" s="16">
        <f>IF(K277="Importado",Fletes!$B$66,0%)</f>
        <v>0</v>
      </c>
      <c r="M277" s="745">
        <f t="shared" si="199"/>
        <v>0</v>
      </c>
      <c r="N277" s="16">
        <f>IF(K277&lt;&gt;"Importado",0%,IF(Fletes!$B$67&lt;10,15%,IF(Fletes!$B$67&lt;20,10%,5%)))</f>
        <v>0</v>
      </c>
      <c r="O277" s="745" t="str">
        <f>IFERROR(IF(OR(F277="Offiho",F277="Lauco Sofas",F277="Requiez",F277="Labenze",F277="Sunon Mty",F277="Sonara"),(M277*(1-_xlfn.XLOOKUP(F277,Proveedores!A:A,Proveedores!I:I)))*(1+N277),((M277*(1-_xlfn.XLOOKUP(F277,Proveedores!A:A,Proveedores!I:I)))*(1+N277))+U277),"")</f>
        <v/>
      </c>
      <c r="P277" s="1031"/>
      <c r="Q277" s="1133">
        <f>IF(K277&lt;&gt;"Importado",0,IF(P277&gt;0,P277*H277,IFERROR(_xlfn.XLOOKUP(F277,Proveedores!A:A,Proveedores!F:F,0)*H277,0)))</f>
        <v>0</v>
      </c>
      <c r="R277" s="1134" t="e">
        <f t="shared" si="200"/>
        <v>#VALUE!</v>
      </c>
      <c r="S277" s="743"/>
      <c r="T277" s="1034" t="e">
        <f t="shared" si="187"/>
        <v>#N/A</v>
      </c>
      <c r="U277" s="1034" t="e">
        <f t="shared" si="201"/>
        <v>#N/A</v>
      </c>
      <c r="V277" s="1165" t="e">
        <f t="shared" si="188"/>
        <v>#N/A</v>
      </c>
      <c r="W277" s="1034" t="e">
        <f t="shared" si="202"/>
        <v>#N/A</v>
      </c>
      <c r="X277" s="1034" t="b">
        <f t="shared" si="203"/>
        <v>0</v>
      </c>
      <c r="Y277" s="1034">
        <f t="shared" si="204"/>
        <v>0</v>
      </c>
      <c r="Z277" s="1034">
        <f t="shared" si="205"/>
        <v>0</v>
      </c>
      <c r="AA277" s="1034">
        <f t="shared" si="189"/>
        <v>0</v>
      </c>
      <c r="AB277" s="1034">
        <f t="shared" si="190"/>
        <v>0</v>
      </c>
      <c r="AC277" s="1033">
        <f t="shared" si="206"/>
        <v>0</v>
      </c>
      <c r="AD277" s="1266">
        <f t="shared" si="191"/>
        <v>0</v>
      </c>
      <c r="AE277" s="1093">
        <f t="shared" si="207"/>
        <v>0</v>
      </c>
      <c r="AF277" s="1093">
        <f t="shared" si="208"/>
        <v>0</v>
      </c>
      <c r="AG277" s="1093">
        <f t="shared" si="192"/>
        <v>0</v>
      </c>
      <c r="AH277" s="1033" t="e">
        <f t="shared" si="193"/>
        <v>#DIV/0!</v>
      </c>
      <c r="AI277" s="1091">
        <f t="shared" si="194"/>
        <v>0</v>
      </c>
      <c r="AJ277" s="1094">
        <f t="shared" si="195"/>
        <v>0</v>
      </c>
      <c r="AK277" s="1053" t="str">
        <f t="shared" si="196"/>
        <v/>
      </c>
      <c r="AL277" s="1053"/>
      <c r="AM277" s="1290">
        <f>_xlfn.XLOOKUP(F277,Proveedores!A:A,Proveedores!G:G)</f>
        <v>0</v>
      </c>
      <c r="AN277" s="1095" t="str">
        <f t="shared" si="209"/>
        <v>OK</v>
      </c>
    </row>
    <row r="278" spans="1:40" ht="15.95">
      <c r="A278" s="1090" t="b">
        <f t="shared" si="184"/>
        <v>1</v>
      </c>
      <c r="B278" s="1091" t="b">
        <f t="shared" si="197"/>
        <v>1</v>
      </c>
      <c r="C278" s="1092" t="str">
        <f t="shared" si="198"/>
        <v>Dólares</v>
      </c>
      <c r="D278" s="15"/>
      <c r="E278" s="743"/>
      <c r="F278" s="17"/>
      <c r="G278" s="17" t="str">
        <f t="shared" si="185"/>
        <v xml:space="preserve"> </v>
      </c>
      <c r="H278" s="12">
        <v>0</v>
      </c>
      <c r="I278" s="16" t="str">
        <f>IFERROR(VLOOKUP(G278,Proveedores!B:C,2,0)," ")</f>
        <v xml:space="preserve"> </v>
      </c>
      <c r="J278" s="745">
        <v>0</v>
      </c>
      <c r="K278" s="745" t="str">
        <f t="shared" si="186"/>
        <v>Not Found</v>
      </c>
      <c r="L278" s="16">
        <f>IF(K278="Importado",Fletes!$B$66,0%)</f>
        <v>0</v>
      </c>
      <c r="M278" s="745">
        <f t="shared" si="199"/>
        <v>0</v>
      </c>
      <c r="N278" s="16">
        <f>IF(K278&lt;&gt;"Importado",0%,IF(Fletes!$B$67&lt;10,15%,IF(Fletes!$B$67&lt;20,10%,5%)))</f>
        <v>0</v>
      </c>
      <c r="O278" s="745" t="str">
        <f>IFERROR(IF(OR(F278="Offiho",F278="Lauco Sofas",F278="Requiez",F278="Labenze",F278="Sunon Mty",F278="Sonara"),(M278*(1-_xlfn.XLOOKUP(F278,Proveedores!A:A,Proveedores!I:I)))*(1+N278),((M278*(1-_xlfn.XLOOKUP(F278,Proveedores!A:A,Proveedores!I:I)))*(1+N278))+U278),"")</f>
        <v/>
      </c>
      <c r="P278" s="1031"/>
      <c r="Q278" s="1133">
        <f>IF(K278&lt;&gt;"Importado",0,IF(P278&gt;0,P278*H278,IFERROR(_xlfn.XLOOKUP(F278,Proveedores!A:A,Proveedores!F:F,0)*H278,0)))</f>
        <v>0</v>
      </c>
      <c r="R278" s="1134" t="e">
        <f t="shared" si="200"/>
        <v>#VALUE!</v>
      </c>
      <c r="S278" s="743"/>
      <c r="T278" s="1034" t="e">
        <f t="shared" si="187"/>
        <v>#N/A</v>
      </c>
      <c r="U278" s="1034" t="e">
        <f t="shared" si="201"/>
        <v>#N/A</v>
      </c>
      <c r="V278" s="1165" t="e">
        <f t="shared" si="188"/>
        <v>#N/A</v>
      </c>
      <c r="W278" s="1034" t="e">
        <f t="shared" si="202"/>
        <v>#N/A</v>
      </c>
      <c r="X278" s="1034" t="b">
        <f t="shared" si="203"/>
        <v>0</v>
      </c>
      <c r="Y278" s="1034">
        <f t="shared" si="204"/>
        <v>0</v>
      </c>
      <c r="Z278" s="1034">
        <f t="shared" si="205"/>
        <v>0</v>
      </c>
      <c r="AA278" s="1034">
        <f t="shared" si="189"/>
        <v>0</v>
      </c>
      <c r="AB278" s="1034">
        <f t="shared" si="190"/>
        <v>0</v>
      </c>
      <c r="AC278" s="1033">
        <f t="shared" si="206"/>
        <v>0</v>
      </c>
      <c r="AD278" s="1266">
        <f t="shared" si="191"/>
        <v>0</v>
      </c>
      <c r="AE278" s="1093">
        <f t="shared" si="207"/>
        <v>0</v>
      </c>
      <c r="AF278" s="1093">
        <f t="shared" si="208"/>
        <v>0</v>
      </c>
      <c r="AG278" s="1093">
        <f t="shared" si="192"/>
        <v>0</v>
      </c>
      <c r="AH278" s="1033" t="e">
        <f t="shared" si="193"/>
        <v>#DIV/0!</v>
      </c>
      <c r="AI278" s="1091">
        <f t="shared" si="194"/>
        <v>0</v>
      </c>
      <c r="AJ278" s="1094">
        <f t="shared" si="195"/>
        <v>0</v>
      </c>
      <c r="AK278" s="1053" t="str">
        <f t="shared" si="196"/>
        <v/>
      </c>
      <c r="AL278" s="1053"/>
      <c r="AM278" s="1290">
        <f>_xlfn.XLOOKUP(F278,Proveedores!A:A,Proveedores!G:G)</f>
        <v>0</v>
      </c>
      <c r="AN278" s="1095" t="str">
        <f t="shared" si="209"/>
        <v>OK</v>
      </c>
    </row>
    <row r="279" spans="1:40" ht="15.95">
      <c r="A279" s="1090" t="b">
        <f t="shared" si="184"/>
        <v>1</v>
      </c>
      <c r="B279" s="1091" t="b">
        <f t="shared" si="197"/>
        <v>1</v>
      </c>
      <c r="C279" s="1092" t="str">
        <f t="shared" si="198"/>
        <v>Dólares</v>
      </c>
      <c r="D279" s="15"/>
      <c r="E279" s="743"/>
      <c r="F279" s="17"/>
      <c r="G279" s="17" t="str">
        <f t="shared" si="185"/>
        <v xml:space="preserve"> </v>
      </c>
      <c r="H279" s="12">
        <v>0</v>
      </c>
      <c r="I279" s="16" t="str">
        <f>IFERROR(VLOOKUP(G279,Proveedores!B:C,2,0)," ")</f>
        <v xml:space="preserve"> </v>
      </c>
      <c r="J279" s="745">
        <v>0</v>
      </c>
      <c r="K279" s="745" t="str">
        <f t="shared" si="186"/>
        <v>Not Found</v>
      </c>
      <c r="L279" s="16">
        <f>IF(K279="Importado",Fletes!$B$66,0%)</f>
        <v>0</v>
      </c>
      <c r="M279" s="745">
        <f t="shared" si="199"/>
        <v>0</v>
      </c>
      <c r="N279" s="16">
        <f>IF(K279&lt;&gt;"Importado",0%,IF(Fletes!$B$67&lt;10,15%,IF(Fletes!$B$67&lt;20,10%,5%)))</f>
        <v>0</v>
      </c>
      <c r="O279" s="745" t="str">
        <f>IFERROR(IF(OR(F279="Offiho",F279="Lauco Sofas",F279="Requiez",F279="Labenze",F279="Sunon Mty",F279="Sonara"),(M279*(1-_xlfn.XLOOKUP(F279,Proveedores!A:A,Proveedores!I:I)))*(1+N279),((M279*(1-_xlfn.XLOOKUP(F279,Proveedores!A:A,Proveedores!I:I)))*(1+N279))+U279),"")</f>
        <v/>
      </c>
      <c r="P279" s="1031"/>
      <c r="Q279" s="1133">
        <f>IF(K279&lt;&gt;"Importado",0,IF(P279&gt;0,P279*H279,IFERROR(_xlfn.XLOOKUP(F279,Proveedores!A:A,Proveedores!F:F,0)*H279,0)))</f>
        <v>0</v>
      </c>
      <c r="R279" s="1134" t="e">
        <f t="shared" si="200"/>
        <v>#VALUE!</v>
      </c>
      <c r="S279" s="743"/>
      <c r="T279" s="1034" t="e">
        <f t="shared" si="187"/>
        <v>#N/A</v>
      </c>
      <c r="U279" s="1034" t="e">
        <f t="shared" si="201"/>
        <v>#N/A</v>
      </c>
      <c r="V279" s="1165" t="e">
        <f t="shared" si="188"/>
        <v>#N/A</v>
      </c>
      <c r="W279" s="1034" t="e">
        <f t="shared" si="202"/>
        <v>#N/A</v>
      </c>
      <c r="X279" s="1034" t="b">
        <f t="shared" si="203"/>
        <v>0</v>
      </c>
      <c r="Y279" s="1034">
        <f t="shared" si="204"/>
        <v>0</v>
      </c>
      <c r="Z279" s="1034">
        <f t="shared" si="205"/>
        <v>0</v>
      </c>
      <c r="AA279" s="1034">
        <f t="shared" si="189"/>
        <v>0</v>
      </c>
      <c r="AB279" s="1034">
        <f t="shared" si="190"/>
        <v>0</v>
      </c>
      <c r="AC279" s="1033">
        <f t="shared" si="206"/>
        <v>0</v>
      </c>
      <c r="AD279" s="1266">
        <f t="shared" si="191"/>
        <v>0</v>
      </c>
      <c r="AE279" s="1093">
        <f t="shared" si="207"/>
        <v>0</v>
      </c>
      <c r="AF279" s="1093">
        <f t="shared" si="208"/>
        <v>0</v>
      </c>
      <c r="AG279" s="1093">
        <f t="shared" si="192"/>
        <v>0</v>
      </c>
      <c r="AH279" s="1033" t="e">
        <f t="shared" si="193"/>
        <v>#DIV/0!</v>
      </c>
      <c r="AI279" s="1091">
        <f t="shared" si="194"/>
        <v>0</v>
      </c>
      <c r="AJ279" s="1094">
        <f t="shared" si="195"/>
        <v>0</v>
      </c>
      <c r="AK279" s="1053" t="str">
        <f t="shared" si="196"/>
        <v/>
      </c>
      <c r="AL279" s="1053"/>
      <c r="AM279" s="1290">
        <f>_xlfn.XLOOKUP(F279,Proveedores!A:A,Proveedores!G:G)</f>
        <v>0</v>
      </c>
      <c r="AN279" s="1095" t="str">
        <f t="shared" si="209"/>
        <v>OK</v>
      </c>
    </row>
    <row r="280" spans="1:40" ht="15.95">
      <c r="A280" s="1090" t="b">
        <f t="shared" si="184"/>
        <v>1</v>
      </c>
      <c r="B280" s="1091" t="b">
        <f t="shared" si="197"/>
        <v>1</v>
      </c>
      <c r="C280" s="1092" t="str">
        <f t="shared" si="198"/>
        <v>Dólares</v>
      </c>
      <c r="D280" s="15"/>
      <c r="E280" s="743"/>
      <c r="F280" s="17"/>
      <c r="G280" s="17" t="str">
        <f t="shared" si="185"/>
        <v xml:space="preserve"> </v>
      </c>
      <c r="H280" s="12">
        <v>0</v>
      </c>
      <c r="I280" s="16" t="str">
        <f>IFERROR(VLOOKUP(G280,Proveedores!B:C,2,0)," ")</f>
        <v xml:space="preserve"> </v>
      </c>
      <c r="J280" s="745">
        <v>0</v>
      </c>
      <c r="K280" s="745" t="str">
        <f t="shared" si="186"/>
        <v>Not Found</v>
      </c>
      <c r="L280" s="16">
        <f>IF(K280="Importado",Fletes!$B$66,0%)</f>
        <v>0</v>
      </c>
      <c r="M280" s="745">
        <f t="shared" si="199"/>
        <v>0</v>
      </c>
      <c r="N280" s="16">
        <f>IF(K280&lt;&gt;"Importado",0%,IF(Fletes!$B$67&lt;10,15%,IF(Fletes!$B$67&lt;20,10%,5%)))</f>
        <v>0</v>
      </c>
      <c r="O280" s="745" t="str">
        <f>IFERROR(IF(OR(F280="Offiho",F280="Lauco Sofas",F280="Requiez",F280="Labenze",F280="Sunon Mty",F280="Sonara"),(M280*(1-_xlfn.XLOOKUP(F280,Proveedores!A:A,Proveedores!I:I)))*(1+N280),((M280*(1-_xlfn.XLOOKUP(F280,Proveedores!A:A,Proveedores!I:I)))*(1+N280))+U280),"")</f>
        <v/>
      </c>
      <c r="P280" s="1031"/>
      <c r="Q280" s="1133">
        <f>IF(K280&lt;&gt;"Importado",0,IF(P280&gt;0,P280*H280,IFERROR(_xlfn.XLOOKUP(F280,Proveedores!A:A,Proveedores!F:F,0)*H280,0)))</f>
        <v>0</v>
      </c>
      <c r="R280" s="1134" t="e">
        <f t="shared" si="200"/>
        <v>#VALUE!</v>
      </c>
      <c r="S280" s="743"/>
      <c r="T280" s="1034" t="e">
        <f t="shared" si="187"/>
        <v>#N/A</v>
      </c>
      <c r="U280" s="1034" t="e">
        <f t="shared" si="201"/>
        <v>#N/A</v>
      </c>
      <c r="V280" s="1165" t="e">
        <f t="shared" si="188"/>
        <v>#N/A</v>
      </c>
      <c r="W280" s="1034" t="e">
        <f t="shared" si="202"/>
        <v>#N/A</v>
      </c>
      <c r="X280" s="1034" t="b">
        <f t="shared" si="203"/>
        <v>0</v>
      </c>
      <c r="Y280" s="1034">
        <f t="shared" si="204"/>
        <v>0</v>
      </c>
      <c r="Z280" s="1034">
        <f t="shared" si="205"/>
        <v>0</v>
      </c>
      <c r="AA280" s="1034">
        <f t="shared" si="189"/>
        <v>0</v>
      </c>
      <c r="AB280" s="1034">
        <f t="shared" si="190"/>
        <v>0</v>
      </c>
      <c r="AC280" s="1033">
        <f t="shared" si="206"/>
        <v>0</v>
      </c>
      <c r="AD280" s="1266">
        <f t="shared" si="191"/>
        <v>0</v>
      </c>
      <c r="AE280" s="1093">
        <f t="shared" si="207"/>
        <v>0</v>
      </c>
      <c r="AF280" s="1093">
        <f t="shared" si="208"/>
        <v>0</v>
      </c>
      <c r="AG280" s="1093">
        <f t="shared" si="192"/>
        <v>0</v>
      </c>
      <c r="AH280" s="1033" t="e">
        <f t="shared" si="193"/>
        <v>#DIV/0!</v>
      </c>
      <c r="AI280" s="1091">
        <f t="shared" si="194"/>
        <v>0</v>
      </c>
      <c r="AJ280" s="1094">
        <f t="shared" si="195"/>
        <v>0</v>
      </c>
      <c r="AK280" s="1053" t="str">
        <f t="shared" si="196"/>
        <v/>
      </c>
      <c r="AL280" s="1053"/>
      <c r="AM280" s="1290">
        <f>_xlfn.XLOOKUP(F280,Proveedores!A:A,Proveedores!G:G)</f>
        <v>0</v>
      </c>
      <c r="AN280" s="1095" t="str">
        <f t="shared" si="209"/>
        <v>OK</v>
      </c>
    </row>
    <row r="281" spans="1:40" ht="15.95">
      <c r="A281" s="1090" t="b">
        <f t="shared" si="184"/>
        <v>1</v>
      </c>
      <c r="B281" s="1091" t="b">
        <f t="shared" si="197"/>
        <v>1</v>
      </c>
      <c r="C281" s="1092" t="str">
        <f t="shared" si="198"/>
        <v>Dólares</v>
      </c>
      <c r="D281" s="15"/>
      <c r="E281" s="743"/>
      <c r="F281" s="17"/>
      <c r="G281" s="17" t="str">
        <f t="shared" si="185"/>
        <v xml:space="preserve"> </v>
      </c>
      <c r="H281" s="12">
        <v>0</v>
      </c>
      <c r="I281" s="16" t="str">
        <f>IFERROR(VLOOKUP(G281,Proveedores!B:C,2,0)," ")</f>
        <v xml:space="preserve"> </v>
      </c>
      <c r="J281" s="745">
        <v>0</v>
      </c>
      <c r="K281" s="745" t="str">
        <f t="shared" si="186"/>
        <v>Not Found</v>
      </c>
      <c r="L281" s="16">
        <f>IF(K281="Importado",Fletes!$B$66,0%)</f>
        <v>0</v>
      </c>
      <c r="M281" s="745">
        <f t="shared" si="199"/>
        <v>0</v>
      </c>
      <c r="N281" s="16">
        <f>IF(K281&lt;&gt;"Importado",0%,IF(Fletes!$B$67&lt;10,15%,IF(Fletes!$B$67&lt;20,10%,5%)))</f>
        <v>0</v>
      </c>
      <c r="O281" s="745" t="str">
        <f>IFERROR(IF(OR(F281="Offiho",F281="Lauco Sofas",F281="Requiez",F281="Labenze",F281="Sunon Mty",F281="Sonara"),(M281*(1-_xlfn.XLOOKUP(F281,Proveedores!A:A,Proveedores!I:I)))*(1+N281),((M281*(1-_xlfn.XLOOKUP(F281,Proveedores!A:A,Proveedores!I:I)))*(1+N281))+U281),"")</f>
        <v/>
      </c>
      <c r="P281" s="1031"/>
      <c r="Q281" s="1133">
        <f>IF(K281&lt;&gt;"Importado",0,IF(P281&gt;0,P281*H281,IFERROR(_xlfn.XLOOKUP(F281,Proveedores!A:A,Proveedores!F:F,0)*H281,0)))</f>
        <v>0</v>
      </c>
      <c r="R281" s="1134" t="e">
        <f t="shared" si="200"/>
        <v>#VALUE!</v>
      </c>
      <c r="S281" s="743"/>
      <c r="T281" s="1034" t="e">
        <f t="shared" si="187"/>
        <v>#N/A</v>
      </c>
      <c r="U281" s="1034" t="e">
        <f t="shared" si="201"/>
        <v>#N/A</v>
      </c>
      <c r="V281" s="1165" t="e">
        <f t="shared" si="188"/>
        <v>#N/A</v>
      </c>
      <c r="W281" s="1034" t="e">
        <f t="shared" si="202"/>
        <v>#N/A</v>
      </c>
      <c r="X281" s="1034" t="b">
        <f t="shared" si="203"/>
        <v>0</v>
      </c>
      <c r="Y281" s="1034">
        <f t="shared" si="204"/>
        <v>0</v>
      </c>
      <c r="Z281" s="1034">
        <f t="shared" si="205"/>
        <v>0</v>
      </c>
      <c r="AA281" s="1034">
        <f t="shared" si="189"/>
        <v>0</v>
      </c>
      <c r="AB281" s="1034">
        <f t="shared" si="190"/>
        <v>0</v>
      </c>
      <c r="AC281" s="1033">
        <f t="shared" si="206"/>
        <v>0</v>
      </c>
      <c r="AD281" s="1266">
        <f t="shared" si="191"/>
        <v>0</v>
      </c>
      <c r="AE281" s="1093">
        <f t="shared" si="207"/>
        <v>0</v>
      </c>
      <c r="AF281" s="1093">
        <f t="shared" si="208"/>
        <v>0</v>
      </c>
      <c r="AG281" s="1093">
        <f t="shared" si="192"/>
        <v>0</v>
      </c>
      <c r="AH281" s="1033" t="e">
        <f t="shared" si="193"/>
        <v>#DIV/0!</v>
      </c>
      <c r="AI281" s="1091">
        <f t="shared" si="194"/>
        <v>0</v>
      </c>
      <c r="AJ281" s="1094">
        <f t="shared" si="195"/>
        <v>0</v>
      </c>
      <c r="AK281" s="1053" t="str">
        <f t="shared" si="196"/>
        <v/>
      </c>
      <c r="AL281" s="1053"/>
      <c r="AM281" s="1290">
        <f>_xlfn.XLOOKUP(F281,Proveedores!A:A,Proveedores!G:G)</f>
        <v>0</v>
      </c>
      <c r="AN281" s="1095" t="str">
        <f t="shared" si="209"/>
        <v>OK</v>
      </c>
    </row>
    <row r="282" spans="1:40" ht="15.95">
      <c r="A282" s="1090" t="b">
        <f t="shared" si="184"/>
        <v>1</v>
      </c>
      <c r="B282" s="1091" t="b">
        <f t="shared" si="197"/>
        <v>1</v>
      </c>
      <c r="C282" s="1092" t="str">
        <f t="shared" si="198"/>
        <v>Dólares</v>
      </c>
      <c r="D282" s="14"/>
      <c r="E282" s="743"/>
      <c r="F282" s="17"/>
      <c r="G282" s="17" t="str">
        <f t="shared" si="185"/>
        <v xml:space="preserve"> </v>
      </c>
      <c r="H282" s="12">
        <v>0</v>
      </c>
      <c r="I282" s="16" t="str">
        <f>IFERROR(VLOOKUP(G282,Proveedores!B:C,2,0)," ")</f>
        <v xml:space="preserve"> </v>
      </c>
      <c r="J282" s="745">
        <v>0</v>
      </c>
      <c r="K282" s="745" t="str">
        <f t="shared" si="186"/>
        <v>Not Found</v>
      </c>
      <c r="L282" s="16">
        <f>IF(K282="Importado",Fletes!$B$66,0%)</f>
        <v>0</v>
      </c>
      <c r="M282" s="745">
        <f t="shared" si="199"/>
        <v>0</v>
      </c>
      <c r="N282" s="16">
        <f>IF(K282&lt;&gt;"Importado",0%,IF(Fletes!$B$67&lt;10,15%,IF(Fletes!$B$67&lt;20,10%,5%)))</f>
        <v>0</v>
      </c>
      <c r="O282" s="745" t="str">
        <f>IFERROR(IF(OR(F282="Offiho",F282="Lauco Sofas",F282="Requiez",F282="Labenze",F282="Sunon Mty",F282="Sonara"),(M282*(1-_xlfn.XLOOKUP(F282,Proveedores!A:A,Proveedores!I:I)))*(1+N282),((M282*(1-_xlfn.XLOOKUP(F282,Proveedores!A:A,Proveedores!I:I)))*(1+N282))+U282),"")</f>
        <v/>
      </c>
      <c r="P282" s="1031"/>
      <c r="Q282" s="1133">
        <f>IF(K282&lt;&gt;"Importado",0,IF(P282&gt;0,P282*H282,IFERROR(_xlfn.XLOOKUP(F282,Proveedores!A:A,Proveedores!F:F,0)*H282,0)))</f>
        <v>0</v>
      </c>
      <c r="R282" s="1134" t="e">
        <f t="shared" si="200"/>
        <v>#VALUE!</v>
      </c>
      <c r="S282" s="743"/>
      <c r="T282" s="1034" t="e">
        <f t="shared" si="187"/>
        <v>#N/A</v>
      </c>
      <c r="U282" s="1034" t="e">
        <f t="shared" si="201"/>
        <v>#N/A</v>
      </c>
      <c r="V282" s="1165" t="e">
        <f t="shared" si="188"/>
        <v>#N/A</v>
      </c>
      <c r="W282" s="1034" t="e">
        <f t="shared" si="202"/>
        <v>#N/A</v>
      </c>
      <c r="X282" s="1034" t="b">
        <f t="shared" si="203"/>
        <v>0</v>
      </c>
      <c r="Y282" s="1034">
        <f t="shared" si="204"/>
        <v>0</v>
      </c>
      <c r="Z282" s="1034">
        <f t="shared" si="205"/>
        <v>0</v>
      </c>
      <c r="AA282" s="1034">
        <f t="shared" si="189"/>
        <v>0</v>
      </c>
      <c r="AB282" s="1034">
        <f t="shared" si="190"/>
        <v>0</v>
      </c>
      <c r="AC282" s="1033">
        <f t="shared" si="206"/>
        <v>0</v>
      </c>
      <c r="AD282" s="1266">
        <f t="shared" si="191"/>
        <v>0</v>
      </c>
      <c r="AE282" s="1093">
        <f t="shared" si="207"/>
        <v>0</v>
      </c>
      <c r="AF282" s="1093">
        <f t="shared" si="208"/>
        <v>0</v>
      </c>
      <c r="AG282" s="1093">
        <f t="shared" si="192"/>
        <v>0</v>
      </c>
      <c r="AH282" s="1033" t="e">
        <f t="shared" si="193"/>
        <v>#DIV/0!</v>
      </c>
      <c r="AI282" s="1091">
        <f t="shared" si="194"/>
        <v>0</v>
      </c>
      <c r="AJ282" s="1094">
        <f t="shared" si="195"/>
        <v>0</v>
      </c>
      <c r="AK282" s="1053" t="str">
        <f t="shared" si="196"/>
        <v/>
      </c>
      <c r="AL282" s="1053"/>
      <c r="AM282" s="1290">
        <f>_xlfn.XLOOKUP(F282,Proveedores!A:A,Proveedores!G:G)</f>
        <v>0</v>
      </c>
      <c r="AN282" s="1095" t="str">
        <f t="shared" si="209"/>
        <v>OK</v>
      </c>
    </row>
    <row r="283" spans="1:40" ht="15.95">
      <c r="A283" s="1090" t="b">
        <f t="shared" si="184"/>
        <v>1</v>
      </c>
      <c r="B283" s="1091" t="b">
        <f t="shared" si="197"/>
        <v>1</v>
      </c>
      <c r="C283" s="1092" t="str">
        <f t="shared" si="198"/>
        <v>Dólares</v>
      </c>
      <c r="D283" s="14"/>
      <c r="E283" s="743"/>
      <c r="F283" s="17"/>
      <c r="G283" s="17" t="str">
        <f t="shared" si="185"/>
        <v xml:space="preserve"> </v>
      </c>
      <c r="H283" s="12">
        <v>0</v>
      </c>
      <c r="I283" s="16" t="str">
        <f>IFERROR(VLOOKUP(G283,Proveedores!B:C,2,0)," ")</f>
        <v xml:space="preserve"> </v>
      </c>
      <c r="J283" s="745">
        <v>0</v>
      </c>
      <c r="K283" s="745" t="str">
        <f t="shared" si="186"/>
        <v>Not Found</v>
      </c>
      <c r="L283" s="16">
        <f>IF(K283="Importado",Fletes!$B$66,0%)</f>
        <v>0</v>
      </c>
      <c r="M283" s="745">
        <f t="shared" si="199"/>
        <v>0</v>
      </c>
      <c r="N283" s="16">
        <f>IF(K283&lt;&gt;"Importado",0%,IF(Fletes!$B$67&lt;10,15%,IF(Fletes!$B$67&lt;20,10%,5%)))</f>
        <v>0</v>
      </c>
      <c r="O283" s="745" t="str">
        <f>IFERROR(IF(OR(F283="Offiho",F283="Lauco Sofas",F283="Requiez",F283="Labenze",F283="Sunon Mty",F283="Sonara"),(M283*(1-_xlfn.XLOOKUP(F283,Proveedores!A:A,Proveedores!I:I)))*(1+N283),((M283*(1-_xlfn.XLOOKUP(F283,Proveedores!A:A,Proveedores!I:I)))*(1+N283))+U283),"")</f>
        <v/>
      </c>
      <c r="P283" s="1031"/>
      <c r="Q283" s="1133">
        <f>IF(K283&lt;&gt;"Importado",0,IF(P283&gt;0,P283*H283,IFERROR(_xlfn.XLOOKUP(F283,Proveedores!A:A,Proveedores!F:F,0)*H283,0)))</f>
        <v>0</v>
      </c>
      <c r="R283" s="1134" t="e">
        <f t="shared" si="200"/>
        <v>#VALUE!</v>
      </c>
      <c r="S283" s="743"/>
      <c r="T283" s="1034" t="e">
        <f t="shared" si="187"/>
        <v>#N/A</v>
      </c>
      <c r="U283" s="1034" t="e">
        <f t="shared" si="201"/>
        <v>#N/A</v>
      </c>
      <c r="V283" s="1165" t="e">
        <f t="shared" si="188"/>
        <v>#N/A</v>
      </c>
      <c r="W283" s="1034" t="e">
        <f t="shared" si="202"/>
        <v>#N/A</v>
      </c>
      <c r="X283" s="1034" t="b">
        <f t="shared" si="203"/>
        <v>0</v>
      </c>
      <c r="Y283" s="1034">
        <f t="shared" si="204"/>
        <v>0</v>
      </c>
      <c r="Z283" s="1034">
        <f t="shared" si="205"/>
        <v>0</v>
      </c>
      <c r="AA283" s="1034">
        <f t="shared" si="189"/>
        <v>0</v>
      </c>
      <c r="AB283" s="1034">
        <f t="shared" si="190"/>
        <v>0</v>
      </c>
      <c r="AC283" s="1033">
        <f t="shared" si="206"/>
        <v>0</v>
      </c>
      <c r="AD283" s="1266">
        <f t="shared" si="191"/>
        <v>0</v>
      </c>
      <c r="AE283" s="1093">
        <f t="shared" si="207"/>
        <v>0</v>
      </c>
      <c r="AF283" s="1093">
        <f t="shared" si="208"/>
        <v>0</v>
      </c>
      <c r="AG283" s="1093">
        <f t="shared" si="192"/>
        <v>0</v>
      </c>
      <c r="AH283" s="1033" t="e">
        <f t="shared" si="193"/>
        <v>#DIV/0!</v>
      </c>
      <c r="AI283" s="1091">
        <f t="shared" si="194"/>
        <v>0</v>
      </c>
      <c r="AJ283" s="1094">
        <f t="shared" si="195"/>
        <v>0</v>
      </c>
      <c r="AK283" s="1053" t="str">
        <f t="shared" si="196"/>
        <v/>
      </c>
      <c r="AL283" s="1053"/>
      <c r="AM283" s="1290">
        <f>_xlfn.XLOOKUP(F283,Proveedores!A:A,Proveedores!G:G)</f>
        <v>0</v>
      </c>
      <c r="AN283" s="1095" t="str">
        <f t="shared" si="209"/>
        <v>OK</v>
      </c>
    </row>
    <row r="284" spans="1:40" ht="15.95">
      <c r="A284" s="1090" t="b">
        <f t="shared" si="184"/>
        <v>1</v>
      </c>
      <c r="B284" s="1091" t="b">
        <f t="shared" si="197"/>
        <v>1</v>
      </c>
      <c r="C284" s="1092" t="str">
        <f t="shared" si="198"/>
        <v>Dólares</v>
      </c>
      <c r="D284" s="14"/>
      <c r="E284" s="743"/>
      <c r="F284" s="17"/>
      <c r="G284" s="17" t="str">
        <f t="shared" si="185"/>
        <v xml:space="preserve"> </v>
      </c>
      <c r="H284" s="12">
        <v>0</v>
      </c>
      <c r="I284" s="16" t="str">
        <f>IFERROR(VLOOKUP(G284,Proveedores!B:C,2,0)," ")</f>
        <v xml:space="preserve"> </v>
      </c>
      <c r="J284" s="745">
        <v>0</v>
      </c>
      <c r="K284" s="745" t="str">
        <f t="shared" si="186"/>
        <v>Not Found</v>
      </c>
      <c r="L284" s="16">
        <f>IF(K284="Importado",Fletes!$B$66,0%)</f>
        <v>0</v>
      </c>
      <c r="M284" s="745">
        <f t="shared" si="199"/>
        <v>0</v>
      </c>
      <c r="N284" s="16">
        <f>IF(K284&lt;&gt;"Importado",0%,IF(Fletes!$B$67&lt;10,15%,IF(Fletes!$B$67&lt;20,10%,5%)))</f>
        <v>0</v>
      </c>
      <c r="O284" s="745" t="str">
        <f>IFERROR(IF(OR(F284="Offiho",F284="Lauco Sofas",F284="Requiez",F284="Labenze",F284="Sunon Mty",F284="Sonara"),(M284*(1-_xlfn.XLOOKUP(F284,Proveedores!A:A,Proveedores!I:I)))*(1+N284),((M284*(1-_xlfn.XLOOKUP(F284,Proveedores!A:A,Proveedores!I:I)))*(1+N284))+U284),"")</f>
        <v/>
      </c>
      <c r="P284" s="1031"/>
      <c r="Q284" s="1133">
        <f>IF(K284&lt;&gt;"Importado",0,IF(P284&gt;0,P284*H284,IFERROR(_xlfn.XLOOKUP(F284,Proveedores!A:A,Proveedores!F:F,0)*H284,0)))</f>
        <v>0</v>
      </c>
      <c r="R284" s="1134" t="e">
        <f t="shared" si="200"/>
        <v>#VALUE!</v>
      </c>
      <c r="S284" s="743"/>
      <c r="T284" s="1034" t="e">
        <f t="shared" si="187"/>
        <v>#N/A</v>
      </c>
      <c r="U284" s="1034" t="e">
        <f t="shared" si="201"/>
        <v>#N/A</v>
      </c>
      <c r="V284" s="1165" t="e">
        <f t="shared" si="188"/>
        <v>#N/A</v>
      </c>
      <c r="W284" s="1034" t="e">
        <f t="shared" si="202"/>
        <v>#N/A</v>
      </c>
      <c r="X284" s="1034" t="b">
        <f t="shared" si="203"/>
        <v>0</v>
      </c>
      <c r="Y284" s="1034">
        <f t="shared" si="204"/>
        <v>0</v>
      </c>
      <c r="Z284" s="1034">
        <f t="shared" si="205"/>
        <v>0</v>
      </c>
      <c r="AA284" s="1034">
        <f t="shared" si="189"/>
        <v>0</v>
      </c>
      <c r="AB284" s="1034">
        <f t="shared" si="190"/>
        <v>0</v>
      </c>
      <c r="AC284" s="1033">
        <f t="shared" si="206"/>
        <v>0</v>
      </c>
      <c r="AD284" s="1266">
        <f t="shared" si="191"/>
        <v>0</v>
      </c>
      <c r="AE284" s="1093">
        <f t="shared" si="207"/>
        <v>0</v>
      </c>
      <c r="AF284" s="1093">
        <f t="shared" si="208"/>
        <v>0</v>
      </c>
      <c r="AG284" s="1093">
        <f t="shared" si="192"/>
        <v>0</v>
      </c>
      <c r="AH284" s="1033" t="e">
        <f t="shared" si="193"/>
        <v>#DIV/0!</v>
      </c>
      <c r="AI284" s="1091">
        <f t="shared" si="194"/>
        <v>0</v>
      </c>
      <c r="AJ284" s="1094">
        <f t="shared" si="195"/>
        <v>0</v>
      </c>
      <c r="AK284" s="1053" t="str">
        <f t="shared" si="196"/>
        <v/>
      </c>
      <c r="AL284" s="1053"/>
      <c r="AM284" s="1290">
        <f>_xlfn.XLOOKUP(F284,Proveedores!A:A,Proveedores!G:G)</f>
        <v>0</v>
      </c>
      <c r="AN284" s="1095" t="str">
        <f t="shared" si="209"/>
        <v>OK</v>
      </c>
    </row>
    <row r="285" spans="1:40" ht="15.95">
      <c r="A285" s="1090" t="b">
        <f t="shared" si="184"/>
        <v>1</v>
      </c>
      <c r="B285" s="1091" t="b">
        <f t="shared" si="197"/>
        <v>1</v>
      </c>
      <c r="C285" s="1092" t="str">
        <f t="shared" si="198"/>
        <v>Dólares</v>
      </c>
      <c r="D285" s="15"/>
      <c r="E285" s="743"/>
      <c r="F285" s="17"/>
      <c r="G285" s="17" t="str">
        <f t="shared" si="185"/>
        <v xml:space="preserve"> </v>
      </c>
      <c r="H285" s="12">
        <v>0</v>
      </c>
      <c r="I285" s="16" t="str">
        <f>IFERROR(VLOOKUP(G285,Proveedores!B:C,2,0)," ")</f>
        <v xml:space="preserve"> </v>
      </c>
      <c r="J285" s="745">
        <v>0</v>
      </c>
      <c r="K285" s="745" t="str">
        <f t="shared" si="186"/>
        <v>Not Found</v>
      </c>
      <c r="L285" s="16">
        <f>IF(K285="Importado",Fletes!$B$66,0%)</f>
        <v>0</v>
      </c>
      <c r="M285" s="745">
        <f t="shared" si="199"/>
        <v>0</v>
      </c>
      <c r="N285" s="16">
        <f>IF(K285&lt;&gt;"Importado",0%,IF(Fletes!$B$67&lt;10,15%,IF(Fletes!$B$67&lt;20,10%,5%)))</f>
        <v>0</v>
      </c>
      <c r="O285" s="745" t="str">
        <f>IFERROR(IF(OR(F285="Offiho",F285="Lauco Sofas",F285="Requiez",F285="Labenze",F285="Sunon Mty",F285="Sonara"),(M285*(1-_xlfn.XLOOKUP(F285,Proveedores!A:A,Proveedores!I:I)))*(1+N285),((M285*(1-_xlfn.XLOOKUP(F285,Proveedores!A:A,Proveedores!I:I)))*(1+N285))+U285),"")</f>
        <v/>
      </c>
      <c r="P285" s="1031"/>
      <c r="Q285" s="1133">
        <f>IF(K285&lt;&gt;"Importado",0,IF(P285&gt;0,P285*H285,IFERROR(_xlfn.XLOOKUP(F285,Proveedores!A:A,Proveedores!F:F,0)*H285,0)))</f>
        <v>0</v>
      </c>
      <c r="R285" s="1134" t="e">
        <f t="shared" si="200"/>
        <v>#VALUE!</v>
      </c>
      <c r="S285" s="743"/>
      <c r="T285" s="1034" t="e">
        <f t="shared" si="187"/>
        <v>#N/A</v>
      </c>
      <c r="U285" s="1034" t="e">
        <f t="shared" si="201"/>
        <v>#N/A</v>
      </c>
      <c r="V285" s="1165" t="e">
        <f t="shared" si="188"/>
        <v>#N/A</v>
      </c>
      <c r="W285" s="1034" t="e">
        <f t="shared" si="202"/>
        <v>#N/A</v>
      </c>
      <c r="X285" s="1034" t="b">
        <f t="shared" si="203"/>
        <v>0</v>
      </c>
      <c r="Y285" s="1034">
        <f t="shared" si="204"/>
        <v>0</v>
      </c>
      <c r="Z285" s="1034">
        <f t="shared" si="205"/>
        <v>0</v>
      </c>
      <c r="AA285" s="1034">
        <f t="shared" si="189"/>
        <v>0</v>
      </c>
      <c r="AB285" s="1034">
        <f t="shared" si="190"/>
        <v>0</v>
      </c>
      <c r="AC285" s="1033">
        <f t="shared" si="206"/>
        <v>0</v>
      </c>
      <c r="AD285" s="1266">
        <f t="shared" si="191"/>
        <v>0</v>
      </c>
      <c r="AE285" s="1093">
        <f t="shared" si="207"/>
        <v>0</v>
      </c>
      <c r="AF285" s="1093">
        <f t="shared" si="208"/>
        <v>0</v>
      </c>
      <c r="AG285" s="1093">
        <f t="shared" si="192"/>
        <v>0</v>
      </c>
      <c r="AH285" s="1033" t="e">
        <f t="shared" si="193"/>
        <v>#DIV/0!</v>
      </c>
      <c r="AI285" s="1091">
        <f t="shared" si="194"/>
        <v>0</v>
      </c>
      <c r="AJ285" s="1094">
        <f t="shared" si="195"/>
        <v>0</v>
      </c>
      <c r="AK285" s="1053" t="str">
        <f t="shared" si="196"/>
        <v/>
      </c>
      <c r="AL285" s="1053"/>
      <c r="AM285" s="1290">
        <f>_xlfn.XLOOKUP(F285,Proveedores!A:A,Proveedores!G:G)</f>
        <v>0</v>
      </c>
      <c r="AN285" s="1095" t="str">
        <f t="shared" si="209"/>
        <v>OK</v>
      </c>
    </row>
    <row r="286" spans="1:40" ht="15.95">
      <c r="A286" s="1090" t="b">
        <f t="shared" si="184"/>
        <v>1</v>
      </c>
      <c r="B286" s="1091" t="b">
        <f t="shared" si="197"/>
        <v>1</v>
      </c>
      <c r="C286" s="1092" t="str">
        <f t="shared" si="198"/>
        <v>Dólares</v>
      </c>
      <c r="D286" s="15"/>
      <c r="E286" s="743"/>
      <c r="F286" s="17"/>
      <c r="G286" s="17" t="str">
        <f t="shared" si="185"/>
        <v xml:space="preserve"> </v>
      </c>
      <c r="H286" s="12">
        <v>0</v>
      </c>
      <c r="I286" s="16" t="str">
        <f>IFERROR(VLOOKUP(G286,Proveedores!B:C,2,0)," ")</f>
        <v xml:space="preserve"> </v>
      </c>
      <c r="J286" s="745">
        <v>0</v>
      </c>
      <c r="K286" s="745" t="str">
        <f t="shared" si="186"/>
        <v>Not Found</v>
      </c>
      <c r="L286" s="16">
        <f>IF(K286="Importado",Fletes!$B$66,0%)</f>
        <v>0</v>
      </c>
      <c r="M286" s="745">
        <f t="shared" si="199"/>
        <v>0</v>
      </c>
      <c r="N286" s="16">
        <f>IF(K286&lt;&gt;"Importado",0%,IF(Fletes!$B$67&lt;10,15%,IF(Fletes!$B$67&lt;20,10%,5%)))</f>
        <v>0</v>
      </c>
      <c r="O286" s="745" t="str">
        <f>IFERROR(IF(OR(F286="Offiho",F286="Lauco Sofas",F286="Requiez",F286="Labenze",F286="Sunon Mty",F286="Sonara"),(M286*(1-_xlfn.XLOOKUP(F286,Proveedores!A:A,Proveedores!I:I)))*(1+N286),((M286*(1-_xlfn.XLOOKUP(F286,Proveedores!A:A,Proveedores!I:I)))*(1+N286))+U286),"")</f>
        <v/>
      </c>
      <c r="P286" s="1031"/>
      <c r="Q286" s="1133">
        <f>IF(K286&lt;&gt;"Importado",0,IF(P286&gt;0,P286*H286,IFERROR(_xlfn.XLOOKUP(F286,Proveedores!A:A,Proveedores!F:F,0)*H286,0)))</f>
        <v>0</v>
      </c>
      <c r="R286" s="1134" t="e">
        <f t="shared" si="200"/>
        <v>#VALUE!</v>
      </c>
      <c r="S286" s="743"/>
      <c r="T286" s="1034" t="e">
        <f t="shared" si="187"/>
        <v>#N/A</v>
      </c>
      <c r="U286" s="1034" t="e">
        <f t="shared" si="201"/>
        <v>#N/A</v>
      </c>
      <c r="V286" s="1165" t="e">
        <f t="shared" si="188"/>
        <v>#N/A</v>
      </c>
      <c r="W286" s="1034" t="e">
        <f t="shared" si="202"/>
        <v>#N/A</v>
      </c>
      <c r="X286" s="1034" t="b">
        <f t="shared" si="203"/>
        <v>0</v>
      </c>
      <c r="Y286" s="1034">
        <f t="shared" si="204"/>
        <v>0</v>
      </c>
      <c r="Z286" s="1034">
        <f t="shared" si="205"/>
        <v>0</v>
      </c>
      <c r="AA286" s="1034">
        <f t="shared" si="189"/>
        <v>0</v>
      </c>
      <c r="AB286" s="1034">
        <f t="shared" si="190"/>
        <v>0</v>
      </c>
      <c r="AC286" s="1033">
        <f t="shared" si="206"/>
        <v>0</v>
      </c>
      <c r="AD286" s="1266">
        <f t="shared" si="191"/>
        <v>0</v>
      </c>
      <c r="AE286" s="1093">
        <f t="shared" si="207"/>
        <v>0</v>
      </c>
      <c r="AF286" s="1093">
        <f t="shared" si="208"/>
        <v>0</v>
      </c>
      <c r="AG286" s="1093">
        <f t="shared" si="192"/>
        <v>0</v>
      </c>
      <c r="AH286" s="1033" t="e">
        <f t="shared" si="193"/>
        <v>#DIV/0!</v>
      </c>
      <c r="AI286" s="1091">
        <f t="shared" si="194"/>
        <v>0</v>
      </c>
      <c r="AJ286" s="1094">
        <f t="shared" si="195"/>
        <v>0</v>
      </c>
      <c r="AK286" s="1053" t="str">
        <f t="shared" si="196"/>
        <v/>
      </c>
      <c r="AL286" s="1053"/>
      <c r="AM286" s="1290">
        <f>_xlfn.XLOOKUP(F286,Proveedores!A:A,Proveedores!G:G)</f>
        <v>0</v>
      </c>
      <c r="AN286" s="1095" t="str">
        <f t="shared" si="209"/>
        <v>OK</v>
      </c>
    </row>
    <row r="287" spans="1:40" ht="15.95">
      <c r="A287" s="1090" t="b">
        <f t="shared" si="184"/>
        <v>1</v>
      </c>
      <c r="B287" s="1091" t="b">
        <f t="shared" si="197"/>
        <v>1</v>
      </c>
      <c r="C287" s="1092" t="str">
        <f t="shared" si="198"/>
        <v>Dólares</v>
      </c>
      <c r="D287" s="14"/>
      <c r="E287" s="743"/>
      <c r="F287" s="17"/>
      <c r="G287" s="17" t="str">
        <f t="shared" si="185"/>
        <v xml:space="preserve"> </v>
      </c>
      <c r="H287" s="12">
        <v>0</v>
      </c>
      <c r="I287" s="16" t="str">
        <f>IFERROR(VLOOKUP(G287,Proveedores!B:C,2,0)," ")</f>
        <v xml:space="preserve"> </v>
      </c>
      <c r="J287" s="745">
        <v>0</v>
      </c>
      <c r="K287" s="745" t="str">
        <f t="shared" si="186"/>
        <v>Not Found</v>
      </c>
      <c r="L287" s="16">
        <f>IF(K287="Importado",Fletes!$B$66,0%)</f>
        <v>0</v>
      </c>
      <c r="M287" s="745">
        <f t="shared" si="199"/>
        <v>0</v>
      </c>
      <c r="N287" s="16">
        <f>IF(K287&lt;&gt;"Importado",0%,IF(Fletes!$B$67&lt;10,15%,IF(Fletes!$B$67&lt;20,10%,5%)))</f>
        <v>0</v>
      </c>
      <c r="O287" s="745" t="str">
        <f>IFERROR(IF(OR(F287="Offiho",F287="Lauco Sofas",F287="Requiez",F287="Labenze",F287="Sunon Mty",F287="Sonara"),(M287*(1-_xlfn.XLOOKUP(F287,Proveedores!A:A,Proveedores!I:I)))*(1+N287),((M287*(1-_xlfn.XLOOKUP(F287,Proveedores!A:A,Proveedores!I:I)))*(1+N287))+U287),"")</f>
        <v/>
      </c>
      <c r="P287" s="1031"/>
      <c r="Q287" s="1133">
        <f>IF(K287&lt;&gt;"Importado",0,IF(P287&gt;0,P287*H287,IFERROR(_xlfn.XLOOKUP(F287,Proveedores!A:A,Proveedores!F:F,0)*H287,0)))</f>
        <v>0</v>
      </c>
      <c r="R287" s="1134" t="e">
        <f t="shared" si="200"/>
        <v>#VALUE!</v>
      </c>
      <c r="S287" s="743"/>
      <c r="T287" s="1034" t="e">
        <f t="shared" si="187"/>
        <v>#N/A</v>
      </c>
      <c r="U287" s="1034" t="e">
        <f t="shared" si="201"/>
        <v>#N/A</v>
      </c>
      <c r="V287" s="1165" t="e">
        <f t="shared" si="188"/>
        <v>#N/A</v>
      </c>
      <c r="W287" s="1034" t="e">
        <f t="shared" si="202"/>
        <v>#N/A</v>
      </c>
      <c r="X287" s="1034" t="b">
        <f t="shared" si="203"/>
        <v>0</v>
      </c>
      <c r="Y287" s="1034">
        <f t="shared" si="204"/>
        <v>0</v>
      </c>
      <c r="Z287" s="1034">
        <f t="shared" si="205"/>
        <v>0</v>
      </c>
      <c r="AA287" s="1034">
        <f t="shared" si="189"/>
        <v>0</v>
      </c>
      <c r="AB287" s="1034">
        <f t="shared" si="190"/>
        <v>0</v>
      </c>
      <c r="AC287" s="1033">
        <f t="shared" si="206"/>
        <v>0</v>
      </c>
      <c r="AD287" s="1266">
        <f t="shared" si="191"/>
        <v>0</v>
      </c>
      <c r="AE287" s="1093">
        <f t="shared" si="207"/>
        <v>0</v>
      </c>
      <c r="AF287" s="1093">
        <f t="shared" si="208"/>
        <v>0</v>
      </c>
      <c r="AG287" s="1093">
        <f t="shared" si="192"/>
        <v>0</v>
      </c>
      <c r="AH287" s="1033" t="e">
        <f t="shared" si="193"/>
        <v>#DIV/0!</v>
      </c>
      <c r="AI287" s="1091">
        <f t="shared" si="194"/>
        <v>0</v>
      </c>
      <c r="AJ287" s="1094">
        <f t="shared" si="195"/>
        <v>0</v>
      </c>
      <c r="AK287" s="1053" t="str">
        <f t="shared" si="196"/>
        <v/>
      </c>
      <c r="AL287" s="1053"/>
      <c r="AM287" s="1290">
        <f>_xlfn.XLOOKUP(F287,Proveedores!A:A,Proveedores!G:G)</f>
        <v>0</v>
      </c>
      <c r="AN287" s="1095" t="str">
        <f t="shared" si="209"/>
        <v>OK</v>
      </c>
    </row>
    <row r="288" spans="1:40" ht="15.95">
      <c r="A288" s="1090" t="b">
        <f t="shared" si="184"/>
        <v>1</v>
      </c>
      <c r="B288" s="1091" t="b">
        <f t="shared" si="197"/>
        <v>1</v>
      </c>
      <c r="C288" s="1092" t="str">
        <f t="shared" si="198"/>
        <v>Dólares</v>
      </c>
      <c r="D288" s="14"/>
      <c r="E288" s="743"/>
      <c r="F288" s="17"/>
      <c r="G288" s="17" t="str">
        <f t="shared" si="185"/>
        <v xml:space="preserve"> </v>
      </c>
      <c r="H288" s="12">
        <v>0</v>
      </c>
      <c r="I288" s="16" t="str">
        <f>IFERROR(VLOOKUP(G288,Proveedores!B:C,2,0)," ")</f>
        <v xml:space="preserve"> </v>
      </c>
      <c r="J288" s="745">
        <v>0</v>
      </c>
      <c r="K288" s="745" t="str">
        <f t="shared" si="186"/>
        <v>Not Found</v>
      </c>
      <c r="L288" s="16">
        <f>IF(K288="Importado",Fletes!$B$66,0%)</f>
        <v>0</v>
      </c>
      <c r="M288" s="745">
        <f t="shared" si="199"/>
        <v>0</v>
      </c>
      <c r="N288" s="16">
        <f>IF(K288&lt;&gt;"Importado",0%,IF(Fletes!$B$67&lt;10,15%,IF(Fletes!$B$67&lt;20,10%,5%)))</f>
        <v>0</v>
      </c>
      <c r="O288" s="745" t="str">
        <f>IFERROR(IF(OR(F288="Offiho",F288="Lauco Sofas",F288="Requiez",F288="Labenze",F288="Sunon Mty",F288="Sonara"),(M288*(1-_xlfn.XLOOKUP(F288,Proveedores!A:A,Proveedores!I:I)))*(1+N288),((M288*(1-_xlfn.XLOOKUP(F288,Proveedores!A:A,Proveedores!I:I)))*(1+N288))+U288),"")</f>
        <v/>
      </c>
      <c r="P288" s="1031"/>
      <c r="Q288" s="1133">
        <f>IF(K288&lt;&gt;"Importado",0,IF(P288&gt;0,P288*H288,IFERROR(_xlfn.XLOOKUP(F288,Proveedores!A:A,Proveedores!F:F,0)*H288,0)))</f>
        <v>0</v>
      </c>
      <c r="R288" s="1134" t="e">
        <f t="shared" si="200"/>
        <v>#VALUE!</v>
      </c>
      <c r="S288" s="743"/>
      <c r="T288" s="1034" t="e">
        <f t="shared" si="187"/>
        <v>#N/A</v>
      </c>
      <c r="U288" s="1034" t="e">
        <f t="shared" si="201"/>
        <v>#N/A</v>
      </c>
      <c r="V288" s="1165" t="e">
        <f t="shared" si="188"/>
        <v>#N/A</v>
      </c>
      <c r="W288" s="1034" t="e">
        <f t="shared" si="202"/>
        <v>#N/A</v>
      </c>
      <c r="X288" s="1034" t="b">
        <f t="shared" si="203"/>
        <v>0</v>
      </c>
      <c r="Y288" s="1034">
        <f t="shared" si="204"/>
        <v>0</v>
      </c>
      <c r="Z288" s="1034">
        <f t="shared" si="205"/>
        <v>0</v>
      </c>
      <c r="AA288" s="1034">
        <f t="shared" si="189"/>
        <v>0</v>
      </c>
      <c r="AB288" s="1034">
        <f t="shared" si="190"/>
        <v>0</v>
      </c>
      <c r="AC288" s="1033">
        <f t="shared" si="206"/>
        <v>0</v>
      </c>
      <c r="AD288" s="1266">
        <f t="shared" si="191"/>
        <v>0</v>
      </c>
      <c r="AE288" s="1093">
        <f t="shared" si="207"/>
        <v>0</v>
      </c>
      <c r="AF288" s="1093">
        <f t="shared" si="208"/>
        <v>0</v>
      </c>
      <c r="AG288" s="1093">
        <f t="shared" si="192"/>
        <v>0</v>
      </c>
      <c r="AH288" s="1033" t="e">
        <f t="shared" si="193"/>
        <v>#DIV/0!</v>
      </c>
      <c r="AI288" s="1091">
        <f t="shared" si="194"/>
        <v>0</v>
      </c>
      <c r="AJ288" s="1094">
        <f t="shared" si="195"/>
        <v>0</v>
      </c>
      <c r="AK288" s="1053" t="str">
        <f t="shared" si="196"/>
        <v/>
      </c>
      <c r="AL288" s="1053"/>
      <c r="AM288" s="1290">
        <f>_xlfn.XLOOKUP(F288,Proveedores!A:A,Proveedores!G:G)</f>
        <v>0</v>
      </c>
      <c r="AN288" s="1095" t="str">
        <f t="shared" si="209"/>
        <v>OK</v>
      </c>
    </row>
    <row r="289" spans="1:40" ht="15.95">
      <c r="A289" s="1090" t="b">
        <f t="shared" si="184"/>
        <v>1</v>
      </c>
      <c r="B289" s="1091" t="b">
        <f t="shared" si="197"/>
        <v>1</v>
      </c>
      <c r="C289" s="1092" t="str">
        <f t="shared" si="198"/>
        <v>Dólares</v>
      </c>
      <c r="D289" s="14"/>
      <c r="E289" s="743"/>
      <c r="F289" s="17"/>
      <c r="G289" s="17" t="str">
        <f t="shared" si="185"/>
        <v xml:space="preserve"> </v>
      </c>
      <c r="H289" s="12">
        <v>0</v>
      </c>
      <c r="I289" s="16" t="str">
        <f>IFERROR(VLOOKUP(G289,Proveedores!B:C,2,0)," ")</f>
        <v xml:space="preserve"> </v>
      </c>
      <c r="J289" s="745">
        <v>0</v>
      </c>
      <c r="K289" s="745" t="str">
        <f t="shared" si="186"/>
        <v>Not Found</v>
      </c>
      <c r="L289" s="16">
        <f>IF(K289="Importado",Fletes!$B$66,0%)</f>
        <v>0</v>
      </c>
      <c r="M289" s="745">
        <f t="shared" si="199"/>
        <v>0</v>
      </c>
      <c r="N289" s="16">
        <f>IF(K289&lt;&gt;"Importado",0%,IF(Fletes!$B$67&lt;10,15%,IF(Fletes!$B$67&lt;20,10%,5%)))</f>
        <v>0</v>
      </c>
      <c r="O289" s="745" t="str">
        <f>IFERROR(IF(OR(F289="Offiho",F289="Lauco Sofas",F289="Requiez",F289="Labenze",F289="Sunon Mty",F289="Sonara"),(M289*(1-_xlfn.XLOOKUP(F289,Proveedores!A:A,Proveedores!I:I)))*(1+N289),((M289*(1-_xlfn.XLOOKUP(F289,Proveedores!A:A,Proveedores!I:I)))*(1+N289))+U289),"")</f>
        <v/>
      </c>
      <c r="P289" s="1031"/>
      <c r="Q289" s="1133">
        <f>IF(K289&lt;&gt;"Importado",0,IF(P289&gt;0,P289*H289,IFERROR(_xlfn.XLOOKUP(F289,Proveedores!A:A,Proveedores!F:F,0)*H289,0)))</f>
        <v>0</v>
      </c>
      <c r="R289" s="1134" t="e">
        <f t="shared" si="200"/>
        <v>#VALUE!</v>
      </c>
      <c r="S289" s="743"/>
      <c r="T289" s="1034" t="e">
        <f t="shared" si="187"/>
        <v>#N/A</v>
      </c>
      <c r="U289" s="1034" t="e">
        <f t="shared" si="201"/>
        <v>#N/A</v>
      </c>
      <c r="V289" s="1165" t="e">
        <f t="shared" si="188"/>
        <v>#N/A</v>
      </c>
      <c r="W289" s="1034" t="e">
        <f t="shared" si="202"/>
        <v>#N/A</v>
      </c>
      <c r="X289" s="1034" t="b">
        <f t="shared" si="203"/>
        <v>0</v>
      </c>
      <c r="Y289" s="1034">
        <f t="shared" si="204"/>
        <v>0</v>
      </c>
      <c r="Z289" s="1034">
        <f t="shared" si="205"/>
        <v>0</v>
      </c>
      <c r="AA289" s="1034">
        <f t="shared" si="189"/>
        <v>0</v>
      </c>
      <c r="AB289" s="1034">
        <f t="shared" si="190"/>
        <v>0</v>
      </c>
      <c r="AC289" s="1033">
        <f t="shared" si="206"/>
        <v>0</v>
      </c>
      <c r="AD289" s="1266">
        <f t="shared" si="191"/>
        <v>0</v>
      </c>
      <c r="AE289" s="1093">
        <f t="shared" si="207"/>
        <v>0</v>
      </c>
      <c r="AF289" s="1093">
        <f t="shared" si="208"/>
        <v>0</v>
      </c>
      <c r="AG289" s="1093">
        <f t="shared" si="192"/>
        <v>0</v>
      </c>
      <c r="AH289" s="1033" t="e">
        <f t="shared" si="193"/>
        <v>#DIV/0!</v>
      </c>
      <c r="AI289" s="1091">
        <f t="shared" si="194"/>
        <v>0</v>
      </c>
      <c r="AJ289" s="1094">
        <f t="shared" si="195"/>
        <v>0</v>
      </c>
      <c r="AK289" s="1053" t="str">
        <f t="shared" si="196"/>
        <v/>
      </c>
      <c r="AL289" s="1053"/>
      <c r="AM289" s="1290">
        <f>_xlfn.XLOOKUP(F289,Proveedores!A:A,Proveedores!G:G)</f>
        <v>0</v>
      </c>
      <c r="AN289" s="1095" t="str">
        <f t="shared" si="209"/>
        <v>OK</v>
      </c>
    </row>
    <row r="290" spans="1:40" ht="15.95">
      <c r="A290" s="1090" t="b">
        <f t="shared" si="184"/>
        <v>1</v>
      </c>
      <c r="B290" s="1091" t="b">
        <f t="shared" si="197"/>
        <v>1</v>
      </c>
      <c r="C290" s="1092" t="str">
        <f t="shared" si="198"/>
        <v>Dólares</v>
      </c>
      <c r="D290" s="14"/>
      <c r="E290" s="743"/>
      <c r="F290" s="17"/>
      <c r="G290" s="17" t="str">
        <f t="shared" si="185"/>
        <v xml:space="preserve"> </v>
      </c>
      <c r="H290" s="12">
        <v>0</v>
      </c>
      <c r="I290" s="16" t="str">
        <f>IFERROR(VLOOKUP(G290,Proveedores!B:C,2,0)," ")</f>
        <v xml:space="preserve"> </v>
      </c>
      <c r="J290" s="745">
        <v>0</v>
      </c>
      <c r="K290" s="745" t="str">
        <f t="shared" si="186"/>
        <v>Not Found</v>
      </c>
      <c r="L290" s="16">
        <f>IF(K290="Importado",Fletes!$B$66,0%)</f>
        <v>0</v>
      </c>
      <c r="M290" s="745">
        <f t="shared" si="199"/>
        <v>0</v>
      </c>
      <c r="N290" s="16">
        <f>IF(K290&lt;&gt;"Importado",0%,IF(Fletes!$B$67&lt;10,15%,IF(Fletes!$B$67&lt;20,10%,5%)))</f>
        <v>0</v>
      </c>
      <c r="O290" s="745" t="str">
        <f>IFERROR(IF(OR(F290="Offiho",F290="Lauco Sofas",F290="Requiez",F290="Labenze",F290="Sunon Mty",F290="Sonara"),(M290*(1-_xlfn.XLOOKUP(F290,Proveedores!A:A,Proveedores!I:I)))*(1+N290),((M290*(1-_xlfn.XLOOKUP(F290,Proveedores!A:A,Proveedores!I:I)))*(1+N290))+U290),"")</f>
        <v/>
      </c>
      <c r="P290" s="1031"/>
      <c r="Q290" s="1133">
        <f>IF(K290&lt;&gt;"Importado",0,IF(P290&gt;0,P290*H290,IFERROR(_xlfn.XLOOKUP(F290,Proveedores!A:A,Proveedores!F:F,0)*H290,0)))</f>
        <v>0</v>
      </c>
      <c r="R290" s="1134" t="e">
        <f t="shared" si="200"/>
        <v>#VALUE!</v>
      </c>
      <c r="S290" s="743"/>
      <c r="T290" s="1034" t="e">
        <f t="shared" si="187"/>
        <v>#N/A</v>
      </c>
      <c r="U290" s="1034" t="e">
        <f t="shared" si="201"/>
        <v>#N/A</v>
      </c>
      <c r="V290" s="1165" t="e">
        <f t="shared" si="188"/>
        <v>#N/A</v>
      </c>
      <c r="W290" s="1034" t="e">
        <f t="shared" si="202"/>
        <v>#N/A</v>
      </c>
      <c r="X290" s="1034" t="b">
        <f t="shared" si="203"/>
        <v>0</v>
      </c>
      <c r="Y290" s="1034">
        <f t="shared" si="204"/>
        <v>0</v>
      </c>
      <c r="Z290" s="1034">
        <f t="shared" si="205"/>
        <v>0</v>
      </c>
      <c r="AA290" s="1034">
        <f t="shared" si="189"/>
        <v>0</v>
      </c>
      <c r="AB290" s="1034">
        <f t="shared" si="190"/>
        <v>0</v>
      </c>
      <c r="AC290" s="1033">
        <f t="shared" si="206"/>
        <v>0</v>
      </c>
      <c r="AD290" s="1266">
        <f t="shared" si="191"/>
        <v>0</v>
      </c>
      <c r="AE290" s="1093">
        <f t="shared" si="207"/>
        <v>0</v>
      </c>
      <c r="AF290" s="1093">
        <f t="shared" si="208"/>
        <v>0</v>
      </c>
      <c r="AG290" s="1093">
        <f t="shared" si="192"/>
        <v>0</v>
      </c>
      <c r="AH290" s="1033" t="e">
        <f t="shared" si="193"/>
        <v>#DIV/0!</v>
      </c>
      <c r="AI290" s="1091">
        <f t="shared" si="194"/>
        <v>0</v>
      </c>
      <c r="AJ290" s="1094">
        <f t="shared" si="195"/>
        <v>0</v>
      </c>
      <c r="AK290" s="1053" t="str">
        <f t="shared" si="196"/>
        <v/>
      </c>
      <c r="AL290" s="1053"/>
      <c r="AM290" s="1290">
        <f>_xlfn.XLOOKUP(F290,Proveedores!A:A,Proveedores!G:G)</f>
        <v>0</v>
      </c>
      <c r="AN290" s="1095" t="str">
        <f t="shared" si="209"/>
        <v>OK</v>
      </c>
    </row>
    <row r="291" spans="1:40" ht="15.95">
      <c r="A291" s="1090" t="b">
        <f t="shared" si="184"/>
        <v>1</v>
      </c>
      <c r="B291" s="1091" t="b">
        <f t="shared" si="197"/>
        <v>1</v>
      </c>
      <c r="C291" s="1092" t="str">
        <f t="shared" si="198"/>
        <v>Dólares</v>
      </c>
      <c r="D291" s="14"/>
      <c r="E291" s="743"/>
      <c r="F291" s="17"/>
      <c r="G291" s="17" t="str">
        <f t="shared" si="185"/>
        <v xml:space="preserve"> </v>
      </c>
      <c r="H291" s="12">
        <v>0</v>
      </c>
      <c r="I291" s="16" t="str">
        <f>IFERROR(VLOOKUP(G291,Proveedores!B:C,2,0)," ")</f>
        <v xml:space="preserve"> </v>
      </c>
      <c r="J291" s="745">
        <v>0</v>
      </c>
      <c r="K291" s="745" t="str">
        <f t="shared" si="186"/>
        <v>Not Found</v>
      </c>
      <c r="L291" s="16">
        <f>IF(K291="Importado",Fletes!$B$66,0%)</f>
        <v>0</v>
      </c>
      <c r="M291" s="745">
        <f t="shared" si="199"/>
        <v>0</v>
      </c>
      <c r="N291" s="16">
        <f>IF(K291&lt;&gt;"Importado",0%,IF(Fletes!$B$67&lt;10,15%,IF(Fletes!$B$67&lt;20,10%,5%)))</f>
        <v>0</v>
      </c>
      <c r="O291" s="745" t="str">
        <f>IFERROR(IF(OR(F291="Offiho",F291="Lauco Sofas",F291="Requiez",F291="Labenze",F291="Sunon Mty",F291="Sonara"),(M291*(1-_xlfn.XLOOKUP(F291,Proveedores!A:A,Proveedores!I:I)))*(1+N291),((M291*(1-_xlfn.XLOOKUP(F291,Proveedores!A:A,Proveedores!I:I)))*(1+N291))+U291),"")</f>
        <v/>
      </c>
      <c r="P291" s="1031"/>
      <c r="Q291" s="1133">
        <f>IF(K291&lt;&gt;"Importado",0,IF(P291&gt;0,P291*H291,IFERROR(_xlfn.XLOOKUP(F291,Proveedores!A:A,Proveedores!F:F,0)*H291,0)))</f>
        <v>0</v>
      </c>
      <c r="R291" s="1134" t="e">
        <f t="shared" si="200"/>
        <v>#VALUE!</v>
      </c>
      <c r="S291" s="743"/>
      <c r="T291" s="1034" t="e">
        <f t="shared" si="187"/>
        <v>#N/A</v>
      </c>
      <c r="U291" s="1034" t="e">
        <f t="shared" si="201"/>
        <v>#N/A</v>
      </c>
      <c r="V291" s="1165" t="e">
        <f t="shared" si="188"/>
        <v>#N/A</v>
      </c>
      <c r="W291" s="1034" t="e">
        <f t="shared" si="202"/>
        <v>#N/A</v>
      </c>
      <c r="X291" s="1034" t="b">
        <f t="shared" si="203"/>
        <v>0</v>
      </c>
      <c r="Y291" s="1034">
        <f t="shared" si="204"/>
        <v>0</v>
      </c>
      <c r="Z291" s="1034">
        <f t="shared" si="205"/>
        <v>0</v>
      </c>
      <c r="AA291" s="1034">
        <f t="shared" si="189"/>
        <v>0</v>
      </c>
      <c r="AB291" s="1034">
        <f t="shared" si="190"/>
        <v>0</v>
      </c>
      <c r="AC291" s="1033">
        <f t="shared" si="206"/>
        <v>0</v>
      </c>
      <c r="AD291" s="1266">
        <f t="shared" si="191"/>
        <v>0</v>
      </c>
      <c r="AE291" s="1093">
        <f t="shared" si="207"/>
        <v>0</v>
      </c>
      <c r="AF291" s="1093">
        <f t="shared" si="208"/>
        <v>0</v>
      </c>
      <c r="AG291" s="1093">
        <f t="shared" si="192"/>
        <v>0</v>
      </c>
      <c r="AH291" s="1033" t="e">
        <f t="shared" si="193"/>
        <v>#DIV/0!</v>
      </c>
      <c r="AI291" s="1091">
        <f t="shared" si="194"/>
        <v>0</v>
      </c>
      <c r="AJ291" s="1094">
        <f t="shared" si="195"/>
        <v>0</v>
      </c>
      <c r="AK291" s="1053" t="str">
        <f t="shared" si="196"/>
        <v/>
      </c>
      <c r="AL291" s="1053"/>
      <c r="AM291" s="1290">
        <f>_xlfn.XLOOKUP(F291,Proveedores!A:A,Proveedores!G:G)</f>
        <v>0</v>
      </c>
      <c r="AN291" s="1095" t="str">
        <f t="shared" si="209"/>
        <v>OK</v>
      </c>
    </row>
    <row r="292" spans="1:40" ht="15.95">
      <c r="A292" s="1090" t="b">
        <f t="shared" si="184"/>
        <v>1</v>
      </c>
      <c r="B292" s="1091" t="b">
        <f t="shared" si="197"/>
        <v>1</v>
      </c>
      <c r="C292" s="1092" t="str">
        <f t="shared" si="198"/>
        <v>Dólares</v>
      </c>
      <c r="D292" s="14"/>
      <c r="E292" s="743"/>
      <c r="F292" s="17"/>
      <c r="G292" s="17" t="str">
        <f t="shared" si="185"/>
        <v xml:space="preserve"> </v>
      </c>
      <c r="H292" s="12">
        <v>0</v>
      </c>
      <c r="I292" s="16" t="str">
        <f>IFERROR(VLOOKUP(G292,Proveedores!B:C,2,0)," ")</f>
        <v xml:space="preserve"> </v>
      </c>
      <c r="J292" s="745">
        <v>0</v>
      </c>
      <c r="K292" s="745" t="str">
        <f t="shared" si="186"/>
        <v>Not Found</v>
      </c>
      <c r="L292" s="16">
        <f>IF(K292="Importado",Fletes!$B$66,0%)</f>
        <v>0</v>
      </c>
      <c r="M292" s="745">
        <f t="shared" si="199"/>
        <v>0</v>
      </c>
      <c r="N292" s="16">
        <f>IF(K292&lt;&gt;"Importado",0%,IF(Fletes!$B$67&lt;10,15%,IF(Fletes!$B$67&lt;20,10%,5%)))</f>
        <v>0</v>
      </c>
      <c r="O292" s="745" t="str">
        <f>IFERROR(IF(OR(F292="Offiho",F292="Lauco Sofas",F292="Requiez",F292="Labenze",F292="Sunon Mty",F292="Sonara"),(M292*(1-_xlfn.XLOOKUP(F292,Proveedores!A:A,Proveedores!I:I)))*(1+N292),((M292*(1-_xlfn.XLOOKUP(F292,Proveedores!A:A,Proveedores!I:I)))*(1+N292))+U292),"")</f>
        <v/>
      </c>
      <c r="P292" s="1031"/>
      <c r="Q292" s="1133">
        <f>IF(K292&lt;&gt;"Importado",0,IF(P292&gt;0,P292*H292,IFERROR(_xlfn.XLOOKUP(F292,Proveedores!A:A,Proveedores!F:F,0)*H292,0)))</f>
        <v>0</v>
      </c>
      <c r="R292" s="1134" t="e">
        <f t="shared" si="200"/>
        <v>#VALUE!</v>
      </c>
      <c r="S292" s="743"/>
      <c r="T292" s="1034" t="e">
        <f t="shared" si="187"/>
        <v>#N/A</v>
      </c>
      <c r="U292" s="1034" t="e">
        <f t="shared" si="201"/>
        <v>#N/A</v>
      </c>
      <c r="V292" s="1165" t="e">
        <f t="shared" si="188"/>
        <v>#N/A</v>
      </c>
      <c r="W292" s="1034" t="e">
        <f t="shared" si="202"/>
        <v>#N/A</v>
      </c>
      <c r="X292" s="1034" t="b">
        <f t="shared" si="203"/>
        <v>0</v>
      </c>
      <c r="Y292" s="1034">
        <f t="shared" si="204"/>
        <v>0</v>
      </c>
      <c r="Z292" s="1034">
        <f t="shared" si="205"/>
        <v>0</v>
      </c>
      <c r="AA292" s="1034">
        <f t="shared" si="189"/>
        <v>0</v>
      </c>
      <c r="AB292" s="1034">
        <f t="shared" si="190"/>
        <v>0</v>
      </c>
      <c r="AC292" s="1033">
        <f t="shared" si="206"/>
        <v>0</v>
      </c>
      <c r="AD292" s="1266">
        <f t="shared" si="191"/>
        <v>0</v>
      </c>
      <c r="AE292" s="1093">
        <f t="shared" si="207"/>
        <v>0</v>
      </c>
      <c r="AF292" s="1093">
        <f t="shared" si="208"/>
        <v>0</v>
      </c>
      <c r="AG292" s="1093">
        <f t="shared" si="192"/>
        <v>0</v>
      </c>
      <c r="AH292" s="1033" t="str">
        <f t="shared" si="193"/>
        <v>NA</v>
      </c>
      <c r="AI292" s="1091">
        <f t="shared" si="194"/>
        <v>0</v>
      </c>
      <c r="AJ292" s="1094">
        <f t="shared" si="195"/>
        <v>0</v>
      </c>
      <c r="AK292" s="1053" t="str">
        <f t="shared" si="196"/>
        <v/>
      </c>
      <c r="AL292" s="1053"/>
      <c r="AM292" s="1290">
        <f>_xlfn.XLOOKUP(F292,Proveedores!A:A,Proveedores!G:G)</f>
        <v>0</v>
      </c>
      <c r="AN292" s="1095" t="str">
        <f t="shared" si="209"/>
        <v>OK</v>
      </c>
    </row>
    <row r="293" spans="1:40" ht="24" customHeight="1">
      <c r="A293" s="1375" t="s">
        <v>141</v>
      </c>
      <c r="B293" s="1375"/>
      <c r="C293" s="1375"/>
      <c r="D293" s="1375"/>
      <c r="E293" s="1375"/>
      <c r="F293" s="1375"/>
      <c r="G293" s="1099"/>
      <c r="H293" s="1100" cm="1">
        <f t="array" ref="H293">SUM(IFERROR(H260:H292,0))</f>
        <v>0</v>
      </c>
      <c r="I293" s="1099"/>
      <c r="J293" s="1101"/>
      <c r="K293" s="1101"/>
      <c r="L293" s="1101"/>
      <c r="M293" s="1101"/>
      <c r="N293" s="1101"/>
      <c r="O293" s="1101"/>
      <c r="P293" s="1102"/>
      <c r="Q293" s="1100" cm="1">
        <f t="array" ref="Q293">SUM(IFERROR(Q260:Q292,0))</f>
        <v>0</v>
      </c>
      <c r="R293" s="1103" cm="1">
        <f t="array" ref="R293">SUM(IFERROR(R260:R292,0))</f>
        <v>0</v>
      </c>
      <c r="S293" s="1104"/>
      <c r="T293" s="1104"/>
      <c r="U293" s="1104"/>
      <c r="V293" s="1104"/>
      <c r="W293" s="1104"/>
      <c r="X293" s="1104"/>
      <c r="Y293" s="1102"/>
      <c r="Z293" s="1102"/>
      <c r="AA293" s="1102"/>
      <c r="AB293" s="1103" cm="1">
        <f t="array" ref="AB293">SUM(IFERROR(AB260:AB292,0))</f>
        <v>0</v>
      </c>
      <c r="AC293" s="1104" t="s">
        <v>127</v>
      </c>
      <c r="AD293" s="1104"/>
      <c r="AE293" s="1104"/>
      <c r="AF293" s="1104"/>
      <c r="AG293" s="1103" cm="1">
        <f t="array" ref="AG293">SUM(IFERROR(AG260:AG292,0))</f>
        <v>0</v>
      </c>
      <c r="AH293" s="1103"/>
      <c r="AI293" s="1103"/>
      <c r="AJ293" s="1103" cm="1">
        <f t="array" ref="AJ293">SUM(IFERROR(AJ260:AJ292,0))</f>
        <v>0</v>
      </c>
      <c r="AK293" s="1054" cm="1">
        <f t="array" ref="AK293">IFERROR(SUMPRODUCT(IFERROR(AG260:AG292,0),IFERROR(AK260:AK292,0))/SUMPRODUCT(IFERROR(AG260:AG292,0)),0)</f>
        <v>0</v>
      </c>
      <c r="AL293" s="1288"/>
      <c r="AM293" s="1288"/>
      <c r="AN293"/>
    </row>
    <row r="294" spans="1:40" ht="26.1" customHeight="1">
      <c r="A294" s="1397" t="s">
        <v>142</v>
      </c>
      <c r="B294" s="1397"/>
      <c r="C294" s="1397"/>
      <c r="D294" s="1397"/>
      <c r="E294" s="1397"/>
      <c r="F294" s="1397"/>
      <c r="G294" s="1397"/>
      <c r="H294" s="1397"/>
      <c r="I294" s="1397"/>
      <c r="J294" s="1398"/>
      <c r="K294" s="1160"/>
      <c r="L294" s="1160"/>
      <c r="M294" s="1160"/>
      <c r="N294" s="1160"/>
      <c r="O294" s="1160"/>
      <c r="P294" s="1088"/>
      <c r="Q294" s="1088"/>
      <c r="R294" s="1088"/>
      <c r="S294" s="1087"/>
      <c r="T294" s="1087"/>
      <c r="U294" s="1087"/>
      <c r="V294" s="1087"/>
      <c r="W294" s="1087"/>
      <c r="X294" s="1087"/>
      <c r="Y294" s="1055"/>
      <c r="Z294" s="1055"/>
      <c r="AA294" s="1055"/>
      <c r="AB294" s="1055"/>
      <c r="AC294" s="1055"/>
      <c r="AD294" s="1087"/>
      <c r="AE294" s="1087"/>
      <c r="AF294" s="1087"/>
      <c r="AG294" s="1087"/>
      <c r="AH294" s="1087"/>
      <c r="AI294" s="1087"/>
      <c r="AJ294" s="1087"/>
      <c r="AK294" s="1089"/>
      <c r="AL294" s="1287"/>
      <c r="AM294" s="1287"/>
      <c r="AN294"/>
    </row>
    <row r="295" spans="1:40" ht="15.95">
      <c r="A295" s="1090" t="b">
        <f t="shared" ref="A295:A327" si="210">$A$14</f>
        <v>1</v>
      </c>
      <c r="B295" s="1091" t="b">
        <f>A295</f>
        <v>1</v>
      </c>
      <c r="C295" s="1092" t="str">
        <f>$C$14</f>
        <v>Dólares</v>
      </c>
      <c r="D295" s="11"/>
      <c r="E295" s="743"/>
      <c r="F295" s="17"/>
      <c r="G295" s="17" t="str">
        <f t="shared" ref="G295:G327" si="211">IFERROR(VLOOKUP(F295,Tabla_Proveedores_1,2,0)," ")</f>
        <v xml:space="preserve"> </v>
      </c>
      <c r="H295" s="12">
        <v>0</v>
      </c>
      <c r="I295" s="16" t="str">
        <f>IFERROR(VLOOKUP(G295,Proveedores!B:C,2,0)," ")</f>
        <v xml:space="preserve"> </v>
      </c>
      <c r="J295" s="745">
        <v>0</v>
      </c>
      <c r="K295" s="745" t="str">
        <f t="shared" ref="K295:K327" si="212">IFERROR(VLOOKUP(TRIM(F295), ProveedoreS_TC, 5, FALSE), "Not Found")</f>
        <v>Not Found</v>
      </c>
      <c r="L295" s="16">
        <f>IF(K295="Importado",Fletes!$B$66,0%)</f>
        <v>0</v>
      </c>
      <c r="M295" s="745">
        <f>IF(K295="Importado",J295*(1+L295),J295*(1+L295))</f>
        <v>0</v>
      </c>
      <c r="N295" s="16">
        <f>IF(K295&lt;&gt;"Importado",0%,IF(Fletes!$B$67&lt;10,15%,IF(Fletes!$B$67&lt;20,10%,5%)))</f>
        <v>0</v>
      </c>
      <c r="O295" s="745" t="str">
        <f>IFERROR(IF(OR(F295="Offiho",F295="Lauco Sofas",F295="Requiez",F295="Labenze",F295="Sunon Mty",F295="Sonara"),(M295*(1-_xlfn.XLOOKUP(F295,Proveedores!A:A,Proveedores!I:I)))*(1+N295),((M295*(1-_xlfn.XLOOKUP(F295,Proveedores!A:A,Proveedores!I:I)))*(1+N295))+U295),"")</f>
        <v/>
      </c>
      <c r="P295" s="1031"/>
      <c r="Q295" s="1133">
        <f>IF(K295&lt;&gt;"Importado",0,IF(P295&gt;0,P295*H295,IFERROR(_xlfn.XLOOKUP(F295,Proveedores!A:A,Proveedores!F:F,0)*H295,0)))</f>
        <v>0</v>
      </c>
      <c r="R295" s="1134" t="e">
        <f>O295*H295</f>
        <v>#VALUE!</v>
      </c>
      <c r="S295" s="743"/>
      <c r="T295" s="1034" t="e">
        <f t="shared" ref="T295:T327" si="213">IF(H295&gt;15,0,VLOOKUP(E295,Tabla_Instalacion,2,FALSE))</f>
        <v>#N/A</v>
      </c>
      <c r="U295" s="1034" t="e">
        <f>X295/V295</f>
        <v>#N/A</v>
      </c>
      <c r="V295" s="1165" t="e">
        <f t="shared" ref="V295:V327" si="214">VLOOKUP(E295,Tabla_Factor,2,FALSE)</f>
        <v>#N/A</v>
      </c>
      <c r="W295" s="1034" t="e">
        <f>T295*V295</f>
        <v>#N/A</v>
      </c>
      <c r="X295" s="1034" t="b">
        <f>IF(S295="Occidente",W295,IF(S295="Norte",W295*1.5,IF(S295="Centro",W295*1.2,IF(S295="Sur",W295*1.7))))</f>
        <v>0</v>
      </c>
      <c r="Y295" s="1034">
        <f>ROUNDUP(IF(OR(F295="Offiho",F295="Lauco Sofas",F295="Requiez",F295="Labenze",F295="Sunon Mty",F295="Sonara",F295="Santeco"),J295,IF(K295="Nacional",O295/(1-30%),IF(K295="Importado",O295/(1-40%),IF(OR(F295="Lumbro",F295="Idelika"),O295/(1-20%))))),0)</f>
        <v>0</v>
      </c>
      <c r="Z295" s="1034">
        <f>ROUNDUP(IF(OR(F295="Offiho",F295="Lauco Sofas",F295="Requiez",F295="Labenze",F295="Sunon Mty",F295="Sonara",F295="Sonara"),Y295,IF($P$10="MIXTO",IF(K295="Nacional",Y295/(1-50%),Y295/(1-50%)),IF($P$10="IMPORTADO",Y295/(1-50%),IF($P$10="NACIONAL",Y295/(1-20%),Y295/(1-20%))))),0)</f>
        <v>0</v>
      </c>
      <c r="AA295" s="1034">
        <f t="shared" ref="AA295:AA327" si="215">IF(Z295&gt;=Y295,_xlfn.MINIFS($Z$15:$Z$572,$D$15:$D$572,D295),"NO SE ESTA RESPETANDO EL MARGEN")</f>
        <v>0</v>
      </c>
      <c r="AB295" s="1034">
        <f t="shared" ref="AB295:AB327" si="216">IFERROR(AA295*H295,0)</f>
        <v>0</v>
      </c>
      <c r="AC295" s="1033">
        <f>IF($P$10="IMPORTADO",50%,IF($P$10="NACIONAL",20%,IF($P$10="MIXTO",50%,0%)))</f>
        <v>0</v>
      </c>
      <c r="AD295" s="1266">
        <f t="shared" ref="AD295:AD327" si="217">IF(H295&gt;0,$E$5,0)</f>
        <v>0</v>
      </c>
      <c r="AE295" s="1093">
        <f>IFERROR(AA295*AD295,0)</f>
        <v>0</v>
      </c>
      <c r="AF295" s="1093">
        <f>IF($E$5&gt;$E$6,"ERROR",AA295-AE295)</f>
        <v>0</v>
      </c>
      <c r="AG295" s="1093">
        <f t="shared" ref="AG295:AG327" si="218">AF295*H295</f>
        <v>0</v>
      </c>
      <c r="AH295" s="1033" t="e">
        <f t="shared" ref="AH295:AH327" si="219">IF(A296=TRUE,MAX(0,1-(AI295/Z295)),"NA")</f>
        <v>#DIV/0!</v>
      </c>
      <c r="AI295" s="1091">
        <f t="shared" ref="AI295:AI327" si="220">IF(A294=FALSE,"NO APLICA",AF295*(1+$AI$8))</f>
        <v>0</v>
      </c>
      <c r="AJ295" s="1094">
        <f t="shared" ref="AJ295:AJ327" si="221">AI295*H295</f>
        <v>0</v>
      </c>
      <c r="AK295" s="1053" t="str">
        <f t="shared" ref="AK295:AK327" si="222">IFERROR(IF(OR(F295="Offiho",F295="Vandesk",F295="Requiez",F295="Labenze",F295="Idelika",F295="Sunon Mty"),(AG295-(J295*(1-I295)*H295))/AG295,(AG295-R295)/AG295),"")</f>
        <v/>
      </c>
      <c r="AL295" s="1053"/>
      <c r="AM295" s="1290">
        <f>_xlfn.XLOOKUP(F295,Proveedores!A:A,Proveedores!G:G)</f>
        <v>0</v>
      </c>
      <c r="AN295" s="1095" t="str">
        <f>IF(AK295&lt;AM295,"ERROR","OK")</f>
        <v>OK</v>
      </c>
    </row>
    <row r="296" spans="1:40" ht="15.95">
      <c r="A296" s="1090" t="b">
        <f t="shared" si="210"/>
        <v>1</v>
      </c>
      <c r="B296" s="1091" t="b">
        <f t="shared" ref="B296:B327" si="223">A296</f>
        <v>1</v>
      </c>
      <c r="C296" s="1092" t="str">
        <f t="shared" ref="C296:C327" si="224">$C$14</f>
        <v>Dólares</v>
      </c>
      <c r="D296" s="13"/>
      <c r="E296" s="743"/>
      <c r="F296" s="17"/>
      <c r="G296" s="17" t="str">
        <f t="shared" si="211"/>
        <v xml:space="preserve"> </v>
      </c>
      <c r="H296" s="12">
        <v>0</v>
      </c>
      <c r="I296" s="16" t="str">
        <f>IFERROR(VLOOKUP(G296,Proveedores!B:C,2,0)," ")</f>
        <v xml:space="preserve"> </v>
      </c>
      <c r="J296" s="745">
        <v>0</v>
      </c>
      <c r="K296" s="745" t="str">
        <f t="shared" si="212"/>
        <v>Not Found</v>
      </c>
      <c r="L296" s="16">
        <f>IF(K296="Importado",Fletes!$B$66,0%)</f>
        <v>0</v>
      </c>
      <c r="M296" s="745">
        <f t="shared" ref="M296:M327" si="225">IF(K296="Importado",J296*(1+L296),J296*(1+L296))</f>
        <v>0</v>
      </c>
      <c r="N296" s="16">
        <f>IF(K296&lt;&gt;"Importado",0%,IF(Fletes!$B$67&lt;10,15%,IF(Fletes!$B$67&lt;20,10%,5%)))</f>
        <v>0</v>
      </c>
      <c r="O296" s="745" t="str">
        <f>IFERROR(IF(OR(F296="Offiho",F296="Lauco Sofas",F296="Requiez",F296="Labenze",F296="Sunon Mty",F296="Sonara"),(M296*(1-_xlfn.XLOOKUP(F296,Proveedores!A:A,Proveedores!I:I)))*(1+N296),((M296*(1-_xlfn.XLOOKUP(F296,Proveedores!A:A,Proveedores!I:I)))*(1+N296))+U296),"")</f>
        <v/>
      </c>
      <c r="P296" s="1031"/>
      <c r="Q296" s="1133">
        <f>IF(K296&lt;&gt;"Importado",0,IF(P296&gt;0,P296*H296,IFERROR(_xlfn.XLOOKUP(F296,Proveedores!A:A,Proveedores!F:F,0)*H296,0)))</f>
        <v>0</v>
      </c>
      <c r="R296" s="1134" t="e">
        <f t="shared" ref="R296:R327" si="226">O296*H296</f>
        <v>#VALUE!</v>
      </c>
      <c r="S296" s="743"/>
      <c r="T296" s="1034" t="e">
        <f t="shared" si="213"/>
        <v>#N/A</v>
      </c>
      <c r="U296" s="1034" t="e">
        <f t="shared" ref="U296:U327" si="227">X296/V296</f>
        <v>#N/A</v>
      </c>
      <c r="V296" s="1165" t="e">
        <f t="shared" si="214"/>
        <v>#N/A</v>
      </c>
      <c r="W296" s="1034" t="e">
        <f t="shared" ref="W296:W327" si="228">T296*V296</f>
        <v>#N/A</v>
      </c>
      <c r="X296" s="1034" t="b">
        <f t="shared" ref="X296:X327" si="229">IF(S296="Occidente",W296,IF(S296="Norte",W296*1.5,IF(S296="Centro",W296*1.2,IF(S296="Sur",W296*1.7))))</f>
        <v>0</v>
      </c>
      <c r="Y296" s="1034">
        <f t="shared" ref="Y296:Y327" si="230">ROUNDUP(IF(OR(F296="Offiho",F296="Lauco Sofas",F296="Requiez",F296="Labenze",F296="Sunon Mty",F296="Sonara",F296="Santeco"),J296,IF(K296="Nacional",O296/(1-30%),IF(K296="Importado",O296/(1-40%),IF(OR(F296="Lumbro",F296="Idelika"),O296/(1-20%))))),0)</f>
        <v>0</v>
      </c>
      <c r="Z296" s="1034">
        <f t="shared" ref="Z296:Z327" si="231">ROUNDUP(IF(OR(F296="Offiho",F296="Lauco Sofas",F296="Requiez",F296="Labenze",F296="Sunon Mty",F296="Sonara",F296="Sonara"),Y296,IF($P$10="MIXTO",IF(K296="Nacional",Y296/(1-50%),Y296/(1-50%)),IF($P$10="IMPORTADO",Y296/(1-50%),IF($P$10="NACIONAL",Y296/(1-20%),Y296/(1-20%))))),0)</f>
        <v>0</v>
      </c>
      <c r="AA296" s="1034">
        <f t="shared" si="215"/>
        <v>0</v>
      </c>
      <c r="AB296" s="1034">
        <f t="shared" si="216"/>
        <v>0</v>
      </c>
      <c r="AC296" s="1033">
        <f t="shared" ref="AC296:AC327" si="232">IF($P$10="IMPORTADO",50%,IF($P$10="NACIONAL",20%,IF($P$10="MIXTO",50%,0%)))</f>
        <v>0</v>
      </c>
      <c r="AD296" s="1266">
        <f t="shared" si="217"/>
        <v>0</v>
      </c>
      <c r="AE296" s="1093">
        <f t="shared" ref="AE296:AE327" si="233">IFERROR(AA296*AD296,0)</f>
        <v>0</v>
      </c>
      <c r="AF296" s="1093">
        <f t="shared" ref="AF296:AF327" si="234">IF($E$5&gt;$E$6,"ERROR",AA296-AE296)</f>
        <v>0</v>
      </c>
      <c r="AG296" s="1093">
        <f t="shared" si="218"/>
        <v>0</v>
      </c>
      <c r="AH296" s="1033" t="e">
        <f t="shared" si="219"/>
        <v>#DIV/0!</v>
      </c>
      <c r="AI296" s="1091">
        <f t="shared" si="220"/>
        <v>0</v>
      </c>
      <c r="AJ296" s="1094">
        <f t="shared" si="221"/>
        <v>0</v>
      </c>
      <c r="AK296" s="1053" t="str">
        <f t="shared" si="222"/>
        <v/>
      </c>
      <c r="AL296" s="1053"/>
      <c r="AM296" s="1290">
        <f>_xlfn.XLOOKUP(F296,Proveedores!A:A,Proveedores!G:G)</f>
        <v>0</v>
      </c>
      <c r="AN296" s="1095" t="str">
        <f t="shared" ref="AN296:AN327" si="235">IF(AK296&lt;AM296,"ERROR","OK")</f>
        <v>OK</v>
      </c>
    </row>
    <row r="297" spans="1:40" ht="15.95">
      <c r="A297" s="1090" t="b">
        <f t="shared" si="210"/>
        <v>1</v>
      </c>
      <c r="B297" s="1091" t="b">
        <f t="shared" si="223"/>
        <v>1</v>
      </c>
      <c r="C297" s="1092" t="str">
        <f t="shared" si="224"/>
        <v>Dólares</v>
      </c>
      <c r="D297" s="13"/>
      <c r="E297" s="743"/>
      <c r="F297" s="17"/>
      <c r="G297" s="17" t="str">
        <f t="shared" si="211"/>
        <v xml:space="preserve"> </v>
      </c>
      <c r="H297" s="12">
        <v>0</v>
      </c>
      <c r="I297" s="16" t="str">
        <f>IFERROR(VLOOKUP(G297,Proveedores!B:C,2,0)," ")</f>
        <v xml:space="preserve"> </v>
      </c>
      <c r="J297" s="745">
        <v>0</v>
      </c>
      <c r="K297" s="745" t="str">
        <f t="shared" si="212"/>
        <v>Not Found</v>
      </c>
      <c r="L297" s="16">
        <f>IF(K297="Importado",Fletes!$B$66,0%)</f>
        <v>0</v>
      </c>
      <c r="M297" s="745">
        <f t="shared" si="225"/>
        <v>0</v>
      </c>
      <c r="N297" s="16">
        <f>IF(K297&lt;&gt;"Importado",0%,IF(Fletes!$B$67&lt;10,15%,IF(Fletes!$B$67&lt;20,10%,5%)))</f>
        <v>0</v>
      </c>
      <c r="O297" s="745" t="str">
        <f>IFERROR(IF(OR(F297="Offiho",F297="Lauco Sofas",F297="Requiez",F297="Labenze",F297="Sunon Mty",F297="Sonara"),(M297*(1-_xlfn.XLOOKUP(F297,Proveedores!A:A,Proveedores!I:I)))*(1+N297),((M297*(1-_xlfn.XLOOKUP(F297,Proveedores!A:A,Proveedores!I:I)))*(1+N297))+U297),"")</f>
        <v/>
      </c>
      <c r="P297" s="1031"/>
      <c r="Q297" s="1133">
        <f>IF(K297&lt;&gt;"Importado",0,IF(P297&gt;0,P297*H297,IFERROR(_xlfn.XLOOKUP(F297,Proveedores!A:A,Proveedores!F:F,0)*H297,0)))</f>
        <v>0</v>
      </c>
      <c r="R297" s="1134" t="e">
        <f t="shared" si="226"/>
        <v>#VALUE!</v>
      </c>
      <c r="S297" s="743"/>
      <c r="T297" s="1034" t="e">
        <f t="shared" si="213"/>
        <v>#N/A</v>
      </c>
      <c r="U297" s="1034" t="e">
        <f t="shared" si="227"/>
        <v>#N/A</v>
      </c>
      <c r="V297" s="1165" t="e">
        <f t="shared" si="214"/>
        <v>#N/A</v>
      </c>
      <c r="W297" s="1034" t="e">
        <f t="shared" si="228"/>
        <v>#N/A</v>
      </c>
      <c r="X297" s="1034" t="b">
        <f t="shared" si="229"/>
        <v>0</v>
      </c>
      <c r="Y297" s="1034">
        <f t="shared" si="230"/>
        <v>0</v>
      </c>
      <c r="Z297" s="1034">
        <f t="shared" si="231"/>
        <v>0</v>
      </c>
      <c r="AA297" s="1034">
        <f t="shared" si="215"/>
        <v>0</v>
      </c>
      <c r="AB297" s="1034">
        <f t="shared" si="216"/>
        <v>0</v>
      </c>
      <c r="AC297" s="1033">
        <f t="shared" si="232"/>
        <v>0</v>
      </c>
      <c r="AD297" s="1266">
        <f t="shared" si="217"/>
        <v>0</v>
      </c>
      <c r="AE297" s="1093">
        <f t="shared" si="233"/>
        <v>0</v>
      </c>
      <c r="AF297" s="1093">
        <f t="shared" si="234"/>
        <v>0</v>
      </c>
      <c r="AG297" s="1093">
        <f t="shared" si="218"/>
        <v>0</v>
      </c>
      <c r="AH297" s="1033" t="e">
        <f t="shared" si="219"/>
        <v>#DIV/0!</v>
      </c>
      <c r="AI297" s="1091">
        <f t="shared" si="220"/>
        <v>0</v>
      </c>
      <c r="AJ297" s="1094">
        <f t="shared" si="221"/>
        <v>0</v>
      </c>
      <c r="AK297" s="1053" t="str">
        <f t="shared" si="222"/>
        <v/>
      </c>
      <c r="AL297" s="1053"/>
      <c r="AM297" s="1290">
        <f>_xlfn.XLOOKUP(F297,Proveedores!A:A,Proveedores!G:G)</f>
        <v>0</v>
      </c>
      <c r="AN297" s="1095" t="str">
        <f t="shared" si="235"/>
        <v>OK</v>
      </c>
    </row>
    <row r="298" spans="1:40" ht="15.95">
      <c r="A298" s="1090" t="b">
        <f t="shared" si="210"/>
        <v>1</v>
      </c>
      <c r="B298" s="1091" t="b">
        <f t="shared" si="223"/>
        <v>1</v>
      </c>
      <c r="C298" s="1092" t="str">
        <f t="shared" si="224"/>
        <v>Dólares</v>
      </c>
      <c r="D298" s="13"/>
      <c r="E298" s="743"/>
      <c r="F298" s="17"/>
      <c r="G298" s="17" t="str">
        <f t="shared" si="211"/>
        <v xml:space="preserve"> </v>
      </c>
      <c r="H298" s="12">
        <v>0</v>
      </c>
      <c r="I298" s="16" t="str">
        <f>IFERROR(VLOOKUP(G298,Proveedores!B:C,2,0)," ")</f>
        <v xml:space="preserve"> </v>
      </c>
      <c r="J298" s="745">
        <v>0</v>
      </c>
      <c r="K298" s="745" t="str">
        <f t="shared" si="212"/>
        <v>Not Found</v>
      </c>
      <c r="L298" s="16">
        <f>IF(K298="Importado",Fletes!$B$66,0%)</f>
        <v>0</v>
      </c>
      <c r="M298" s="745">
        <f t="shared" si="225"/>
        <v>0</v>
      </c>
      <c r="N298" s="16">
        <f>IF(K298&lt;&gt;"Importado",0%,IF(Fletes!$B$67&lt;10,15%,IF(Fletes!$B$67&lt;20,10%,5%)))</f>
        <v>0</v>
      </c>
      <c r="O298" s="745" t="str">
        <f>IFERROR(IF(OR(F298="Offiho",F298="Lauco Sofas",F298="Requiez",F298="Labenze",F298="Sunon Mty",F298="Sonara"),(M298*(1-_xlfn.XLOOKUP(F298,Proveedores!A:A,Proveedores!I:I)))*(1+N298),((M298*(1-_xlfn.XLOOKUP(F298,Proveedores!A:A,Proveedores!I:I)))*(1+N298))+U298),"")</f>
        <v/>
      </c>
      <c r="P298" s="1031"/>
      <c r="Q298" s="1133">
        <f>IF(K298&lt;&gt;"Importado",0,IF(P298&gt;0,P298*H298,IFERROR(_xlfn.XLOOKUP(F298,Proveedores!A:A,Proveedores!F:F,0)*H298,0)))</f>
        <v>0</v>
      </c>
      <c r="R298" s="1134" t="e">
        <f t="shared" si="226"/>
        <v>#VALUE!</v>
      </c>
      <c r="S298" s="743"/>
      <c r="T298" s="1034" t="e">
        <f t="shared" si="213"/>
        <v>#N/A</v>
      </c>
      <c r="U298" s="1034" t="e">
        <f t="shared" si="227"/>
        <v>#N/A</v>
      </c>
      <c r="V298" s="1165" t="e">
        <f t="shared" si="214"/>
        <v>#N/A</v>
      </c>
      <c r="W298" s="1034" t="e">
        <f t="shared" si="228"/>
        <v>#N/A</v>
      </c>
      <c r="X298" s="1034" t="b">
        <f t="shared" si="229"/>
        <v>0</v>
      </c>
      <c r="Y298" s="1034">
        <f t="shared" si="230"/>
        <v>0</v>
      </c>
      <c r="Z298" s="1034">
        <f t="shared" si="231"/>
        <v>0</v>
      </c>
      <c r="AA298" s="1034">
        <f t="shared" si="215"/>
        <v>0</v>
      </c>
      <c r="AB298" s="1034">
        <f t="shared" si="216"/>
        <v>0</v>
      </c>
      <c r="AC298" s="1033">
        <f t="shared" si="232"/>
        <v>0</v>
      </c>
      <c r="AD298" s="1266">
        <f t="shared" si="217"/>
        <v>0</v>
      </c>
      <c r="AE298" s="1093">
        <f t="shared" si="233"/>
        <v>0</v>
      </c>
      <c r="AF298" s="1093">
        <f t="shared" si="234"/>
        <v>0</v>
      </c>
      <c r="AG298" s="1093">
        <f t="shared" si="218"/>
        <v>0</v>
      </c>
      <c r="AH298" s="1033" t="e">
        <f t="shared" si="219"/>
        <v>#DIV/0!</v>
      </c>
      <c r="AI298" s="1091">
        <f t="shared" si="220"/>
        <v>0</v>
      </c>
      <c r="AJ298" s="1094">
        <f t="shared" si="221"/>
        <v>0</v>
      </c>
      <c r="AK298" s="1053" t="str">
        <f t="shared" si="222"/>
        <v/>
      </c>
      <c r="AL298" s="1053"/>
      <c r="AM298" s="1290">
        <f>_xlfn.XLOOKUP(F298,Proveedores!A:A,Proveedores!G:G)</f>
        <v>0</v>
      </c>
      <c r="AN298" s="1095" t="str">
        <f t="shared" si="235"/>
        <v>OK</v>
      </c>
    </row>
    <row r="299" spans="1:40" ht="15.95">
      <c r="A299" s="1090" t="b">
        <f t="shared" si="210"/>
        <v>1</v>
      </c>
      <c r="B299" s="1091" t="b">
        <f t="shared" si="223"/>
        <v>1</v>
      </c>
      <c r="C299" s="1092" t="str">
        <f t="shared" si="224"/>
        <v>Dólares</v>
      </c>
      <c r="D299" s="13"/>
      <c r="E299" s="743"/>
      <c r="F299" s="17"/>
      <c r="G299" s="17" t="str">
        <f t="shared" si="211"/>
        <v xml:space="preserve"> </v>
      </c>
      <c r="H299" s="12">
        <v>0</v>
      </c>
      <c r="I299" s="16" t="str">
        <f>IFERROR(VLOOKUP(G299,Proveedores!B:C,2,0)," ")</f>
        <v xml:space="preserve"> </v>
      </c>
      <c r="J299" s="745">
        <v>0</v>
      </c>
      <c r="K299" s="745" t="str">
        <f t="shared" si="212"/>
        <v>Not Found</v>
      </c>
      <c r="L299" s="16">
        <f>IF(K299="Importado",Fletes!$B$66,0%)</f>
        <v>0</v>
      </c>
      <c r="M299" s="745">
        <f t="shared" si="225"/>
        <v>0</v>
      </c>
      <c r="N299" s="16">
        <f>IF(K299&lt;&gt;"Importado",0%,IF(Fletes!$B$67&lt;10,15%,IF(Fletes!$B$67&lt;20,10%,5%)))</f>
        <v>0</v>
      </c>
      <c r="O299" s="745" t="str">
        <f>IFERROR(IF(OR(F299="Offiho",F299="Lauco Sofas",F299="Requiez",F299="Labenze",F299="Sunon Mty",F299="Sonara"),(M299*(1-_xlfn.XLOOKUP(F299,Proveedores!A:A,Proveedores!I:I)))*(1+N299),((M299*(1-_xlfn.XLOOKUP(F299,Proveedores!A:A,Proveedores!I:I)))*(1+N299))+U299),"")</f>
        <v/>
      </c>
      <c r="P299" s="1031"/>
      <c r="Q299" s="1133">
        <f>IF(K299&lt;&gt;"Importado",0,IF(P299&gt;0,P299*H299,IFERROR(_xlfn.XLOOKUP(F299,Proveedores!A:A,Proveedores!F:F,0)*H299,0)))</f>
        <v>0</v>
      </c>
      <c r="R299" s="1134" t="e">
        <f t="shared" si="226"/>
        <v>#VALUE!</v>
      </c>
      <c r="S299" s="743"/>
      <c r="T299" s="1034" t="e">
        <f t="shared" si="213"/>
        <v>#N/A</v>
      </c>
      <c r="U299" s="1034" t="e">
        <f t="shared" si="227"/>
        <v>#N/A</v>
      </c>
      <c r="V299" s="1165" t="e">
        <f t="shared" si="214"/>
        <v>#N/A</v>
      </c>
      <c r="W299" s="1034" t="e">
        <f t="shared" si="228"/>
        <v>#N/A</v>
      </c>
      <c r="X299" s="1034" t="b">
        <f t="shared" si="229"/>
        <v>0</v>
      </c>
      <c r="Y299" s="1034">
        <f t="shared" si="230"/>
        <v>0</v>
      </c>
      <c r="Z299" s="1034">
        <f t="shared" si="231"/>
        <v>0</v>
      </c>
      <c r="AA299" s="1034">
        <f t="shared" si="215"/>
        <v>0</v>
      </c>
      <c r="AB299" s="1034">
        <f t="shared" si="216"/>
        <v>0</v>
      </c>
      <c r="AC299" s="1033">
        <f t="shared" si="232"/>
        <v>0</v>
      </c>
      <c r="AD299" s="1266">
        <f t="shared" si="217"/>
        <v>0</v>
      </c>
      <c r="AE299" s="1093">
        <f t="shared" si="233"/>
        <v>0</v>
      </c>
      <c r="AF299" s="1093">
        <f t="shared" si="234"/>
        <v>0</v>
      </c>
      <c r="AG299" s="1093">
        <f t="shared" si="218"/>
        <v>0</v>
      </c>
      <c r="AH299" s="1033" t="e">
        <f t="shared" si="219"/>
        <v>#DIV/0!</v>
      </c>
      <c r="AI299" s="1091">
        <f t="shared" si="220"/>
        <v>0</v>
      </c>
      <c r="AJ299" s="1094">
        <f t="shared" si="221"/>
        <v>0</v>
      </c>
      <c r="AK299" s="1053" t="str">
        <f t="shared" si="222"/>
        <v/>
      </c>
      <c r="AL299" s="1053"/>
      <c r="AM299" s="1290">
        <f>_xlfn.XLOOKUP(F299,Proveedores!A:A,Proveedores!G:G)</f>
        <v>0</v>
      </c>
      <c r="AN299" s="1095" t="str">
        <f t="shared" si="235"/>
        <v>OK</v>
      </c>
    </row>
    <row r="300" spans="1:40" ht="15.95">
      <c r="A300" s="1090" t="b">
        <f t="shared" si="210"/>
        <v>1</v>
      </c>
      <c r="B300" s="1091" t="b">
        <f t="shared" si="223"/>
        <v>1</v>
      </c>
      <c r="C300" s="1092" t="str">
        <f t="shared" si="224"/>
        <v>Dólares</v>
      </c>
      <c r="D300" s="13"/>
      <c r="E300" s="743"/>
      <c r="F300" s="17"/>
      <c r="G300" s="17" t="str">
        <f t="shared" si="211"/>
        <v xml:space="preserve"> </v>
      </c>
      <c r="H300" s="12">
        <v>0</v>
      </c>
      <c r="I300" s="16" t="str">
        <f>IFERROR(VLOOKUP(G300,Proveedores!B:C,2,0)," ")</f>
        <v xml:space="preserve"> </v>
      </c>
      <c r="J300" s="745">
        <v>0</v>
      </c>
      <c r="K300" s="745" t="str">
        <f t="shared" si="212"/>
        <v>Not Found</v>
      </c>
      <c r="L300" s="16">
        <f>IF(K300="Importado",Fletes!$B$66,0%)</f>
        <v>0</v>
      </c>
      <c r="M300" s="745">
        <f t="shared" si="225"/>
        <v>0</v>
      </c>
      <c r="N300" s="16">
        <f>IF(K300&lt;&gt;"Importado",0%,IF(Fletes!$B$67&lt;10,15%,IF(Fletes!$B$67&lt;20,10%,5%)))</f>
        <v>0</v>
      </c>
      <c r="O300" s="745" t="str">
        <f>IFERROR(IF(OR(F300="Offiho",F300="Lauco Sofas",F300="Requiez",F300="Labenze",F300="Sunon Mty",F300="Sonara"),(M300*(1-_xlfn.XLOOKUP(F300,Proveedores!A:A,Proveedores!I:I)))*(1+N300),((M300*(1-_xlfn.XLOOKUP(F300,Proveedores!A:A,Proveedores!I:I)))*(1+N300))+U300),"")</f>
        <v/>
      </c>
      <c r="P300" s="1031"/>
      <c r="Q300" s="1133">
        <f>IF(K300&lt;&gt;"Importado",0,IF(P300&gt;0,P300*H300,IFERROR(_xlfn.XLOOKUP(F300,Proveedores!A:A,Proveedores!F:F,0)*H300,0)))</f>
        <v>0</v>
      </c>
      <c r="R300" s="1134" t="e">
        <f t="shared" si="226"/>
        <v>#VALUE!</v>
      </c>
      <c r="S300" s="743"/>
      <c r="T300" s="1034" t="e">
        <f t="shared" si="213"/>
        <v>#N/A</v>
      </c>
      <c r="U300" s="1034" t="e">
        <f t="shared" si="227"/>
        <v>#N/A</v>
      </c>
      <c r="V300" s="1165" t="e">
        <f t="shared" si="214"/>
        <v>#N/A</v>
      </c>
      <c r="W300" s="1034" t="e">
        <f t="shared" si="228"/>
        <v>#N/A</v>
      </c>
      <c r="X300" s="1034" t="b">
        <f t="shared" si="229"/>
        <v>0</v>
      </c>
      <c r="Y300" s="1034">
        <f t="shared" si="230"/>
        <v>0</v>
      </c>
      <c r="Z300" s="1034">
        <f t="shared" si="231"/>
        <v>0</v>
      </c>
      <c r="AA300" s="1034">
        <f t="shared" si="215"/>
        <v>0</v>
      </c>
      <c r="AB300" s="1034">
        <f t="shared" si="216"/>
        <v>0</v>
      </c>
      <c r="AC300" s="1033">
        <f t="shared" si="232"/>
        <v>0</v>
      </c>
      <c r="AD300" s="1266">
        <f t="shared" si="217"/>
        <v>0</v>
      </c>
      <c r="AE300" s="1093">
        <f t="shared" si="233"/>
        <v>0</v>
      </c>
      <c r="AF300" s="1093">
        <f t="shared" si="234"/>
        <v>0</v>
      </c>
      <c r="AG300" s="1093">
        <f t="shared" si="218"/>
        <v>0</v>
      </c>
      <c r="AH300" s="1033" t="e">
        <f t="shared" si="219"/>
        <v>#DIV/0!</v>
      </c>
      <c r="AI300" s="1091">
        <f t="shared" si="220"/>
        <v>0</v>
      </c>
      <c r="AJ300" s="1094">
        <f t="shared" si="221"/>
        <v>0</v>
      </c>
      <c r="AK300" s="1053" t="str">
        <f t="shared" si="222"/>
        <v/>
      </c>
      <c r="AL300" s="1053"/>
      <c r="AM300" s="1290">
        <f>_xlfn.XLOOKUP(F300,Proveedores!A:A,Proveedores!G:G)</f>
        <v>0</v>
      </c>
      <c r="AN300" s="1095" t="str">
        <f t="shared" si="235"/>
        <v>OK</v>
      </c>
    </row>
    <row r="301" spans="1:40" ht="15.95">
      <c r="A301" s="1090" t="b">
        <f t="shared" si="210"/>
        <v>1</v>
      </c>
      <c r="B301" s="1091" t="b">
        <f t="shared" si="223"/>
        <v>1</v>
      </c>
      <c r="C301" s="1092" t="str">
        <f t="shared" si="224"/>
        <v>Dólares</v>
      </c>
      <c r="D301" s="11"/>
      <c r="E301" s="743"/>
      <c r="F301" s="17"/>
      <c r="G301" s="17" t="str">
        <f t="shared" si="211"/>
        <v xml:space="preserve"> </v>
      </c>
      <c r="H301" s="12">
        <v>0</v>
      </c>
      <c r="I301" s="16" t="str">
        <f>IFERROR(VLOOKUP(G301,Proveedores!B:C,2,0)," ")</f>
        <v xml:space="preserve"> </v>
      </c>
      <c r="J301" s="745">
        <v>0</v>
      </c>
      <c r="K301" s="745" t="str">
        <f t="shared" si="212"/>
        <v>Not Found</v>
      </c>
      <c r="L301" s="16">
        <f>IF(K301="Importado",Fletes!$B$66,0%)</f>
        <v>0</v>
      </c>
      <c r="M301" s="745">
        <f t="shared" si="225"/>
        <v>0</v>
      </c>
      <c r="N301" s="16">
        <f>IF(K301&lt;&gt;"Importado",0%,IF(Fletes!$B$67&lt;10,15%,IF(Fletes!$B$67&lt;20,10%,5%)))</f>
        <v>0</v>
      </c>
      <c r="O301" s="745" t="str">
        <f>IFERROR(IF(OR(F301="Offiho",F301="Lauco Sofas",F301="Requiez",F301="Labenze",F301="Sunon Mty",F301="Sonara"),(M301*(1-_xlfn.XLOOKUP(F301,Proveedores!A:A,Proveedores!I:I)))*(1+N301),((M301*(1-_xlfn.XLOOKUP(F301,Proveedores!A:A,Proveedores!I:I)))*(1+N301))+U301),"")</f>
        <v/>
      </c>
      <c r="P301" s="1031"/>
      <c r="Q301" s="1133">
        <f>IF(K301&lt;&gt;"Importado",0,IF(P301&gt;0,P301*H301,IFERROR(_xlfn.XLOOKUP(F301,Proveedores!A:A,Proveedores!F:F,0)*H301,0)))</f>
        <v>0</v>
      </c>
      <c r="R301" s="1134" t="e">
        <f t="shared" si="226"/>
        <v>#VALUE!</v>
      </c>
      <c r="S301" s="743"/>
      <c r="T301" s="1034" t="e">
        <f t="shared" si="213"/>
        <v>#N/A</v>
      </c>
      <c r="U301" s="1034" t="e">
        <f t="shared" si="227"/>
        <v>#N/A</v>
      </c>
      <c r="V301" s="1165" t="e">
        <f t="shared" si="214"/>
        <v>#N/A</v>
      </c>
      <c r="W301" s="1034" t="e">
        <f t="shared" si="228"/>
        <v>#N/A</v>
      </c>
      <c r="X301" s="1034" t="b">
        <f t="shared" si="229"/>
        <v>0</v>
      </c>
      <c r="Y301" s="1034">
        <f t="shared" si="230"/>
        <v>0</v>
      </c>
      <c r="Z301" s="1034">
        <f t="shared" si="231"/>
        <v>0</v>
      </c>
      <c r="AA301" s="1034">
        <f t="shared" si="215"/>
        <v>0</v>
      </c>
      <c r="AB301" s="1034">
        <f t="shared" si="216"/>
        <v>0</v>
      </c>
      <c r="AC301" s="1033">
        <f t="shared" si="232"/>
        <v>0</v>
      </c>
      <c r="AD301" s="1266">
        <f t="shared" si="217"/>
        <v>0</v>
      </c>
      <c r="AE301" s="1093">
        <f t="shared" si="233"/>
        <v>0</v>
      </c>
      <c r="AF301" s="1093">
        <f t="shared" si="234"/>
        <v>0</v>
      </c>
      <c r="AG301" s="1093">
        <f t="shared" si="218"/>
        <v>0</v>
      </c>
      <c r="AH301" s="1033" t="e">
        <f t="shared" si="219"/>
        <v>#DIV/0!</v>
      </c>
      <c r="AI301" s="1091">
        <f t="shared" si="220"/>
        <v>0</v>
      </c>
      <c r="AJ301" s="1094">
        <f t="shared" si="221"/>
        <v>0</v>
      </c>
      <c r="AK301" s="1053" t="str">
        <f t="shared" si="222"/>
        <v/>
      </c>
      <c r="AL301" s="1053"/>
      <c r="AM301" s="1290">
        <f>_xlfn.XLOOKUP(F301,Proveedores!A:A,Proveedores!G:G)</f>
        <v>0</v>
      </c>
      <c r="AN301" s="1095" t="str">
        <f t="shared" si="235"/>
        <v>OK</v>
      </c>
    </row>
    <row r="302" spans="1:40" ht="15.95">
      <c r="A302" s="1090" t="b">
        <f t="shared" si="210"/>
        <v>1</v>
      </c>
      <c r="B302" s="1091" t="b">
        <f t="shared" si="223"/>
        <v>1</v>
      </c>
      <c r="C302" s="1092" t="str">
        <f t="shared" si="224"/>
        <v>Dólares</v>
      </c>
      <c r="D302" s="11"/>
      <c r="E302" s="743"/>
      <c r="F302" s="17"/>
      <c r="G302" s="17" t="str">
        <f t="shared" si="211"/>
        <v xml:space="preserve"> </v>
      </c>
      <c r="H302" s="12">
        <v>0</v>
      </c>
      <c r="I302" s="16" t="str">
        <f>IFERROR(VLOOKUP(G302,Proveedores!B:C,2,0)," ")</f>
        <v xml:space="preserve"> </v>
      </c>
      <c r="J302" s="745">
        <v>0</v>
      </c>
      <c r="K302" s="745" t="str">
        <f t="shared" si="212"/>
        <v>Not Found</v>
      </c>
      <c r="L302" s="16">
        <f>IF(K302="Importado",Fletes!$B$66,0%)</f>
        <v>0</v>
      </c>
      <c r="M302" s="745">
        <f t="shared" si="225"/>
        <v>0</v>
      </c>
      <c r="N302" s="16">
        <f>IF(K302&lt;&gt;"Importado",0%,IF(Fletes!$B$67&lt;10,15%,IF(Fletes!$B$67&lt;20,10%,5%)))</f>
        <v>0</v>
      </c>
      <c r="O302" s="745" t="str">
        <f>IFERROR(IF(OR(F302="Offiho",F302="Lauco Sofas",F302="Requiez",F302="Labenze",F302="Sunon Mty",F302="Sonara"),(M302*(1-_xlfn.XLOOKUP(F302,Proveedores!A:A,Proveedores!I:I)))*(1+N302),((M302*(1-_xlfn.XLOOKUP(F302,Proveedores!A:A,Proveedores!I:I)))*(1+N302))+U302),"")</f>
        <v/>
      </c>
      <c r="P302" s="1031"/>
      <c r="Q302" s="1133">
        <f>IF(K302&lt;&gt;"Importado",0,IF(P302&gt;0,P302*H302,IFERROR(_xlfn.XLOOKUP(F302,Proveedores!A:A,Proveedores!F:F,0)*H302,0)))</f>
        <v>0</v>
      </c>
      <c r="R302" s="1134" t="e">
        <f t="shared" si="226"/>
        <v>#VALUE!</v>
      </c>
      <c r="S302" s="743"/>
      <c r="T302" s="1034" t="e">
        <f t="shared" si="213"/>
        <v>#N/A</v>
      </c>
      <c r="U302" s="1034" t="e">
        <f t="shared" si="227"/>
        <v>#N/A</v>
      </c>
      <c r="V302" s="1165" t="e">
        <f t="shared" si="214"/>
        <v>#N/A</v>
      </c>
      <c r="W302" s="1034" t="e">
        <f t="shared" si="228"/>
        <v>#N/A</v>
      </c>
      <c r="X302" s="1034" t="b">
        <f t="shared" si="229"/>
        <v>0</v>
      </c>
      <c r="Y302" s="1034">
        <f t="shared" si="230"/>
        <v>0</v>
      </c>
      <c r="Z302" s="1034">
        <f t="shared" si="231"/>
        <v>0</v>
      </c>
      <c r="AA302" s="1034">
        <f t="shared" si="215"/>
        <v>0</v>
      </c>
      <c r="AB302" s="1034">
        <f t="shared" si="216"/>
        <v>0</v>
      </c>
      <c r="AC302" s="1033">
        <f t="shared" si="232"/>
        <v>0</v>
      </c>
      <c r="AD302" s="1266">
        <f t="shared" si="217"/>
        <v>0</v>
      </c>
      <c r="AE302" s="1093">
        <f t="shared" si="233"/>
        <v>0</v>
      </c>
      <c r="AF302" s="1093">
        <f t="shared" si="234"/>
        <v>0</v>
      </c>
      <c r="AG302" s="1093">
        <f t="shared" si="218"/>
        <v>0</v>
      </c>
      <c r="AH302" s="1033" t="e">
        <f t="shared" si="219"/>
        <v>#DIV/0!</v>
      </c>
      <c r="AI302" s="1091">
        <f t="shared" si="220"/>
        <v>0</v>
      </c>
      <c r="AJ302" s="1094">
        <f t="shared" si="221"/>
        <v>0</v>
      </c>
      <c r="AK302" s="1053" t="str">
        <f t="shared" si="222"/>
        <v/>
      </c>
      <c r="AL302" s="1053"/>
      <c r="AM302" s="1290">
        <f>_xlfn.XLOOKUP(F302,Proveedores!A:A,Proveedores!G:G)</f>
        <v>0</v>
      </c>
      <c r="AN302" s="1095" t="str">
        <f t="shared" si="235"/>
        <v>OK</v>
      </c>
    </row>
    <row r="303" spans="1:40" ht="15.95">
      <c r="A303" s="1090" t="b">
        <f t="shared" si="210"/>
        <v>1</v>
      </c>
      <c r="B303" s="1091" t="b">
        <f t="shared" si="223"/>
        <v>1</v>
      </c>
      <c r="C303" s="1092" t="str">
        <f t="shared" si="224"/>
        <v>Dólares</v>
      </c>
      <c r="D303" s="11"/>
      <c r="E303" s="743"/>
      <c r="F303" s="17"/>
      <c r="G303" s="17" t="str">
        <f t="shared" si="211"/>
        <v xml:space="preserve"> </v>
      </c>
      <c r="H303" s="12">
        <v>0</v>
      </c>
      <c r="I303" s="16" t="str">
        <f>IFERROR(VLOOKUP(G303,Proveedores!B:C,2,0)," ")</f>
        <v xml:space="preserve"> </v>
      </c>
      <c r="J303" s="745">
        <v>0</v>
      </c>
      <c r="K303" s="745" t="str">
        <f t="shared" si="212"/>
        <v>Not Found</v>
      </c>
      <c r="L303" s="16">
        <f>IF(K303="Importado",Fletes!$B$66,0%)</f>
        <v>0</v>
      </c>
      <c r="M303" s="745">
        <f t="shared" si="225"/>
        <v>0</v>
      </c>
      <c r="N303" s="16">
        <f>IF(K303&lt;&gt;"Importado",0%,IF(Fletes!$B$67&lt;10,15%,IF(Fletes!$B$67&lt;20,10%,5%)))</f>
        <v>0</v>
      </c>
      <c r="O303" s="745" t="str">
        <f>IFERROR(IF(OR(F303="Offiho",F303="Lauco Sofas",F303="Requiez",F303="Labenze",F303="Sunon Mty",F303="Sonara"),(M303*(1-_xlfn.XLOOKUP(F303,Proveedores!A:A,Proveedores!I:I)))*(1+N303),((M303*(1-_xlfn.XLOOKUP(F303,Proveedores!A:A,Proveedores!I:I)))*(1+N303))+U303),"")</f>
        <v/>
      </c>
      <c r="P303" s="1031"/>
      <c r="Q303" s="1133">
        <f>IF(K303&lt;&gt;"Importado",0,IF(P303&gt;0,P303*H303,IFERROR(_xlfn.XLOOKUP(F303,Proveedores!A:A,Proveedores!F:F,0)*H303,0)))</f>
        <v>0</v>
      </c>
      <c r="R303" s="1134" t="e">
        <f t="shared" si="226"/>
        <v>#VALUE!</v>
      </c>
      <c r="S303" s="743"/>
      <c r="T303" s="1034" t="e">
        <f t="shared" si="213"/>
        <v>#N/A</v>
      </c>
      <c r="U303" s="1034" t="e">
        <f t="shared" si="227"/>
        <v>#N/A</v>
      </c>
      <c r="V303" s="1165" t="e">
        <f t="shared" si="214"/>
        <v>#N/A</v>
      </c>
      <c r="W303" s="1034" t="e">
        <f t="shared" si="228"/>
        <v>#N/A</v>
      </c>
      <c r="X303" s="1034" t="b">
        <f t="shared" si="229"/>
        <v>0</v>
      </c>
      <c r="Y303" s="1034">
        <f t="shared" si="230"/>
        <v>0</v>
      </c>
      <c r="Z303" s="1034">
        <f t="shared" si="231"/>
        <v>0</v>
      </c>
      <c r="AA303" s="1034">
        <f t="shared" si="215"/>
        <v>0</v>
      </c>
      <c r="AB303" s="1034">
        <f t="shared" si="216"/>
        <v>0</v>
      </c>
      <c r="AC303" s="1033">
        <f t="shared" si="232"/>
        <v>0</v>
      </c>
      <c r="AD303" s="1266">
        <f t="shared" si="217"/>
        <v>0</v>
      </c>
      <c r="AE303" s="1093">
        <f t="shared" si="233"/>
        <v>0</v>
      </c>
      <c r="AF303" s="1093">
        <f t="shared" si="234"/>
        <v>0</v>
      </c>
      <c r="AG303" s="1093">
        <f t="shared" si="218"/>
        <v>0</v>
      </c>
      <c r="AH303" s="1033" t="e">
        <f t="shared" si="219"/>
        <v>#DIV/0!</v>
      </c>
      <c r="AI303" s="1091">
        <f t="shared" si="220"/>
        <v>0</v>
      </c>
      <c r="AJ303" s="1094">
        <f t="shared" si="221"/>
        <v>0</v>
      </c>
      <c r="AK303" s="1053" t="str">
        <f t="shared" si="222"/>
        <v/>
      </c>
      <c r="AL303" s="1053"/>
      <c r="AM303" s="1290">
        <f>_xlfn.XLOOKUP(F303,Proveedores!A:A,Proveedores!G:G)</f>
        <v>0</v>
      </c>
      <c r="AN303" s="1095" t="str">
        <f t="shared" si="235"/>
        <v>OK</v>
      </c>
    </row>
    <row r="304" spans="1:40" ht="15.95">
      <c r="A304" s="1090" t="b">
        <f t="shared" si="210"/>
        <v>1</v>
      </c>
      <c r="B304" s="1091" t="b">
        <f t="shared" si="223"/>
        <v>1</v>
      </c>
      <c r="C304" s="1092" t="str">
        <f t="shared" si="224"/>
        <v>Dólares</v>
      </c>
      <c r="D304" s="11"/>
      <c r="E304" s="743"/>
      <c r="F304" s="17"/>
      <c r="G304" s="17" t="str">
        <f t="shared" si="211"/>
        <v xml:space="preserve"> </v>
      </c>
      <c r="H304" s="12">
        <v>0</v>
      </c>
      <c r="I304" s="16" t="str">
        <f>IFERROR(VLOOKUP(G304,Proveedores!B:C,2,0)," ")</f>
        <v xml:space="preserve"> </v>
      </c>
      <c r="J304" s="745">
        <v>0</v>
      </c>
      <c r="K304" s="745" t="str">
        <f t="shared" si="212"/>
        <v>Not Found</v>
      </c>
      <c r="L304" s="16">
        <f>IF(K304="Importado",Fletes!$B$66,0%)</f>
        <v>0</v>
      </c>
      <c r="M304" s="745">
        <f t="shared" si="225"/>
        <v>0</v>
      </c>
      <c r="N304" s="16">
        <f>IF(K304&lt;&gt;"Importado",0%,IF(Fletes!$B$67&lt;10,15%,IF(Fletes!$B$67&lt;20,10%,5%)))</f>
        <v>0</v>
      </c>
      <c r="O304" s="745" t="str">
        <f>IFERROR(IF(OR(F304="Offiho",F304="Lauco Sofas",F304="Requiez",F304="Labenze",F304="Sunon Mty",F304="Sonara"),(M304*(1-_xlfn.XLOOKUP(F304,Proveedores!A:A,Proveedores!I:I)))*(1+N304),((M304*(1-_xlfn.XLOOKUP(F304,Proveedores!A:A,Proveedores!I:I)))*(1+N304))+U304),"")</f>
        <v/>
      </c>
      <c r="P304" s="1031"/>
      <c r="Q304" s="1133">
        <f>IF(K304&lt;&gt;"Importado",0,IF(P304&gt;0,P304*H304,IFERROR(_xlfn.XLOOKUP(F304,Proveedores!A:A,Proveedores!F:F,0)*H304,0)))</f>
        <v>0</v>
      </c>
      <c r="R304" s="1134" t="e">
        <f t="shared" si="226"/>
        <v>#VALUE!</v>
      </c>
      <c r="S304" s="743"/>
      <c r="T304" s="1034" t="e">
        <f t="shared" si="213"/>
        <v>#N/A</v>
      </c>
      <c r="U304" s="1034" t="e">
        <f t="shared" si="227"/>
        <v>#N/A</v>
      </c>
      <c r="V304" s="1165" t="e">
        <f t="shared" si="214"/>
        <v>#N/A</v>
      </c>
      <c r="W304" s="1034" t="e">
        <f t="shared" si="228"/>
        <v>#N/A</v>
      </c>
      <c r="X304" s="1034" t="b">
        <f t="shared" si="229"/>
        <v>0</v>
      </c>
      <c r="Y304" s="1034">
        <f t="shared" si="230"/>
        <v>0</v>
      </c>
      <c r="Z304" s="1034">
        <f t="shared" si="231"/>
        <v>0</v>
      </c>
      <c r="AA304" s="1034">
        <f t="shared" si="215"/>
        <v>0</v>
      </c>
      <c r="AB304" s="1034">
        <f t="shared" si="216"/>
        <v>0</v>
      </c>
      <c r="AC304" s="1033">
        <f t="shared" si="232"/>
        <v>0</v>
      </c>
      <c r="AD304" s="1266">
        <f t="shared" si="217"/>
        <v>0</v>
      </c>
      <c r="AE304" s="1093">
        <f t="shared" si="233"/>
        <v>0</v>
      </c>
      <c r="AF304" s="1093">
        <f t="shared" si="234"/>
        <v>0</v>
      </c>
      <c r="AG304" s="1093">
        <f t="shared" si="218"/>
        <v>0</v>
      </c>
      <c r="AH304" s="1033" t="e">
        <f t="shared" si="219"/>
        <v>#DIV/0!</v>
      </c>
      <c r="AI304" s="1091">
        <f t="shared" si="220"/>
        <v>0</v>
      </c>
      <c r="AJ304" s="1094">
        <f t="shared" si="221"/>
        <v>0</v>
      </c>
      <c r="AK304" s="1053" t="str">
        <f t="shared" si="222"/>
        <v/>
      </c>
      <c r="AL304" s="1053"/>
      <c r="AM304" s="1290">
        <f>_xlfn.XLOOKUP(F304,Proveedores!A:A,Proveedores!G:G)</f>
        <v>0</v>
      </c>
      <c r="AN304" s="1095" t="str">
        <f t="shared" si="235"/>
        <v>OK</v>
      </c>
    </row>
    <row r="305" spans="1:40" ht="15.95">
      <c r="A305" s="1090" t="b">
        <f t="shared" si="210"/>
        <v>1</v>
      </c>
      <c r="B305" s="1091" t="b">
        <f t="shared" si="223"/>
        <v>1</v>
      </c>
      <c r="C305" s="1092" t="str">
        <f t="shared" si="224"/>
        <v>Dólares</v>
      </c>
      <c r="D305" s="13"/>
      <c r="E305" s="743"/>
      <c r="F305" s="17"/>
      <c r="G305" s="17" t="str">
        <f t="shared" si="211"/>
        <v xml:space="preserve"> </v>
      </c>
      <c r="H305" s="12">
        <v>0</v>
      </c>
      <c r="I305" s="16" t="str">
        <f>IFERROR(VLOOKUP(G305,Proveedores!B:C,2,0)," ")</f>
        <v xml:space="preserve"> </v>
      </c>
      <c r="J305" s="745">
        <v>0</v>
      </c>
      <c r="K305" s="745" t="str">
        <f t="shared" si="212"/>
        <v>Not Found</v>
      </c>
      <c r="L305" s="16">
        <f>IF(K305="Importado",Fletes!$B$66,0%)</f>
        <v>0</v>
      </c>
      <c r="M305" s="745">
        <f t="shared" si="225"/>
        <v>0</v>
      </c>
      <c r="N305" s="16">
        <f>IF(K305&lt;&gt;"Importado",0%,IF(Fletes!$B$67&lt;10,15%,IF(Fletes!$B$67&lt;20,10%,5%)))</f>
        <v>0</v>
      </c>
      <c r="O305" s="745" t="str">
        <f>IFERROR(IF(OR(F305="Offiho",F305="Lauco Sofas",F305="Requiez",F305="Labenze",F305="Sunon Mty",F305="Sonara"),(M305*(1-_xlfn.XLOOKUP(F305,Proveedores!A:A,Proveedores!I:I)))*(1+N305),((M305*(1-_xlfn.XLOOKUP(F305,Proveedores!A:A,Proveedores!I:I)))*(1+N305))+U305),"")</f>
        <v/>
      </c>
      <c r="P305" s="1031"/>
      <c r="Q305" s="1133">
        <f>IF(K305&lt;&gt;"Importado",0,IF(P305&gt;0,P305*H305,IFERROR(_xlfn.XLOOKUP(F305,Proveedores!A:A,Proveedores!F:F,0)*H305,0)))</f>
        <v>0</v>
      </c>
      <c r="R305" s="1134" t="e">
        <f t="shared" si="226"/>
        <v>#VALUE!</v>
      </c>
      <c r="S305" s="743"/>
      <c r="T305" s="1034" t="e">
        <f t="shared" si="213"/>
        <v>#N/A</v>
      </c>
      <c r="U305" s="1034" t="e">
        <f t="shared" si="227"/>
        <v>#N/A</v>
      </c>
      <c r="V305" s="1165" t="e">
        <f t="shared" si="214"/>
        <v>#N/A</v>
      </c>
      <c r="W305" s="1034" t="e">
        <f t="shared" si="228"/>
        <v>#N/A</v>
      </c>
      <c r="X305" s="1034" t="b">
        <f t="shared" si="229"/>
        <v>0</v>
      </c>
      <c r="Y305" s="1034">
        <f t="shared" si="230"/>
        <v>0</v>
      </c>
      <c r="Z305" s="1034">
        <f t="shared" si="231"/>
        <v>0</v>
      </c>
      <c r="AA305" s="1034">
        <f t="shared" si="215"/>
        <v>0</v>
      </c>
      <c r="AB305" s="1034">
        <f t="shared" si="216"/>
        <v>0</v>
      </c>
      <c r="AC305" s="1033">
        <f t="shared" si="232"/>
        <v>0</v>
      </c>
      <c r="AD305" s="1266">
        <f t="shared" si="217"/>
        <v>0</v>
      </c>
      <c r="AE305" s="1093">
        <f t="shared" si="233"/>
        <v>0</v>
      </c>
      <c r="AF305" s="1093">
        <f t="shared" si="234"/>
        <v>0</v>
      </c>
      <c r="AG305" s="1093">
        <f t="shared" si="218"/>
        <v>0</v>
      </c>
      <c r="AH305" s="1033" t="e">
        <f t="shared" si="219"/>
        <v>#DIV/0!</v>
      </c>
      <c r="AI305" s="1091">
        <f t="shared" si="220"/>
        <v>0</v>
      </c>
      <c r="AJ305" s="1094">
        <f t="shared" si="221"/>
        <v>0</v>
      </c>
      <c r="AK305" s="1053" t="str">
        <f t="shared" si="222"/>
        <v/>
      </c>
      <c r="AL305" s="1053"/>
      <c r="AM305" s="1290">
        <f>_xlfn.XLOOKUP(F305,Proveedores!A:A,Proveedores!G:G)</f>
        <v>0</v>
      </c>
      <c r="AN305" s="1095" t="str">
        <f t="shared" si="235"/>
        <v>OK</v>
      </c>
    </row>
    <row r="306" spans="1:40" ht="15.95">
      <c r="A306" s="1090" t="b">
        <f t="shared" si="210"/>
        <v>1</v>
      </c>
      <c r="B306" s="1091" t="b">
        <f t="shared" si="223"/>
        <v>1</v>
      </c>
      <c r="C306" s="1092" t="str">
        <f t="shared" si="224"/>
        <v>Dólares</v>
      </c>
      <c r="D306" s="13"/>
      <c r="E306" s="743"/>
      <c r="F306" s="17"/>
      <c r="G306" s="17" t="str">
        <f t="shared" si="211"/>
        <v xml:space="preserve"> </v>
      </c>
      <c r="H306" s="12">
        <v>0</v>
      </c>
      <c r="I306" s="16" t="str">
        <f>IFERROR(VLOOKUP(G306,Proveedores!B:C,2,0)," ")</f>
        <v xml:space="preserve"> </v>
      </c>
      <c r="J306" s="745">
        <v>0</v>
      </c>
      <c r="K306" s="745" t="str">
        <f t="shared" si="212"/>
        <v>Not Found</v>
      </c>
      <c r="L306" s="16">
        <f>IF(K306="Importado",Fletes!$B$66,0%)</f>
        <v>0</v>
      </c>
      <c r="M306" s="745">
        <f t="shared" si="225"/>
        <v>0</v>
      </c>
      <c r="N306" s="16">
        <f>IF(K306&lt;&gt;"Importado",0%,IF(Fletes!$B$67&lt;10,15%,IF(Fletes!$B$67&lt;20,10%,5%)))</f>
        <v>0</v>
      </c>
      <c r="O306" s="745" t="str">
        <f>IFERROR(IF(OR(F306="Offiho",F306="Lauco Sofas",F306="Requiez",F306="Labenze",F306="Sunon Mty",F306="Sonara"),(M306*(1-_xlfn.XLOOKUP(F306,Proveedores!A:A,Proveedores!I:I)))*(1+N306),((M306*(1-_xlfn.XLOOKUP(F306,Proveedores!A:A,Proveedores!I:I)))*(1+N306))+U306),"")</f>
        <v/>
      </c>
      <c r="P306" s="1031"/>
      <c r="Q306" s="1133">
        <f>IF(K306&lt;&gt;"Importado",0,IF(P306&gt;0,P306*H306,IFERROR(_xlfn.XLOOKUP(F306,Proveedores!A:A,Proveedores!F:F,0)*H306,0)))</f>
        <v>0</v>
      </c>
      <c r="R306" s="1134" t="e">
        <f t="shared" si="226"/>
        <v>#VALUE!</v>
      </c>
      <c r="S306" s="743"/>
      <c r="T306" s="1034" t="e">
        <f t="shared" si="213"/>
        <v>#N/A</v>
      </c>
      <c r="U306" s="1034" t="e">
        <f t="shared" si="227"/>
        <v>#N/A</v>
      </c>
      <c r="V306" s="1165" t="e">
        <f t="shared" si="214"/>
        <v>#N/A</v>
      </c>
      <c r="W306" s="1034" t="e">
        <f t="shared" si="228"/>
        <v>#N/A</v>
      </c>
      <c r="X306" s="1034" t="b">
        <f t="shared" si="229"/>
        <v>0</v>
      </c>
      <c r="Y306" s="1034">
        <f t="shared" si="230"/>
        <v>0</v>
      </c>
      <c r="Z306" s="1034">
        <f t="shared" si="231"/>
        <v>0</v>
      </c>
      <c r="AA306" s="1034">
        <f t="shared" si="215"/>
        <v>0</v>
      </c>
      <c r="AB306" s="1034">
        <f t="shared" si="216"/>
        <v>0</v>
      </c>
      <c r="AC306" s="1033">
        <f t="shared" si="232"/>
        <v>0</v>
      </c>
      <c r="AD306" s="1266">
        <f t="shared" si="217"/>
        <v>0</v>
      </c>
      <c r="AE306" s="1093">
        <f t="shared" si="233"/>
        <v>0</v>
      </c>
      <c r="AF306" s="1093">
        <f t="shared" si="234"/>
        <v>0</v>
      </c>
      <c r="AG306" s="1093">
        <f t="shared" si="218"/>
        <v>0</v>
      </c>
      <c r="AH306" s="1033" t="e">
        <f t="shared" si="219"/>
        <v>#DIV/0!</v>
      </c>
      <c r="AI306" s="1091">
        <f t="shared" si="220"/>
        <v>0</v>
      </c>
      <c r="AJ306" s="1094">
        <f t="shared" si="221"/>
        <v>0</v>
      </c>
      <c r="AK306" s="1053" t="str">
        <f t="shared" si="222"/>
        <v/>
      </c>
      <c r="AL306" s="1053"/>
      <c r="AM306" s="1290">
        <f>_xlfn.XLOOKUP(F306,Proveedores!A:A,Proveedores!G:G)</f>
        <v>0</v>
      </c>
      <c r="AN306" s="1095" t="str">
        <f t="shared" si="235"/>
        <v>OK</v>
      </c>
    </row>
    <row r="307" spans="1:40" ht="15.95">
      <c r="A307" s="1090" t="b">
        <f t="shared" si="210"/>
        <v>1</v>
      </c>
      <c r="B307" s="1091" t="b">
        <f t="shared" si="223"/>
        <v>1</v>
      </c>
      <c r="C307" s="1092" t="str">
        <f t="shared" si="224"/>
        <v>Dólares</v>
      </c>
      <c r="D307" s="13"/>
      <c r="E307" s="743"/>
      <c r="F307" s="17"/>
      <c r="G307" s="17" t="str">
        <f t="shared" si="211"/>
        <v xml:space="preserve"> </v>
      </c>
      <c r="H307" s="12">
        <v>0</v>
      </c>
      <c r="I307" s="16" t="str">
        <f>IFERROR(VLOOKUP(G307,Proveedores!B:C,2,0)," ")</f>
        <v xml:space="preserve"> </v>
      </c>
      <c r="J307" s="745">
        <v>0</v>
      </c>
      <c r="K307" s="745" t="str">
        <f t="shared" si="212"/>
        <v>Not Found</v>
      </c>
      <c r="L307" s="16">
        <f>IF(K307="Importado",Fletes!$B$66,0%)</f>
        <v>0</v>
      </c>
      <c r="M307" s="745">
        <f t="shared" si="225"/>
        <v>0</v>
      </c>
      <c r="N307" s="16">
        <f>IF(K307&lt;&gt;"Importado",0%,IF(Fletes!$B$67&lt;10,15%,IF(Fletes!$B$67&lt;20,10%,5%)))</f>
        <v>0</v>
      </c>
      <c r="O307" s="745" t="str">
        <f>IFERROR(IF(OR(F307="Offiho",F307="Lauco Sofas",F307="Requiez",F307="Labenze",F307="Sunon Mty",F307="Sonara"),(M307*(1-_xlfn.XLOOKUP(F307,Proveedores!A:A,Proveedores!I:I)))*(1+N307),((M307*(1-_xlfn.XLOOKUP(F307,Proveedores!A:A,Proveedores!I:I)))*(1+N307))+U307),"")</f>
        <v/>
      </c>
      <c r="P307" s="1031"/>
      <c r="Q307" s="1133">
        <f>IF(K307&lt;&gt;"Importado",0,IF(P307&gt;0,P307*H307,IFERROR(_xlfn.XLOOKUP(F307,Proveedores!A:A,Proveedores!F:F,0)*H307,0)))</f>
        <v>0</v>
      </c>
      <c r="R307" s="1134" t="e">
        <f t="shared" si="226"/>
        <v>#VALUE!</v>
      </c>
      <c r="S307" s="743"/>
      <c r="T307" s="1034" t="e">
        <f t="shared" si="213"/>
        <v>#N/A</v>
      </c>
      <c r="U307" s="1034" t="e">
        <f t="shared" si="227"/>
        <v>#N/A</v>
      </c>
      <c r="V307" s="1165" t="e">
        <f t="shared" si="214"/>
        <v>#N/A</v>
      </c>
      <c r="W307" s="1034" t="e">
        <f t="shared" si="228"/>
        <v>#N/A</v>
      </c>
      <c r="X307" s="1034" t="b">
        <f t="shared" si="229"/>
        <v>0</v>
      </c>
      <c r="Y307" s="1034">
        <f t="shared" si="230"/>
        <v>0</v>
      </c>
      <c r="Z307" s="1034">
        <f t="shared" si="231"/>
        <v>0</v>
      </c>
      <c r="AA307" s="1034">
        <f t="shared" si="215"/>
        <v>0</v>
      </c>
      <c r="AB307" s="1034">
        <f t="shared" si="216"/>
        <v>0</v>
      </c>
      <c r="AC307" s="1033">
        <f t="shared" si="232"/>
        <v>0</v>
      </c>
      <c r="AD307" s="1266">
        <f t="shared" si="217"/>
        <v>0</v>
      </c>
      <c r="AE307" s="1093">
        <f t="shared" si="233"/>
        <v>0</v>
      </c>
      <c r="AF307" s="1093">
        <f t="shared" si="234"/>
        <v>0</v>
      </c>
      <c r="AG307" s="1093">
        <f t="shared" si="218"/>
        <v>0</v>
      </c>
      <c r="AH307" s="1033" t="e">
        <f t="shared" si="219"/>
        <v>#DIV/0!</v>
      </c>
      <c r="AI307" s="1091">
        <f t="shared" si="220"/>
        <v>0</v>
      </c>
      <c r="AJ307" s="1094">
        <f t="shared" si="221"/>
        <v>0</v>
      </c>
      <c r="AK307" s="1053" t="str">
        <f t="shared" si="222"/>
        <v/>
      </c>
      <c r="AL307" s="1053"/>
      <c r="AM307" s="1290">
        <f>_xlfn.XLOOKUP(F307,Proveedores!A:A,Proveedores!G:G)</f>
        <v>0</v>
      </c>
      <c r="AN307" s="1095" t="str">
        <f t="shared" si="235"/>
        <v>OK</v>
      </c>
    </row>
    <row r="308" spans="1:40" ht="15.95">
      <c r="A308" s="1090" t="b">
        <f t="shared" si="210"/>
        <v>1</v>
      </c>
      <c r="B308" s="1091" t="b">
        <f t="shared" si="223"/>
        <v>1</v>
      </c>
      <c r="C308" s="1092" t="str">
        <f t="shared" si="224"/>
        <v>Dólares</v>
      </c>
      <c r="D308" s="13"/>
      <c r="E308" s="743"/>
      <c r="F308" s="17"/>
      <c r="G308" s="17" t="str">
        <f t="shared" si="211"/>
        <v xml:space="preserve"> </v>
      </c>
      <c r="H308" s="12">
        <v>0</v>
      </c>
      <c r="I308" s="16" t="str">
        <f>IFERROR(VLOOKUP(G308,Proveedores!B:C,2,0)," ")</f>
        <v xml:space="preserve"> </v>
      </c>
      <c r="J308" s="745">
        <v>0</v>
      </c>
      <c r="K308" s="745" t="str">
        <f t="shared" si="212"/>
        <v>Not Found</v>
      </c>
      <c r="L308" s="16">
        <f>IF(K308="Importado",Fletes!$B$66,0%)</f>
        <v>0</v>
      </c>
      <c r="M308" s="745">
        <f t="shared" si="225"/>
        <v>0</v>
      </c>
      <c r="N308" s="16">
        <f>IF(K308&lt;&gt;"Importado",0%,IF(Fletes!$B$67&lt;10,15%,IF(Fletes!$B$67&lt;20,10%,5%)))</f>
        <v>0</v>
      </c>
      <c r="O308" s="745" t="str">
        <f>IFERROR(IF(OR(F308="Offiho",F308="Lauco Sofas",F308="Requiez",F308="Labenze",F308="Sunon Mty",F308="Sonara"),(M308*(1-_xlfn.XLOOKUP(F308,Proveedores!A:A,Proveedores!I:I)))*(1+N308),((M308*(1-_xlfn.XLOOKUP(F308,Proveedores!A:A,Proveedores!I:I)))*(1+N308))+U308),"")</f>
        <v/>
      </c>
      <c r="P308" s="1031"/>
      <c r="Q308" s="1133">
        <f>IF(K308&lt;&gt;"Importado",0,IF(P308&gt;0,P308*H308,IFERROR(_xlfn.XLOOKUP(F308,Proveedores!A:A,Proveedores!F:F,0)*H308,0)))</f>
        <v>0</v>
      </c>
      <c r="R308" s="1134" t="e">
        <f t="shared" si="226"/>
        <v>#VALUE!</v>
      </c>
      <c r="S308" s="743"/>
      <c r="T308" s="1034" t="e">
        <f t="shared" si="213"/>
        <v>#N/A</v>
      </c>
      <c r="U308" s="1034" t="e">
        <f t="shared" si="227"/>
        <v>#N/A</v>
      </c>
      <c r="V308" s="1165" t="e">
        <f t="shared" si="214"/>
        <v>#N/A</v>
      </c>
      <c r="W308" s="1034" t="e">
        <f t="shared" si="228"/>
        <v>#N/A</v>
      </c>
      <c r="X308" s="1034" t="b">
        <f t="shared" si="229"/>
        <v>0</v>
      </c>
      <c r="Y308" s="1034">
        <f t="shared" si="230"/>
        <v>0</v>
      </c>
      <c r="Z308" s="1034">
        <f t="shared" si="231"/>
        <v>0</v>
      </c>
      <c r="AA308" s="1034">
        <f t="shared" si="215"/>
        <v>0</v>
      </c>
      <c r="AB308" s="1034">
        <f t="shared" si="216"/>
        <v>0</v>
      </c>
      <c r="AC308" s="1033">
        <f t="shared" si="232"/>
        <v>0</v>
      </c>
      <c r="AD308" s="1266">
        <f t="shared" si="217"/>
        <v>0</v>
      </c>
      <c r="AE308" s="1093">
        <f t="shared" si="233"/>
        <v>0</v>
      </c>
      <c r="AF308" s="1093">
        <f t="shared" si="234"/>
        <v>0</v>
      </c>
      <c r="AG308" s="1093">
        <f t="shared" si="218"/>
        <v>0</v>
      </c>
      <c r="AH308" s="1033" t="e">
        <f t="shared" si="219"/>
        <v>#DIV/0!</v>
      </c>
      <c r="AI308" s="1091">
        <f t="shared" si="220"/>
        <v>0</v>
      </c>
      <c r="AJ308" s="1094">
        <f t="shared" si="221"/>
        <v>0</v>
      </c>
      <c r="AK308" s="1053" t="str">
        <f t="shared" si="222"/>
        <v/>
      </c>
      <c r="AL308" s="1053"/>
      <c r="AM308" s="1290">
        <f>_xlfn.XLOOKUP(F308,Proveedores!A:A,Proveedores!G:G)</f>
        <v>0</v>
      </c>
      <c r="AN308" s="1095" t="str">
        <f t="shared" si="235"/>
        <v>OK</v>
      </c>
    </row>
    <row r="309" spans="1:40" ht="15.95">
      <c r="A309" s="1090" t="b">
        <f t="shared" si="210"/>
        <v>1</v>
      </c>
      <c r="B309" s="1091" t="b">
        <f t="shared" si="223"/>
        <v>1</v>
      </c>
      <c r="C309" s="1092" t="str">
        <f t="shared" si="224"/>
        <v>Dólares</v>
      </c>
      <c r="D309" s="13"/>
      <c r="E309" s="743"/>
      <c r="F309" s="17"/>
      <c r="G309" s="17" t="str">
        <f t="shared" si="211"/>
        <v xml:space="preserve"> </v>
      </c>
      <c r="H309" s="12">
        <v>0</v>
      </c>
      <c r="I309" s="16" t="str">
        <f>IFERROR(VLOOKUP(G309,Proveedores!B:C,2,0)," ")</f>
        <v xml:space="preserve"> </v>
      </c>
      <c r="J309" s="745">
        <v>0</v>
      </c>
      <c r="K309" s="745" t="str">
        <f t="shared" si="212"/>
        <v>Not Found</v>
      </c>
      <c r="L309" s="16">
        <f>IF(K309="Importado",Fletes!$B$66,0%)</f>
        <v>0</v>
      </c>
      <c r="M309" s="745">
        <f t="shared" si="225"/>
        <v>0</v>
      </c>
      <c r="N309" s="16">
        <f>IF(K309&lt;&gt;"Importado",0%,IF(Fletes!$B$67&lt;10,15%,IF(Fletes!$B$67&lt;20,10%,5%)))</f>
        <v>0</v>
      </c>
      <c r="O309" s="745" t="str">
        <f>IFERROR(IF(OR(F309="Offiho",F309="Lauco Sofas",F309="Requiez",F309="Labenze",F309="Sunon Mty",F309="Sonara"),(M309*(1-_xlfn.XLOOKUP(F309,Proveedores!A:A,Proveedores!I:I)))*(1+N309),((M309*(1-_xlfn.XLOOKUP(F309,Proveedores!A:A,Proveedores!I:I)))*(1+N309))+U309),"")</f>
        <v/>
      </c>
      <c r="P309" s="1031"/>
      <c r="Q309" s="1133">
        <f>IF(K309&lt;&gt;"Importado",0,IF(P309&gt;0,P309*H309,IFERROR(_xlfn.XLOOKUP(F309,Proveedores!A:A,Proveedores!F:F,0)*H309,0)))</f>
        <v>0</v>
      </c>
      <c r="R309" s="1134" t="e">
        <f t="shared" si="226"/>
        <v>#VALUE!</v>
      </c>
      <c r="S309" s="743"/>
      <c r="T309" s="1034" t="e">
        <f t="shared" si="213"/>
        <v>#N/A</v>
      </c>
      <c r="U309" s="1034" t="e">
        <f t="shared" si="227"/>
        <v>#N/A</v>
      </c>
      <c r="V309" s="1165" t="e">
        <f t="shared" si="214"/>
        <v>#N/A</v>
      </c>
      <c r="W309" s="1034" t="e">
        <f t="shared" si="228"/>
        <v>#N/A</v>
      </c>
      <c r="X309" s="1034" t="b">
        <f t="shared" si="229"/>
        <v>0</v>
      </c>
      <c r="Y309" s="1034">
        <f t="shared" si="230"/>
        <v>0</v>
      </c>
      <c r="Z309" s="1034">
        <f t="shared" si="231"/>
        <v>0</v>
      </c>
      <c r="AA309" s="1034">
        <f t="shared" si="215"/>
        <v>0</v>
      </c>
      <c r="AB309" s="1034">
        <f t="shared" si="216"/>
        <v>0</v>
      </c>
      <c r="AC309" s="1033">
        <f t="shared" si="232"/>
        <v>0</v>
      </c>
      <c r="AD309" s="1266">
        <f t="shared" si="217"/>
        <v>0</v>
      </c>
      <c r="AE309" s="1093">
        <f t="shared" si="233"/>
        <v>0</v>
      </c>
      <c r="AF309" s="1093">
        <f t="shared" si="234"/>
        <v>0</v>
      </c>
      <c r="AG309" s="1093">
        <f t="shared" si="218"/>
        <v>0</v>
      </c>
      <c r="AH309" s="1033" t="e">
        <f t="shared" si="219"/>
        <v>#DIV/0!</v>
      </c>
      <c r="AI309" s="1091">
        <f t="shared" si="220"/>
        <v>0</v>
      </c>
      <c r="AJ309" s="1094">
        <f t="shared" si="221"/>
        <v>0</v>
      </c>
      <c r="AK309" s="1053" t="str">
        <f t="shared" si="222"/>
        <v/>
      </c>
      <c r="AL309" s="1053"/>
      <c r="AM309" s="1290">
        <f>_xlfn.XLOOKUP(F309,Proveedores!A:A,Proveedores!G:G)</f>
        <v>0</v>
      </c>
      <c r="AN309" s="1095" t="str">
        <f t="shared" si="235"/>
        <v>OK</v>
      </c>
    </row>
    <row r="310" spans="1:40" ht="15.95">
      <c r="A310" s="1090" t="b">
        <f t="shared" si="210"/>
        <v>1</v>
      </c>
      <c r="B310" s="1091" t="b">
        <f t="shared" si="223"/>
        <v>1</v>
      </c>
      <c r="C310" s="1092" t="str">
        <f t="shared" si="224"/>
        <v>Dólares</v>
      </c>
      <c r="D310" s="13"/>
      <c r="E310" s="743"/>
      <c r="F310" s="17"/>
      <c r="G310" s="17" t="str">
        <f t="shared" si="211"/>
        <v xml:space="preserve"> </v>
      </c>
      <c r="H310" s="12">
        <v>0</v>
      </c>
      <c r="I310" s="16" t="str">
        <f>IFERROR(VLOOKUP(G310,Proveedores!B:C,2,0)," ")</f>
        <v xml:space="preserve"> </v>
      </c>
      <c r="J310" s="745">
        <v>0</v>
      </c>
      <c r="K310" s="745" t="str">
        <f t="shared" si="212"/>
        <v>Not Found</v>
      </c>
      <c r="L310" s="16">
        <f>IF(K310="Importado",Fletes!$B$66,0%)</f>
        <v>0</v>
      </c>
      <c r="M310" s="745">
        <f t="shared" si="225"/>
        <v>0</v>
      </c>
      <c r="N310" s="16">
        <f>IF(K310&lt;&gt;"Importado",0%,IF(Fletes!$B$67&lt;10,15%,IF(Fletes!$B$67&lt;20,10%,5%)))</f>
        <v>0</v>
      </c>
      <c r="O310" s="745" t="str">
        <f>IFERROR(IF(OR(F310="Offiho",F310="Lauco Sofas",F310="Requiez",F310="Labenze",F310="Sunon Mty",F310="Sonara"),(M310*(1-_xlfn.XLOOKUP(F310,Proveedores!A:A,Proveedores!I:I)))*(1+N310),((M310*(1-_xlfn.XLOOKUP(F310,Proveedores!A:A,Proveedores!I:I)))*(1+N310))+U310),"")</f>
        <v/>
      </c>
      <c r="P310" s="1031"/>
      <c r="Q310" s="1133">
        <f>IF(K310&lt;&gt;"Importado",0,IF(P310&gt;0,P310*H310,IFERROR(_xlfn.XLOOKUP(F310,Proveedores!A:A,Proveedores!F:F,0)*H310,0)))</f>
        <v>0</v>
      </c>
      <c r="R310" s="1134" t="e">
        <f t="shared" si="226"/>
        <v>#VALUE!</v>
      </c>
      <c r="S310" s="743"/>
      <c r="T310" s="1034" t="e">
        <f t="shared" si="213"/>
        <v>#N/A</v>
      </c>
      <c r="U310" s="1034" t="e">
        <f t="shared" si="227"/>
        <v>#N/A</v>
      </c>
      <c r="V310" s="1165" t="e">
        <f t="shared" si="214"/>
        <v>#N/A</v>
      </c>
      <c r="W310" s="1034" t="e">
        <f t="shared" si="228"/>
        <v>#N/A</v>
      </c>
      <c r="X310" s="1034" t="b">
        <f t="shared" si="229"/>
        <v>0</v>
      </c>
      <c r="Y310" s="1034">
        <f t="shared" si="230"/>
        <v>0</v>
      </c>
      <c r="Z310" s="1034">
        <f t="shared" si="231"/>
        <v>0</v>
      </c>
      <c r="AA310" s="1034">
        <f t="shared" si="215"/>
        <v>0</v>
      </c>
      <c r="AB310" s="1034">
        <f t="shared" si="216"/>
        <v>0</v>
      </c>
      <c r="AC310" s="1033">
        <f t="shared" si="232"/>
        <v>0</v>
      </c>
      <c r="AD310" s="1266">
        <f t="shared" si="217"/>
        <v>0</v>
      </c>
      <c r="AE310" s="1093">
        <f t="shared" si="233"/>
        <v>0</v>
      </c>
      <c r="AF310" s="1093">
        <f t="shared" si="234"/>
        <v>0</v>
      </c>
      <c r="AG310" s="1093">
        <f t="shared" si="218"/>
        <v>0</v>
      </c>
      <c r="AH310" s="1033" t="e">
        <f t="shared" si="219"/>
        <v>#DIV/0!</v>
      </c>
      <c r="AI310" s="1091">
        <f t="shared" si="220"/>
        <v>0</v>
      </c>
      <c r="AJ310" s="1094">
        <f t="shared" si="221"/>
        <v>0</v>
      </c>
      <c r="AK310" s="1053" t="str">
        <f t="shared" si="222"/>
        <v/>
      </c>
      <c r="AL310" s="1053"/>
      <c r="AM310" s="1290">
        <f>_xlfn.XLOOKUP(F310,Proveedores!A:A,Proveedores!G:G)</f>
        <v>0</v>
      </c>
      <c r="AN310" s="1095" t="str">
        <f t="shared" si="235"/>
        <v>OK</v>
      </c>
    </row>
    <row r="311" spans="1:40" ht="15.95">
      <c r="A311" s="1090" t="b">
        <f t="shared" si="210"/>
        <v>1</v>
      </c>
      <c r="B311" s="1091" t="b">
        <f t="shared" si="223"/>
        <v>1</v>
      </c>
      <c r="C311" s="1092" t="str">
        <f t="shared" si="224"/>
        <v>Dólares</v>
      </c>
      <c r="D311" s="13"/>
      <c r="E311" s="743"/>
      <c r="F311" s="17"/>
      <c r="G311" s="17" t="str">
        <f t="shared" si="211"/>
        <v xml:space="preserve"> </v>
      </c>
      <c r="H311" s="12">
        <v>0</v>
      </c>
      <c r="I311" s="16" t="str">
        <f>IFERROR(VLOOKUP(G311,Proveedores!B:C,2,0)," ")</f>
        <v xml:space="preserve"> </v>
      </c>
      <c r="J311" s="745">
        <v>0</v>
      </c>
      <c r="K311" s="745" t="str">
        <f t="shared" si="212"/>
        <v>Not Found</v>
      </c>
      <c r="L311" s="16">
        <f>IF(K311="Importado",Fletes!$B$66,0%)</f>
        <v>0</v>
      </c>
      <c r="M311" s="745">
        <f t="shared" si="225"/>
        <v>0</v>
      </c>
      <c r="N311" s="16">
        <f>IF(K311&lt;&gt;"Importado",0%,IF(Fletes!$B$67&lt;10,15%,IF(Fletes!$B$67&lt;20,10%,5%)))</f>
        <v>0</v>
      </c>
      <c r="O311" s="745" t="str">
        <f>IFERROR(IF(OR(F311="Offiho",F311="Lauco Sofas",F311="Requiez",F311="Labenze",F311="Sunon Mty",F311="Sonara"),(M311*(1-_xlfn.XLOOKUP(F311,Proveedores!A:A,Proveedores!I:I)))*(1+N311),((M311*(1-_xlfn.XLOOKUP(F311,Proveedores!A:A,Proveedores!I:I)))*(1+N311))+U311),"")</f>
        <v/>
      </c>
      <c r="P311" s="1031"/>
      <c r="Q311" s="1133">
        <f>IF(K311&lt;&gt;"Importado",0,IF(P311&gt;0,P311*H311,IFERROR(_xlfn.XLOOKUP(F311,Proveedores!A:A,Proveedores!F:F,0)*H311,0)))</f>
        <v>0</v>
      </c>
      <c r="R311" s="1134" t="e">
        <f t="shared" si="226"/>
        <v>#VALUE!</v>
      </c>
      <c r="S311" s="743"/>
      <c r="T311" s="1034" t="e">
        <f t="shared" si="213"/>
        <v>#N/A</v>
      </c>
      <c r="U311" s="1034" t="e">
        <f t="shared" si="227"/>
        <v>#N/A</v>
      </c>
      <c r="V311" s="1165" t="e">
        <f t="shared" si="214"/>
        <v>#N/A</v>
      </c>
      <c r="W311" s="1034" t="e">
        <f t="shared" si="228"/>
        <v>#N/A</v>
      </c>
      <c r="X311" s="1034" t="b">
        <f t="shared" si="229"/>
        <v>0</v>
      </c>
      <c r="Y311" s="1034">
        <f t="shared" si="230"/>
        <v>0</v>
      </c>
      <c r="Z311" s="1034">
        <f t="shared" si="231"/>
        <v>0</v>
      </c>
      <c r="AA311" s="1034">
        <f t="shared" si="215"/>
        <v>0</v>
      </c>
      <c r="AB311" s="1034">
        <f t="shared" si="216"/>
        <v>0</v>
      </c>
      <c r="AC311" s="1033">
        <f t="shared" si="232"/>
        <v>0</v>
      </c>
      <c r="AD311" s="1266">
        <f t="shared" si="217"/>
        <v>0</v>
      </c>
      <c r="AE311" s="1093">
        <f t="shared" si="233"/>
        <v>0</v>
      </c>
      <c r="AF311" s="1093">
        <f t="shared" si="234"/>
        <v>0</v>
      </c>
      <c r="AG311" s="1093">
        <f t="shared" si="218"/>
        <v>0</v>
      </c>
      <c r="AH311" s="1033" t="e">
        <f t="shared" si="219"/>
        <v>#DIV/0!</v>
      </c>
      <c r="AI311" s="1091">
        <f t="shared" si="220"/>
        <v>0</v>
      </c>
      <c r="AJ311" s="1094">
        <f t="shared" si="221"/>
        <v>0</v>
      </c>
      <c r="AK311" s="1053" t="str">
        <f t="shared" si="222"/>
        <v/>
      </c>
      <c r="AL311" s="1053"/>
      <c r="AM311" s="1290">
        <f>_xlfn.XLOOKUP(F311,Proveedores!A:A,Proveedores!G:G)</f>
        <v>0</v>
      </c>
      <c r="AN311" s="1095" t="str">
        <f t="shared" si="235"/>
        <v>OK</v>
      </c>
    </row>
    <row r="312" spans="1:40" ht="15.95">
      <c r="A312" s="1090" t="b">
        <f t="shared" si="210"/>
        <v>1</v>
      </c>
      <c r="B312" s="1091" t="b">
        <f t="shared" si="223"/>
        <v>1</v>
      </c>
      <c r="C312" s="1092" t="str">
        <f t="shared" si="224"/>
        <v>Dólares</v>
      </c>
      <c r="D312" s="14"/>
      <c r="E312" s="743"/>
      <c r="F312" s="17"/>
      <c r="G312" s="17" t="str">
        <f t="shared" si="211"/>
        <v xml:space="preserve"> </v>
      </c>
      <c r="H312" s="12">
        <v>0</v>
      </c>
      <c r="I312" s="16" t="str">
        <f>IFERROR(VLOOKUP(G312,Proveedores!B:C,2,0)," ")</f>
        <v xml:space="preserve"> </v>
      </c>
      <c r="J312" s="745">
        <v>0</v>
      </c>
      <c r="K312" s="745" t="str">
        <f t="shared" si="212"/>
        <v>Not Found</v>
      </c>
      <c r="L312" s="16">
        <f>IF(K312="Importado",Fletes!$B$66,0%)</f>
        <v>0</v>
      </c>
      <c r="M312" s="745">
        <f t="shared" si="225"/>
        <v>0</v>
      </c>
      <c r="N312" s="16">
        <f>IF(K312&lt;&gt;"Importado",0%,IF(Fletes!$B$67&lt;10,15%,IF(Fletes!$B$67&lt;20,10%,5%)))</f>
        <v>0</v>
      </c>
      <c r="O312" s="745" t="str">
        <f>IFERROR(IF(OR(F312="Offiho",F312="Lauco Sofas",F312="Requiez",F312="Labenze",F312="Sunon Mty",F312="Sonara"),(M312*(1-_xlfn.XLOOKUP(F312,Proveedores!A:A,Proveedores!I:I)))*(1+N312),((M312*(1-_xlfn.XLOOKUP(F312,Proveedores!A:A,Proveedores!I:I)))*(1+N312))+U312),"")</f>
        <v/>
      </c>
      <c r="P312" s="1031"/>
      <c r="Q312" s="1133">
        <f>IF(K312&lt;&gt;"Importado",0,IF(P312&gt;0,P312*H312,IFERROR(_xlfn.XLOOKUP(F312,Proveedores!A:A,Proveedores!F:F,0)*H312,0)))</f>
        <v>0</v>
      </c>
      <c r="R312" s="1134" t="e">
        <f t="shared" si="226"/>
        <v>#VALUE!</v>
      </c>
      <c r="S312" s="743"/>
      <c r="T312" s="1034" t="e">
        <f t="shared" si="213"/>
        <v>#N/A</v>
      </c>
      <c r="U312" s="1034" t="e">
        <f t="shared" si="227"/>
        <v>#N/A</v>
      </c>
      <c r="V312" s="1165" t="e">
        <f t="shared" si="214"/>
        <v>#N/A</v>
      </c>
      <c r="W312" s="1034" t="e">
        <f t="shared" si="228"/>
        <v>#N/A</v>
      </c>
      <c r="X312" s="1034" t="b">
        <f t="shared" si="229"/>
        <v>0</v>
      </c>
      <c r="Y312" s="1034">
        <f t="shared" si="230"/>
        <v>0</v>
      </c>
      <c r="Z312" s="1034">
        <f t="shared" si="231"/>
        <v>0</v>
      </c>
      <c r="AA312" s="1034">
        <f t="shared" si="215"/>
        <v>0</v>
      </c>
      <c r="AB312" s="1034">
        <f t="shared" si="216"/>
        <v>0</v>
      </c>
      <c r="AC312" s="1033">
        <f t="shared" si="232"/>
        <v>0</v>
      </c>
      <c r="AD312" s="1266">
        <f t="shared" si="217"/>
        <v>0</v>
      </c>
      <c r="AE312" s="1093">
        <f t="shared" si="233"/>
        <v>0</v>
      </c>
      <c r="AF312" s="1093">
        <f t="shared" si="234"/>
        <v>0</v>
      </c>
      <c r="AG312" s="1093">
        <f t="shared" si="218"/>
        <v>0</v>
      </c>
      <c r="AH312" s="1033" t="e">
        <f t="shared" si="219"/>
        <v>#DIV/0!</v>
      </c>
      <c r="AI312" s="1091">
        <f t="shared" si="220"/>
        <v>0</v>
      </c>
      <c r="AJ312" s="1094">
        <f t="shared" si="221"/>
        <v>0</v>
      </c>
      <c r="AK312" s="1053" t="str">
        <f t="shared" si="222"/>
        <v/>
      </c>
      <c r="AL312" s="1053"/>
      <c r="AM312" s="1290">
        <f>_xlfn.XLOOKUP(F312,Proveedores!A:A,Proveedores!G:G)</f>
        <v>0</v>
      </c>
      <c r="AN312" s="1095" t="str">
        <f t="shared" si="235"/>
        <v>OK</v>
      </c>
    </row>
    <row r="313" spans="1:40" ht="15.95">
      <c r="A313" s="1090" t="b">
        <f t="shared" si="210"/>
        <v>1</v>
      </c>
      <c r="B313" s="1091" t="b">
        <f t="shared" si="223"/>
        <v>1</v>
      </c>
      <c r="C313" s="1092" t="str">
        <f t="shared" si="224"/>
        <v>Dólares</v>
      </c>
      <c r="D313" s="15"/>
      <c r="E313" s="743"/>
      <c r="F313" s="17"/>
      <c r="G313" s="17" t="str">
        <f t="shared" si="211"/>
        <v xml:space="preserve"> </v>
      </c>
      <c r="H313" s="12">
        <v>0</v>
      </c>
      <c r="I313" s="16" t="str">
        <f>IFERROR(VLOOKUP(G313,Proveedores!B:C,2,0)," ")</f>
        <v xml:space="preserve"> </v>
      </c>
      <c r="J313" s="745">
        <v>0</v>
      </c>
      <c r="K313" s="745" t="str">
        <f t="shared" si="212"/>
        <v>Not Found</v>
      </c>
      <c r="L313" s="16">
        <f>IF(K313="Importado",Fletes!$B$66,0%)</f>
        <v>0</v>
      </c>
      <c r="M313" s="745">
        <f t="shared" si="225"/>
        <v>0</v>
      </c>
      <c r="N313" s="16">
        <f>IF(K313&lt;&gt;"Importado",0%,IF(Fletes!$B$67&lt;10,15%,IF(Fletes!$B$67&lt;20,10%,5%)))</f>
        <v>0</v>
      </c>
      <c r="O313" s="745" t="str">
        <f>IFERROR(IF(OR(F313="Offiho",F313="Lauco Sofas",F313="Requiez",F313="Labenze",F313="Sunon Mty",F313="Sonara"),(M313*(1-_xlfn.XLOOKUP(F313,Proveedores!A:A,Proveedores!I:I)))*(1+N313),((M313*(1-_xlfn.XLOOKUP(F313,Proveedores!A:A,Proveedores!I:I)))*(1+N313))+U313),"")</f>
        <v/>
      </c>
      <c r="P313" s="1031"/>
      <c r="Q313" s="1133">
        <f>IF(K313&lt;&gt;"Importado",0,IF(P313&gt;0,P313*H313,IFERROR(_xlfn.XLOOKUP(F313,Proveedores!A:A,Proveedores!F:F,0)*H313,0)))</f>
        <v>0</v>
      </c>
      <c r="R313" s="1134" t="e">
        <f t="shared" si="226"/>
        <v>#VALUE!</v>
      </c>
      <c r="S313" s="743"/>
      <c r="T313" s="1034" t="e">
        <f t="shared" si="213"/>
        <v>#N/A</v>
      </c>
      <c r="U313" s="1034" t="e">
        <f t="shared" si="227"/>
        <v>#N/A</v>
      </c>
      <c r="V313" s="1165" t="e">
        <f t="shared" si="214"/>
        <v>#N/A</v>
      </c>
      <c r="W313" s="1034" t="e">
        <f t="shared" si="228"/>
        <v>#N/A</v>
      </c>
      <c r="X313" s="1034" t="b">
        <f t="shared" si="229"/>
        <v>0</v>
      </c>
      <c r="Y313" s="1034">
        <f t="shared" si="230"/>
        <v>0</v>
      </c>
      <c r="Z313" s="1034">
        <f t="shared" si="231"/>
        <v>0</v>
      </c>
      <c r="AA313" s="1034">
        <f t="shared" si="215"/>
        <v>0</v>
      </c>
      <c r="AB313" s="1034">
        <f t="shared" si="216"/>
        <v>0</v>
      </c>
      <c r="AC313" s="1033">
        <f t="shared" si="232"/>
        <v>0</v>
      </c>
      <c r="AD313" s="1266">
        <f t="shared" si="217"/>
        <v>0</v>
      </c>
      <c r="AE313" s="1093">
        <f t="shared" si="233"/>
        <v>0</v>
      </c>
      <c r="AF313" s="1093">
        <f t="shared" si="234"/>
        <v>0</v>
      </c>
      <c r="AG313" s="1093">
        <f t="shared" si="218"/>
        <v>0</v>
      </c>
      <c r="AH313" s="1033" t="e">
        <f t="shared" si="219"/>
        <v>#DIV/0!</v>
      </c>
      <c r="AI313" s="1091">
        <f t="shared" si="220"/>
        <v>0</v>
      </c>
      <c r="AJ313" s="1094">
        <f t="shared" si="221"/>
        <v>0</v>
      </c>
      <c r="AK313" s="1053" t="str">
        <f t="shared" si="222"/>
        <v/>
      </c>
      <c r="AL313" s="1053"/>
      <c r="AM313" s="1290">
        <f>_xlfn.XLOOKUP(F313,Proveedores!A:A,Proveedores!G:G)</f>
        <v>0</v>
      </c>
      <c r="AN313" s="1095" t="str">
        <f t="shared" si="235"/>
        <v>OK</v>
      </c>
    </row>
    <row r="314" spans="1:40" ht="15.95">
      <c r="A314" s="1090" t="b">
        <f t="shared" si="210"/>
        <v>1</v>
      </c>
      <c r="B314" s="1091" t="b">
        <f t="shared" si="223"/>
        <v>1</v>
      </c>
      <c r="C314" s="1092" t="str">
        <f t="shared" si="224"/>
        <v>Dólares</v>
      </c>
      <c r="D314" s="15"/>
      <c r="E314" s="743"/>
      <c r="F314" s="17"/>
      <c r="G314" s="17" t="str">
        <f t="shared" si="211"/>
        <v xml:space="preserve"> </v>
      </c>
      <c r="H314" s="12">
        <v>0</v>
      </c>
      <c r="I314" s="16" t="str">
        <f>IFERROR(VLOOKUP(G314,Proveedores!B:C,2,0)," ")</f>
        <v xml:space="preserve"> </v>
      </c>
      <c r="J314" s="745">
        <v>0</v>
      </c>
      <c r="K314" s="745" t="str">
        <f t="shared" si="212"/>
        <v>Not Found</v>
      </c>
      <c r="L314" s="16">
        <f>IF(K314="Importado",Fletes!$B$66,0%)</f>
        <v>0</v>
      </c>
      <c r="M314" s="745">
        <f t="shared" si="225"/>
        <v>0</v>
      </c>
      <c r="N314" s="16">
        <f>IF(K314&lt;&gt;"Importado",0%,IF(Fletes!$B$67&lt;10,15%,IF(Fletes!$B$67&lt;20,10%,5%)))</f>
        <v>0</v>
      </c>
      <c r="O314" s="745" t="str">
        <f>IFERROR(IF(OR(F314="Offiho",F314="Lauco Sofas",F314="Requiez",F314="Labenze",F314="Sunon Mty",F314="Sonara"),(M314*(1-_xlfn.XLOOKUP(F314,Proveedores!A:A,Proveedores!I:I)))*(1+N314),((M314*(1-_xlfn.XLOOKUP(F314,Proveedores!A:A,Proveedores!I:I)))*(1+N314))+U314),"")</f>
        <v/>
      </c>
      <c r="P314" s="1031"/>
      <c r="Q314" s="1133">
        <f>IF(K314&lt;&gt;"Importado",0,IF(P314&gt;0,P314*H314,IFERROR(_xlfn.XLOOKUP(F314,Proveedores!A:A,Proveedores!F:F,0)*H314,0)))</f>
        <v>0</v>
      </c>
      <c r="R314" s="1134" t="e">
        <f t="shared" si="226"/>
        <v>#VALUE!</v>
      </c>
      <c r="S314" s="743"/>
      <c r="T314" s="1034" t="e">
        <f t="shared" si="213"/>
        <v>#N/A</v>
      </c>
      <c r="U314" s="1034" t="e">
        <f t="shared" si="227"/>
        <v>#N/A</v>
      </c>
      <c r="V314" s="1165" t="e">
        <f t="shared" si="214"/>
        <v>#N/A</v>
      </c>
      <c r="W314" s="1034" t="e">
        <f t="shared" si="228"/>
        <v>#N/A</v>
      </c>
      <c r="X314" s="1034" t="b">
        <f t="shared" si="229"/>
        <v>0</v>
      </c>
      <c r="Y314" s="1034">
        <f t="shared" si="230"/>
        <v>0</v>
      </c>
      <c r="Z314" s="1034">
        <f t="shared" si="231"/>
        <v>0</v>
      </c>
      <c r="AA314" s="1034">
        <f t="shared" si="215"/>
        <v>0</v>
      </c>
      <c r="AB314" s="1034">
        <f t="shared" si="216"/>
        <v>0</v>
      </c>
      <c r="AC314" s="1033">
        <f t="shared" si="232"/>
        <v>0</v>
      </c>
      <c r="AD314" s="1266">
        <f t="shared" si="217"/>
        <v>0</v>
      </c>
      <c r="AE314" s="1093">
        <f t="shared" si="233"/>
        <v>0</v>
      </c>
      <c r="AF314" s="1093">
        <f t="shared" si="234"/>
        <v>0</v>
      </c>
      <c r="AG314" s="1093">
        <f t="shared" si="218"/>
        <v>0</v>
      </c>
      <c r="AH314" s="1033" t="e">
        <f t="shared" si="219"/>
        <v>#DIV/0!</v>
      </c>
      <c r="AI314" s="1091">
        <f t="shared" si="220"/>
        <v>0</v>
      </c>
      <c r="AJ314" s="1094">
        <f t="shared" si="221"/>
        <v>0</v>
      </c>
      <c r="AK314" s="1053" t="str">
        <f t="shared" si="222"/>
        <v/>
      </c>
      <c r="AL314" s="1053"/>
      <c r="AM314" s="1290">
        <f>_xlfn.XLOOKUP(F314,Proveedores!A:A,Proveedores!G:G)</f>
        <v>0</v>
      </c>
      <c r="AN314" s="1095" t="str">
        <f t="shared" si="235"/>
        <v>OK</v>
      </c>
    </row>
    <row r="315" spans="1:40" ht="15.95">
      <c r="A315" s="1090" t="b">
        <f t="shared" si="210"/>
        <v>1</v>
      </c>
      <c r="B315" s="1091" t="b">
        <f t="shared" si="223"/>
        <v>1</v>
      </c>
      <c r="C315" s="1092" t="str">
        <f t="shared" si="224"/>
        <v>Dólares</v>
      </c>
      <c r="D315" s="15"/>
      <c r="E315" s="743"/>
      <c r="F315" s="17"/>
      <c r="G315" s="17" t="str">
        <f t="shared" si="211"/>
        <v xml:space="preserve"> </v>
      </c>
      <c r="H315" s="12">
        <v>0</v>
      </c>
      <c r="I315" s="16" t="str">
        <f>IFERROR(VLOOKUP(G315,Proveedores!B:C,2,0)," ")</f>
        <v xml:space="preserve"> </v>
      </c>
      <c r="J315" s="745">
        <v>0</v>
      </c>
      <c r="K315" s="745" t="str">
        <f t="shared" si="212"/>
        <v>Not Found</v>
      </c>
      <c r="L315" s="16">
        <f>IF(K315="Importado",Fletes!$B$66,0%)</f>
        <v>0</v>
      </c>
      <c r="M315" s="745">
        <f t="shared" si="225"/>
        <v>0</v>
      </c>
      <c r="N315" s="16">
        <f>IF(K315&lt;&gt;"Importado",0%,IF(Fletes!$B$67&lt;10,15%,IF(Fletes!$B$67&lt;20,10%,5%)))</f>
        <v>0</v>
      </c>
      <c r="O315" s="745" t="str">
        <f>IFERROR(IF(OR(F315="Offiho",F315="Lauco Sofas",F315="Requiez",F315="Labenze",F315="Sunon Mty",F315="Sonara"),(M315*(1-_xlfn.XLOOKUP(F315,Proveedores!A:A,Proveedores!I:I)))*(1+N315),((M315*(1-_xlfn.XLOOKUP(F315,Proveedores!A:A,Proveedores!I:I)))*(1+N315))+U315),"")</f>
        <v/>
      </c>
      <c r="P315" s="1031"/>
      <c r="Q315" s="1133">
        <f>IF(K315&lt;&gt;"Importado",0,IF(P315&gt;0,P315*H315,IFERROR(_xlfn.XLOOKUP(F315,Proveedores!A:A,Proveedores!F:F,0)*H315,0)))</f>
        <v>0</v>
      </c>
      <c r="R315" s="1134" t="e">
        <f t="shared" si="226"/>
        <v>#VALUE!</v>
      </c>
      <c r="S315" s="743"/>
      <c r="T315" s="1034" t="e">
        <f t="shared" si="213"/>
        <v>#N/A</v>
      </c>
      <c r="U315" s="1034" t="e">
        <f t="shared" si="227"/>
        <v>#N/A</v>
      </c>
      <c r="V315" s="1165" t="e">
        <f t="shared" si="214"/>
        <v>#N/A</v>
      </c>
      <c r="W315" s="1034" t="e">
        <f t="shared" si="228"/>
        <v>#N/A</v>
      </c>
      <c r="X315" s="1034" t="b">
        <f t="shared" si="229"/>
        <v>0</v>
      </c>
      <c r="Y315" s="1034">
        <f t="shared" si="230"/>
        <v>0</v>
      </c>
      <c r="Z315" s="1034">
        <f t="shared" si="231"/>
        <v>0</v>
      </c>
      <c r="AA315" s="1034">
        <f t="shared" si="215"/>
        <v>0</v>
      </c>
      <c r="AB315" s="1034">
        <f t="shared" si="216"/>
        <v>0</v>
      </c>
      <c r="AC315" s="1033">
        <f t="shared" si="232"/>
        <v>0</v>
      </c>
      <c r="AD315" s="1266">
        <f t="shared" si="217"/>
        <v>0</v>
      </c>
      <c r="AE315" s="1093">
        <f t="shared" si="233"/>
        <v>0</v>
      </c>
      <c r="AF315" s="1093">
        <f t="shared" si="234"/>
        <v>0</v>
      </c>
      <c r="AG315" s="1093">
        <f t="shared" si="218"/>
        <v>0</v>
      </c>
      <c r="AH315" s="1033" t="e">
        <f t="shared" si="219"/>
        <v>#DIV/0!</v>
      </c>
      <c r="AI315" s="1091">
        <f t="shared" si="220"/>
        <v>0</v>
      </c>
      <c r="AJ315" s="1094">
        <f t="shared" si="221"/>
        <v>0</v>
      </c>
      <c r="AK315" s="1053" t="str">
        <f t="shared" si="222"/>
        <v/>
      </c>
      <c r="AL315" s="1053"/>
      <c r="AM315" s="1290">
        <f>_xlfn.XLOOKUP(F315,Proveedores!A:A,Proveedores!G:G)</f>
        <v>0</v>
      </c>
      <c r="AN315" s="1095" t="str">
        <f t="shared" si="235"/>
        <v>OK</v>
      </c>
    </row>
    <row r="316" spans="1:40" ht="15.95">
      <c r="A316" s="1090" t="b">
        <f t="shared" si="210"/>
        <v>1</v>
      </c>
      <c r="B316" s="1091" t="b">
        <f t="shared" si="223"/>
        <v>1</v>
      </c>
      <c r="C316" s="1092" t="str">
        <f t="shared" si="224"/>
        <v>Dólares</v>
      </c>
      <c r="D316" s="15"/>
      <c r="E316" s="743"/>
      <c r="F316" s="17"/>
      <c r="G316" s="17" t="str">
        <f t="shared" si="211"/>
        <v xml:space="preserve"> </v>
      </c>
      <c r="H316" s="12">
        <v>0</v>
      </c>
      <c r="I316" s="16" t="str">
        <f>IFERROR(VLOOKUP(G316,Proveedores!B:C,2,0)," ")</f>
        <v xml:space="preserve"> </v>
      </c>
      <c r="J316" s="745">
        <v>0</v>
      </c>
      <c r="K316" s="745" t="str">
        <f t="shared" si="212"/>
        <v>Not Found</v>
      </c>
      <c r="L316" s="16">
        <f>IF(K316="Importado",Fletes!$B$66,0%)</f>
        <v>0</v>
      </c>
      <c r="M316" s="745">
        <f t="shared" si="225"/>
        <v>0</v>
      </c>
      <c r="N316" s="16">
        <f>IF(K316&lt;&gt;"Importado",0%,IF(Fletes!$B$67&lt;10,15%,IF(Fletes!$B$67&lt;20,10%,5%)))</f>
        <v>0</v>
      </c>
      <c r="O316" s="745" t="str">
        <f>IFERROR(IF(OR(F316="Offiho",F316="Lauco Sofas",F316="Requiez",F316="Labenze",F316="Sunon Mty",F316="Sonara"),(M316*(1-_xlfn.XLOOKUP(F316,Proveedores!A:A,Proveedores!I:I)))*(1+N316),((M316*(1-_xlfn.XLOOKUP(F316,Proveedores!A:A,Proveedores!I:I)))*(1+N316))+U316),"")</f>
        <v/>
      </c>
      <c r="P316" s="1031"/>
      <c r="Q316" s="1133">
        <f>IF(K316&lt;&gt;"Importado",0,IF(P316&gt;0,P316*H316,IFERROR(_xlfn.XLOOKUP(F316,Proveedores!A:A,Proveedores!F:F,0)*H316,0)))</f>
        <v>0</v>
      </c>
      <c r="R316" s="1134" t="e">
        <f t="shared" si="226"/>
        <v>#VALUE!</v>
      </c>
      <c r="S316" s="743"/>
      <c r="T316" s="1034" t="e">
        <f t="shared" si="213"/>
        <v>#N/A</v>
      </c>
      <c r="U316" s="1034" t="e">
        <f t="shared" si="227"/>
        <v>#N/A</v>
      </c>
      <c r="V316" s="1165" t="e">
        <f t="shared" si="214"/>
        <v>#N/A</v>
      </c>
      <c r="W316" s="1034" t="e">
        <f t="shared" si="228"/>
        <v>#N/A</v>
      </c>
      <c r="X316" s="1034" t="b">
        <f t="shared" si="229"/>
        <v>0</v>
      </c>
      <c r="Y316" s="1034">
        <f t="shared" si="230"/>
        <v>0</v>
      </c>
      <c r="Z316" s="1034">
        <f t="shared" si="231"/>
        <v>0</v>
      </c>
      <c r="AA316" s="1034">
        <f t="shared" si="215"/>
        <v>0</v>
      </c>
      <c r="AB316" s="1034">
        <f t="shared" si="216"/>
        <v>0</v>
      </c>
      <c r="AC316" s="1033">
        <f t="shared" si="232"/>
        <v>0</v>
      </c>
      <c r="AD316" s="1266">
        <f t="shared" si="217"/>
        <v>0</v>
      </c>
      <c r="AE316" s="1093">
        <f t="shared" si="233"/>
        <v>0</v>
      </c>
      <c r="AF316" s="1093">
        <f t="shared" si="234"/>
        <v>0</v>
      </c>
      <c r="AG316" s="1093">
        <f t="shared" si="218"/>
        <v>0</v>
      </c>
      <c r="AH316" s="1033" t="e">
        <f t="shared" si="219"/>
        <v>#DIV/0!</v>
      </c>
      <c r="AI316" s="1091">
        <f t="shared" si="220"/>
        <v>0</v>
      </c>
      <c r="AJ316" s="1094">
        <f t="shared" si="221"/>
        <v>0</v>
      </c>
      <c r="AK316" s="1053" t="str">
        <f t="shared" si="222"/>
        <v/>
      </c>
      <c r="AL316" s="1053"/>
      <c r="AM316" s="1290">
        <f>_xlfn.XLOOKUP(F316,Proveedores!A:A,Proveedores!G:G)</f>
        <v>0</v>
      </c>
      <c r="AN316" s="1095" t="str">
        <f t="shared" si="235"/>
        <v>OK</v>
      </c>
    </row>
    <row r="317" spans="1:40" ht="15.95">
      <c r="A317" s="1090" t="b">
        <f t="shared" si="210"/>
        <v>1</v>
      </c>
      <c r="B317" s="1091" t="b">
        <f t="shared" si="223"/>
        <v>1</v>
      </c>
      <c r="C317" s="1092" t="str">
        <f t="shared" si="224"/>
        <v>Dólares</v>
      </c>
      <c r="D317" s="14"/>
      <c r="E317" s="743"/>
      <c r="F317" s="17"/>
      <c r="G317" s="17" t="str">
        <f t="shared" si="211"/>
        <v xml:space="preserve"> </v>
      </c>
      <c r="H317" s="12">
        <v>0</v>
      </c>
      <c r="I317" s="16" t="str">
        <f>IFERROR(VLOOKUP(G317,Proveedores!B:C,2,0)," ")</f>
        <v xml:space="preserve"> </v>
      </c>
      <c r="J317" s="745">
        <v>0</v>
      </c>
      <c r="K317" s="745" t="str">
        <f t="shared" si="212"/>
        <v>Not Found</v>
      </c>
      <c r="L317" s="16">
        <f>IF(K317="Importado",Fletes!$B$66,0%)</f>
        <v>0</v>
      </c>
      <c r="M317" s="745">
        <f t="shared" si="225"/>
        <v>0</v>
      </c>
      <c r="N317" s="16">
        <f>IF(K317&lt;&gt;"Importado",0%,IF(Fletes!$B$67&lt;10,15%,IF(Fletes!$B$67&lt;20,10%,5%)))</f>
        <v>0</v>
      </c>
      <c r="O317" s="745" t="str">
        <f>IFERROR(IF(OR(F317="Offiho",F317="Lauco Sofas",F317="Requiez",F317="Labenze",F317="Sunon Mty",F317="Sonara"),(M317*(1-_xlfn.XLOOKUP(F317,Proveedores!A:A,Proveedores!I:I)))*(1+N317),((M317*(1-_xlfn.XLOOKUP(F317,Proveedores!A:A,Proveedores!I:I)))*(1+N317))+U317),"")</f>
        <v/>
      </c>
      <c r="P317" s="1031"/>
      <c r="Q317" s="1133">
        <f>IF(K317&lt;&gt;"Importado",0,IF(P317&gt;0,P317*H317,IFERROR(_xlfn.XLOOKUP(F317,Proveedores!A:A,Proveedores!F:F,0)*H317,0)))</f>
        <v>0</v>
      </c>
      <c r="R317" s="1134" t="e">
        <f t="shared" si="226"/>
        <v>#VALUE!</v>
      </c>
      <c r="S317" s="743"/>
      <c r="T317" s="1034" t="e">
        <f t="shared" si="213"/>
        <v>#N/A</v>
      </c>
      <c r="U317" s="1034" t="e">
        <f t="shared" si="227"/>
        <v>#N/A</v>
      </c>
      <c r="V317" s="1165" t="e">
        <f t="shared" si="214"/>
        <v>#N/A</v>
      </c>
      <c r="W317" s="1034" t="e">
        <f t="shared" si="228"/>
        <v>#N/A</v>
      </c>
      <c r="X317" s="1034" t="b">
        <f t="shared" si="229"/>
        <v>0</v>
      </c>
      <c r="Y317" s="1034">
        <f t="shared" si="230"/>
        <v>0</v>
      </c>
      <c r="Z317" s="1034">
        <f t="shared" si="231"/>
        <v>0</v>
      </c>
      <c r="AA317" s="1034">
        <f t="shared" si="215"/>
        <v>0</v>
      </c>
      <c r="AB317" s="1034">
        <f t="shared" si="216"/>
        <v>0</v>
      </c>
      <c r="AC317" s="1033">
        <f t="shared" si="232"/>
        <v>0</v>
      </c>
      <c r="AD317" s="1266">
        <f t="shared" si="217"/>
        <v>0</v>
      </c>
      <c r="AE317" s="1093">
        <f t="shared" si="233"/>
        <v>0</v>
      </c>
      <c r="AF317" s="1093">
        <f t="shared" si="234"/>
        <v>0</v>
      </c>
      <c r="AG317" s="1093">
        <f t="shared" si="218"/>
        <v>0</v>
      </c>
      <c r="AH317" s="1033" t="e">
        <f t="shared" si="219"/>
        <v>#DIV/0!</v>
      </c>
      <c r="AI317" s="1091">
        <f t="shared" si="220"/>
        <v>0</v>
      </c>
      <c r="AJ317" s="1094">
        <f t="shared" si="221"/>
        <v>0</v>
      </c>
      <c r="AK317" s="1053" t="str">
        <f t="shared" si="222"/>
        <v/>
      </c>
      <c r="AL317" s="1053"/>
      <c r="AM317" s="1290">
        <f>_xlfn.XLOOKUP(F317,Proveedores!A:A,Proveedores!G:G)</f>
        <v>0</v>
      </c>
      <c r="AN317" s="1095" t="str">
        <f t="shared" si="235"/>
        <v>OK</v>
      </c>
    </row>
    <row r="318" spans="1:40" ht="15.95">
      <c r="A318" s="1090" t="b">
        <f t="shared" si="210"/>
        <v>1</v>
      </c>
      <c r="B318" s="1091" t="b">
        <f t="shared" si="223"/>
        <v>1</v>
      </c>
      <c r="C318" s="1092" t="str">
        <f t="shared" si="224"/>
        <v>Dólares</v>
      </c>
      <c r="D318" s="14"/>
      <c r="E318" s="743"/>
      <c r="F318" s="17"/>
      <c r="G318" s="17" t="str">
        <f t="shared" si="211"/>
        <v xml:space="preserve"> </v>
      </c>
      <c r="H318" s="12">
        <v>0</v>
      </c>
      <c r="I318" s="16" t="str">
        <f>IFERROR(VLOOKUP(G318,Proveedores!B:C,2,0)," ")</f>
        <v xml:space="preserve"> </v>
      </c>
      <c r="J318" s="745">
        <v>0</v>
      </c>
      <c r="K318" s="745" t="str">
        <f t="shared" si="212"/>
        <v>Not Found</v>
      </c>
      <c r="L318" s="16">
        <f>IF(K318="Importado",Fletes!$B$66,0%)</f>
        <v>0</v>
      </c>
      <c r="M318" s="745">
        <f t="shared" si="225"/>
        <v>0</v>
      </c>
      <c r="N318" s="16">
        <f>IF(K318&lt;&gt;"Importado",0%,IF(Fletes!$B$67&lt;10,15%,IF(Fletes!$B$67&lt;20,10%,5%)))</f>
        <v>0</v>
      </c>
      <c r="O318" s="745" t="str">
        <f>IFERROR(IF(OR(F318="Offiho",F318="Lauco Sofas",F318="Requiez",F318="Labenze",F318="Sunon Mty",F318="Sonara"),(M318*(1-_xlfn.XLOOKUP(F318,Proveedores!A:A,Proveedores!I:I)))*(1+N318),((M318*(1-_xlfn.XLOOKUP(F318,Proveedores!A:A,Proveedores!I:I)))*(1+N318))+U318),"")</f>
        <v/>
      </c>
      <c r="P318" s="1031"/>
      <c r="Q318" s="1133">
        <f>IF(K318&lt;&gt;"Importado",0,IF(P318&gt;0,P318*H318,IFERROR(_xlfn.XLOOKUP(F318,Proveedores!A:A,Proveedores!F:F,0)*H318,0)))</f>
        <v>0</v>
      </c>
      <c r="R318" s="1134" t="e">
        <f t="shared" si="226"/>
        <v>#VALUE!</v>
      </c>
      <c r="S318" s="743"/>
      <c r="T318" s="1034" t="e">
        <f t="shared" si="213"/>
        <v>#N/A</v>
      </c>
      <c r="U318" s="1034" t="e">
        <f t="shared" si="227"/>
        <v>#N/A</v>
      </c>
      <c r="V318" s="1165" t="e">
        <f t="shared" si="214"/>
        <v>#N/A</v>
      </c>
      <c r="W318" s="1034" t="e">
        <f t="shared" si="228"/>
        <v>#N/A</v>
      </c>
      <c r="X318" s="1034" t="b">
        <f t="shared" si="229"/>
        <v>0</v>
      </c>
      <c r="Y318" s="1034">
        <f t="shared" si="230"/>
        <v>0</v>
      </c>
      <c r="Z318" s="1034">
        <f t="shared" si="231"/>
        <v>0</v>
      </c>
      <c r="AA318" s="1034">
        <f t="shared" si="215"/>
        <v>0</v>
      </c>
      <c r="AB318" s="1034">
        <f t="shared" si="216"/>
        <v>0</v>
      </c>
      <c r="AC318" s="1033">
        <f t="shared" si="232"/>
        <v>0</v>
      </c>
      <c r="AD318" s="1266">
        <f t="shared" si="217"/>
        <v>0</v>
      </c>
      <c r="AE318" s="1093">
        <f t="shared" si="233"/>
        <v>0</v>
      </c>
      <c r="AF318" s="1093">
        <f t="shared" si="234"/>
        <v>0</v>
      </c>
      <c r="AG318" s="1093">
        <f t="shared" si="218"/>
        <v>0</v>
      </c>
      <c r="AH318" s="1033" t="e">
        <f t="shared" si="219"/>
        <v>#DIV/0!</v>
      </c>
      <c r="AI318" s="1091">
        <f t="shared" si="220"/>
        <v>0</v>
      </c>
      <c r="AJ318" s="1094">
        <f t="shared" si="221"/>
        <v>0</v>
      </c>
      <c r="AK318" s="1053" t="str">
        <f t="shared" si="222"/>
        <v/>
      </c>
      <c r="AL318" s="1053"/>
      <c r="AM318" s="1290">
        <f>_xlfn.XLOOKUP(F318,Proveedores!A:A,Proveedores!G:G)</f>
        <v>0</v>
      </c>
      <c r="AN318" s="1095" t="str">
        <f t="shared" si="235"/>
        <v>OK</v>
      </c>
    </row>
    <row r="319" spans="1:40" ht="15.95">
      <c r="A319" s="1090" t="b">
        <f t="shared" si="210"/>
        <v>1</v>
      </c>
      <c r="B319" s="1091" t="b">
        <f t="shared" si="223"/>
        <v>1</v>
      </c>
      <c r="C319" s="1092" t="str">
        <f t="shared" si="224"/>
        <v>Dólares</v>
      </c>
      <c r="D319" s="14"/>
      <c r="E319" s="743"/>
      <c r="F319" s="17"/>
      <c r="G319" s="17" t="str">
        <f t="shared" si="211"/>
        <v xml:space="preserve"> </v>
      </c>
      <c r="H319" s="12">
        <v>0</v>
      </c>
      <c r="I319" s="16" t="str">
        <f>IFERROR(VLOOKUP(G319,Proveedores!B:C,2,0)," ")</f>
        <v xml:space="preserve"> </v>
      </c>
      <c r="J319" s="745">
        <v>0</v>
      </c>
      <c r="K319" s="745" t="str">
        <f t="shared" si="212"/>
        <v>Not Found</v>
      </c>
      <c r="L319" s="16">
        <f>IF(K319="Importado",Fletes!$B$66,0%)</f>
        <v>0</v>
      </c>
      <c r="M319" s="745">
        <f t="shared" si="225"/>
        <v>0</v>
      </c>
      <c r="N319" s="16">
        <f>IF(K319&lt;&gt;"Importado",0%,IF(Fletes!$B$67&lt;10,15%,IF(Fletes!$B$67&lt;20,10%,5%)))</f>
        <v>0</v>
      </c>
      <c r="O319" s="745" t="str">
        <f>IFERROR(IF(OR(F319="Offiho",F319="Lauco Sofas",F319="Requiez",F319="Labenze",F319="Sunon Mty",F319="Sonara"),(M319*(1-_xlfn.XLOOKUP(F319,Proveedores!A:A,Proveedores!I:I)))*(1+N319),((M319*(1-_xlfn.XLOOKUP(F319,Proveedores!A:A,Proveedores!I:I)))*(1+N319))+U319),"")</f>
        <v/>
      </c>
      <c r="P319" s="1031"/>
      <c r="Q319" s="1133">
        <f>IF(K319&lt;&gt;"Importado",0,IF(P319&gt;0,P319*H319,IFERROR(_xlfn.XLOOKUP(F319,Proveedores!A:A,Proveedores!F:F,0)*H319,0)))</f>
        <v>0</v>
      </c>
      <c r="R319" s="1134" t="e">
        <f t="shared" si="226"/>
        <v>#VALUE!</v>
      </c>
      <c r="S319" s="743"/>
      <c r="T319" s="1034" t="e">
        <f t="shared" si="213"/>
        <v>#N/A</v>
      </c>
      <c r="U319" s="1034" t="e">
        <f t="shared" si="227"/>
        <v>#N/A</v>
      </c>
      <c r="V319" s="1165" t="e">
        <f t="shared" si="214"/>
        <v>#N/A</v>
      </c>
      <c r="W319" s="1034" t="e">
        <f t="shared" si="228"/>
        <v>#N/A</v>
      </c>
      <c r="X319" s="1034" t="b">
        <f t="shared" si="229"/>
        <v>0</v>
      </c>
      <c r="Y319" s="1034">
        <f t="shared" si="230"/>
        <v>0</v>
      </c>
      <c r="Z319" s="1034">
        <f t="shared" si="231"/>
        <v>0</v>
      </c>
      <c r="AA319" s="1034">
        <f t="shared" si="215"/>
        <v>0</v>
      </c>
      <c r="AB319" s="1034">
        <f t="shared" si="216"/>
        <v>0</v>
      </c>
      <c r="AC319" s="1033">
        <f t="shared" si="232"/>
        <v>0</v>
      </c>
      <c r="AD319" s="1266">
        <f t="shared" si="217"/>
        <v>0</v>
      </c>
      <c r="AE319" s="1093">
        <f t="shared" si="233"/>
        <v>0</v>
      </c>
      <c r="AF319" s="1093">
        <f t="shared" si="234"/>
        <v>0</v>
      </c>
      <c r="AG319" s="1093">
        <f t="shared" si="218"/>
        <v>0</v>
      </c>
      <c r="AH319" s="1033" t="e">
        <f t="shared" si="219"/>
        <v>#DIV/0!</v>
      </c>
      <c r="AI319" s="1091">
        <f t="shared" si="220"/>
        <v>0</v>
      </c>
      <c r="AJ319" s="1094">
        <f t="shared" si="221"/>
        <v>0</v>
      </c>
      <c r="AK319" s="1053" t="str">
        <f t="shared" si="222"/>
        <v/>
      </c>
      <c r="AL319" s="1053"/>
      <c r="AM319" s="1290">
        <f>_xlfn.XLOOKUP(F319,Proveedores!A:A,Proveedores!G:G)</f>
        <v>0</v>
      </c>
      <c r="AN319" s="1095" t="str">
        <f t="shared" si="235"/>
        <v>OK</v>
      </c>
    </row>
    <row r="320" spans="1:40" ht="15.95">
      <c r="A320" s="1090" t="b">
        <f t="shared" si="210"/>
        <v>1</v>
      </c>
      <c r="B320" s="1091" t="b">
        <f t="shared" si="223"/>
        <v>1</v>
      </c>
      <c r="C320" s="1092" t="str">
        <f t="shared" si="224"/>
        <v>Dólares</v>
      </c>
      <c r="D320" s="15"/>
      <c r="E320" s="743"/>
      <c r="F320" s="17"/>
      <c r="G320" s="17" t="str">
        <f t="shared" si="211"/>
        <v xml:space="preserve"> </v>
      </c>
      <c r="H320" s="12">
        <v>0</v>
      </c>
      <c r="I320" s="16" t="str">
        <f>IFERROR(VLOOKUP(G320,Proveedores!B:C,2,0)," ")</f>
        <v xml:space="preserve"> </v>
      </c>
      <c r="J320" s="745">
        <v>0</v>
      </c>
      <c r="K320" s="745" t="str">
        <f t="shared" si="212"/>
        <v>Not Found</v>
      </c>
      <c r="L320" s="16">
        <f>IF(K320="Importado",Fletes!$B$66,0%)</f>
        <v>0</v>
      </c>
      <c r="M320" s="745">
        <f t="shared" si="225"/>
        <v>0</v>
      </c>
      <c r="N320" s="16">
        <f>IF(K320&lt;&gt;"Importado",0%,IF(Fletes!$B$67&lt;10,15%,IF(Fletes!$B$67&lt;20,10%,5%)))</f>
        <v>0</v>
      </c>
      <c r="O320" s="745" t="str">
        <f>IFERROR(IF(OR(F320="Offiho",F320="Lauco Sofas",F320="Requiez",F320="Labenze",F320="Sunon Mty",F320="Sonara"),(M320*(1-_xlfn.XLOOKUP(F320,Proveedores!A:A,Proveedores!I:I)))*(1+N320),((M320*(1-_xlfn.XLOOKUP(F320,Proveedores!A:A,Proveedores!I:I)))*(1+N320))+U320),"")</f>
        <v/>
      </c>
      <c r="P320" s="1031"/>
      <c r="Q320" s="1133">
        <f>IF(K320&lt;&gt;"Importado",0,IF(P320&gt;0,P320*H320,IFERROR(_xlfn.XLOOKUP(F320,Proveedores!A:A,Proveedores!F:F,0)*H320,0)))</f>
        <v>0</v>
      </c>
      <c r="R320" s="1134" t="e">
        <f t="shared" si="226"/>
        <v>#VALUE!</v>
      </c>
      <c r="S320" s="743"/>
      <c r="T320" s="1034" t="e">
        <f t="shared" si="213"/>
        <v>#N/A</v>
      </c>
      <c r="U320" s="1034" t="e">
        <f t="shared" si="227"/>
        <v>#N/A</v>
      </c>
      <c r="V320" s="1165" t="e">
        <f t="shared" si="214"/>
        <v>#N/A</v>
      </c>
      <c r="W320" s="1034" t="e">
        <f t="shared" si="228"/>
        <v>#N/A</v>
      </c>
      <c r="X320" s="1034" t="b">
        <f t="shared" si="229"/>
        <v>0</v>
      </c>
      <c r="Y320" s="1034">
        <f t="shared" si="230"/>
        <v>0</v>
      </c>
      <c r="Z320" s="1034">
        <f t="shared" si="231"/>
        <v>0</v>
      </c>
      <c r="AA320" s="1034">
        <f t="shared" si="215"/>
        <v>0</v>
      </c>
      <c r="AB320" s="1034">
        <f t="shared" si="216"/>
        <v>0</v>
      </c>
      <c r="AC320" s="1033">
        <f t="shared" si="232"/>
        <v>0</v>
      </c>
      <c r="AD320" s="1266">
        <f t="shared" si="217"/>
        <v>0</v>
      </c>
      <c r="AE320" s="1093">
        <f t="shared" si="233"/>
        <v>0</v>
      </c>
      <c r="AF320" s="1093">
        <f t="shared" si="234"/>
        <v>0</v>
      </c>
      <c r="AG320" s="1093">
        <f t="shared" si="218"/>
        <v>0</v>
      </c>
      <c r="AH320" s="1033" t="e">
        <f t="shared" si="219"/>
        <v>#DIV/0!</v>
      </c>
      <c r="AI320" s="1091">
        <f t="shared" si="220"/>
        <v>0</v>
      </c>
      <c r="AJ320" s="1094">
        <f t="shared" si="221"/>
        <v>0</v>
      </c>
      <c r="AK320" s="1053" t="str">
        <f t="shared" si="222"/>
        <v/>
      </c>
      <c r="AL320" s="1053"/>
      <c r="AM320" s="1290">
        <f>_xlfn.XLOOKUP(F320,Proveedores!A:A,Proveedores!G:G)</f>
        <v>0</v>
      </c>
      <c r="AN320" s="1095" t="str">
        <f t="shared" si="235"/>
        <v>OK</v>
      </c>
    </row>
    <row r="321" spans="1:40" ht="15.95">
      <c r="A321" s="1090" t="b">
        <f t="shared" si="210"/>
        <v>1</v>
      </c>
      <c r="B321" s="1091" t="b">
        <f t="shared" si="223"/>
        <v>1</v>
      </c>
      <c r="C321" s="1092" t="str">
        <f t="shared" si="224"/>
        <v>Dólares</v>
      </c>
      <c r="D321" s="15"/>
      <c r="E321" s="743"/>
      <c r="F321" s="17"/>
      <c r="G321" s="17" t="str">
        <f t="shared" si="211"/>
        <v xml:space="preserve"> </v>
      </c>
      <c r="H321" s="12">
        <v>0</v>
      </c>
      <c r="I321" s="16" t="str">
        <f>IFERROR(VLOOKUP(G321,Proveedores!B:C,2,0)," ")</f>
        <v xml:space="preserve"> </v>
      </c>
      <c r="J321" s="745">
        <v>0</v>
      </c>
      <c r="K321" s="745" t="str">
        <f t="shared" si="212"/>
        <v>Not Found</v>
      </c>
      <c r="L321" s="16">
        <f>IF(K321="Importado",Fletes!$B$66,0%)</f>
        <v>0</v>
      </c>
      <c r="M321" s="745">
        <f t="shared" si="225"/>
        <v>0</v>
      </c>
      <c r="N321" s="16">
        <f>IF(K321&lt;&gt;"Importado",0%,IF(Fletes!$B$67&lt;10,15%,IF(Fletes!$B$67&lt;20,10%,5%)))</f>
        <v>0</v>
      </c>
      <c r="O321" s="745" t="str">
        <f>IFERROR(IF(OR(F321="Offiho",F321="Lauco Sofas",F321="Requiez",F321="Labenze",F321="Sunon Mty",F321="Sonara"),(M321*(1-_xlfn.XLOOKUP(F321,Proveedores!A:A,Proveedores!I:I)))*(1+N321),((M321*(1-_xlfn.XLOOKUP(F321,Proveedores!A:A,Proveedores!I:I)))*(1+N321))+U321),"")</f>
        <v/>
      </c>
      <c r="P321" s="1031"/>
      <c r="Q321" s="1133">
        <f>IF(K321&lt;&gt;"Importado",0,IF(P321&gt;0,P321*H321,IFERROR(_xlfn.XLOOKUP(F321,Proveedores!A:A,Proveedores!F:F,0)*H321,0)))</f>
        <v>0</v>
      </c>
      <c r="R321" s="1134" t="e">
        <f t="shared" si="226"/>
        <v>#VALUE!</v>
      </c>
      <c r="S321" s="743"/>
      <c r="T321" s="1034" t="e">
        <f t="shared" si="213"/>
        <v>#N/A</v>
      </c>
      <c r="U321" s="1034" t="e">
        <f t="shared" si="227"/>
        <v>#N/A</v>
      </c>
      <c r="V321" s="1165" t="e">
        <f t="shared" si="214"/>
        <v>#N/A</v>
      </c>
      <c r="W321" s="1034" t="e">
        <f t="shared" si="228"/>
        <v>#N/A</v>
      </c>
      <c r="X321" s="1034" t="b">
        <f t="shared" si="229"/>
        <v>0</v>
      </c>
      <c r="Y321" s="1034">
        <f t="shared" si="230"/>
        <v>0</v>
      </c>
      <c r="Z321" s="1034">
        <f t="shared" si="231"/>
        <v>0</v>
      </c>
      <c r="AA321" s="1034">
        <f t="shared" si="215"/>
        <v>0</v>
      </c>
      <c r="AB321" s="1034">
        <f t="shared" si="216"/>
        <v>0</v>
      </c>
      <c r="AC321" s="1033">
        <f t="shared" si="232"/>
        <v>0</v>
      </c>
      <c r="AD321" s="1266">
        <f t="shared" si="217"/>
        <v>0</v>
      </c>
      <c r="AE321" s="1093">
        <f t="shared" si="233"/>
        <v>0</v>
      </c>
      <c r="AF321" s="1093">
        <f t="shared" si="234"/>
        <v>0</v>
      </c>
      <c r="AG321" s="1093">
        <f t="shared" si="218"/>
        <v>0</v>
      </c>
      <c r="AH321" s="1033" t="e">
        <f t="shared" si="219"/>
        <v>#DIV/0!</v>
      </c>
      <c r="AI321" s="1091">
        <f t="shared" si="220"/>
        <v>0</v>
      </c>
      <c r="AJ321" s="1094">
        <f t="shared" si="221"/>
        <v>0</v>
      </c>
      <c r="AK321" s="1053" t="str">
        <f t="shared" si="222"/>
        <v/>
      </c>
      <c r="AL321" s="1053"/>
      <c r="AM321" s="1290">
        <f>_xlfn.XLOOKUP(F321,Proveedores!A:A,Proveedores!G:G)</f>
        <v>0</v>
      </c>
      <c r="AN321" s="1095" t="str">
        <f t="shared" si="235"/>
        <v>OK</v>
      </c>
    </row>
    <row r="322" spans="1:40" ht="15.95">
      <c r="A322" s="1090" t="b">
        <f t="shared" si="210"/>
        <v>1</v>
      </c>
      <c r="B322" s="1091" t="b">
        <f t="shared" si="223"/>
        <v>1</v>
      </c>
      <c r="C322" s="1092" t="str">
        <f t="shared" si="224"/>
        <v>Dólares</v>
      </c>
      <c r="D322" s="14"/>
      <c r="E322" s="743"/>
      <c r="F322" s="17"/>
      <c r="G322" s="17" t="str">
        <f t="shared" si="211"/>
        <v xml:space="preserve"> </v>
      </c>
      <c r="H322" s="12">
        <v>0</v>
      </c>
      <c r="I322" s="16" t="str">
        <f>IFERROR(VLOOKUP(G322,Proveedores!B:C,2,0)," ")</f>
        <v xml:space="preserve"> </v>
      </c>
      <c r="J322" s="745">
        <v>0</v>
      </c>
      <c r="K322" s="745" t="str">
        <f t="shared" si="212"/>
        <v>Not Found</v>
      </c>
      <c r="L322" s="16">
        <f>IF(K322="Importado",Fletes!$B$66,0%)</f>
        <v>0</v>
      </c>
      <c r="M322" s="745">
        <f t="shared" si="225"/>
        <v>0</v>
      </c>
      <c r="N322" s="16">
        <f>IF(K322&lt;&gt;"Importado",0%,IF(Fletes!$B$67&lt;10,15%,IF(Fletes!$B$67&lt;20,10%,5%)))</f>
        <v>0</v>
      </c>
      <c r="O322" s="745" t="str">
        <f>IFERROR(IF(OR(F322="Offiho",F322="Lauco Sofas",F322="Requiez",F322="Labenze",F322="Sunon Mty",F322="Sonara"),(M322*(1-_xlfn.XLOOKUP(F322,Proveedores!A:A,Proveedores!I:I)))*(1+N322),((M322*(1-_xlfn.XLOOKUP(F322,Proveedores!A:A,Proveedores!I:I)))*(1+N322))+U322),"")</f>
        <v/>
      </c>
      <c r="P322" s="1031"/>
      <c r="Q322" s="1133">
        <f>IF(K322&lt;&gt;"Importado",0,IF(P322&gt;0,P322*H322,IFERROR(_xlfn.XLOOKUP(F322,Proveedores!A:A,Proveedores!F:F,0)*H322,0)))</f>
        <v>0</v>
      </c>
      <c r="R322" s="1134" t="e">
        <f t="shared" si="226"/>
        <v>#VALUE!</v>
      </c>
      <c r="S322" s="743"/>
      <c r="T322" s="1034" t="e">
        <f t="shared" si="213"/>
        <v>#N/A</v>
      </c>
      <c r="U322" s="1034" t="e">
        <f t="shared" si="227"/>
        <v>#N/A</v>
      </c>
      <c r="V322" s="1165" t="e">
        <f t="shared" si="214"/>
        <v>#N/A</v>
      </c>
      <c r="W322" s="1034" t="e">
        <f t="shared" si="228"/>
        <v>#N/A</v>
      </c>
      <c r="X322" s="1034" t="b">
        <f t="shared" si="229"/>
        <v>0</v>
      </c>
      <c r="Y322" s="1034">
        <f t="shared" si="230"/>
        <v>0</v>
      </c>
      <c r="Z322" s="1034">
        <f t="shared" si="231"/>
        <v>0</v>
      </c>
      <c r="AA322" s="1034">
        <f t="shared" si="215"/>
        <v>0</v>
      </c>
      <c r="AB322" s="1034">
        <f t="shared" si="216"/>
        <v>0</v>
      </c>
      <c r="AC322" s="1033">
        <f t="shared" si="232"/>
        <v>0</v>
      </c>
      <c r="AD322" s="1266">
        <f t="shared" si="217"/>
        <v>0</v>
      </c>
      <c r="AE322" s="1093">
        <f t="shared" si="233"/>
        <v>0</v>
      </c>
      <c r="AF322" s="1093">
        <f t="shared" si="234"/>
        <v>0</v>
      </c>
      <c r="AG322" s="1093">
        <f t="shared" si="218"/>
        <v>0</v>
      </c>
      <c r="AH322" s="1033" t="e">
        <f t="shared" si="219"/>
        <v>#DIV/0!</v>
      </c>
      <c r="AI322" s="1091">
        <f t="shared" si="220"/>
        <v>0</v>
      </c>
      <c r="AJ322" s="1094">
        <f t="shared" si="221"/>
        <v>0</v>
      </c>
      <c r="AK322" s="1053" t="str">
        <f t="shared" si="222"/>
        <v/>
      </c>
      <c r="AL322" s="1053"/>
      <c r="AM322" s="1290">
        <f>_xlfn.XLOOKUP(F322,Proveedores!A:A,Proveedores!G:G)</f>
        <v>0</v>
      </c>
      <c r="AN322" s="1095" t="str">
        <f t="shared" si="235"/>
        <v>OK</v>
      </c>
    </row>
    <row r="323" spans="1:40" ht="15.95">
      <c r="A323" s="1090" t="b">
        <f t="shared" si="210"/>
        <v>1</v>
      </c>
      <c r="B323" s="1091" t="b">
        <f t="shared" si="223"/>
        <v>1</v>
      </c>
      <c r="C323" s="1092" t="str">
        <f t="shared" si="224"/>
        <v>Dólares</v>
      </c>
      <c r="D323" s="14"/>
      <c r="E323" s="743"/>
      <c r="F323" s="17"/>
      <c r="G323" s="17" t="str">
        <f t="shared" si="211"/>
        <v xml:space="preserve"> </v>
      </c>
      <c r="H323" s="12">
        <v>0</v>
      </c>
      <c r="I323" s="16" t="str">
        <f>IFERROR(VLOOKUP(G323,Proveedores!B:C,2,0)," ")</f>
        <v xml:space="preserve"> </v>
      </c>
      <c r="J323" s="745">
        <v>0</v>
      </c>
      <c r="K323" s="745" t="str">
        <f t="shared" si="212"/>
        <v>Not Found</v>
      </c>
      <c r="L323" s="16">
        <f>IF(K323="Importado",Fletes!$B$66,0%)</f>
        <v>0</v>
      </c>
      <c r="M323" s="745">
        <f t="shared" si="225"/>
        <v>0</v>
      </c>
      <c r="N323" s="16">
        <f>IF(K323&lt;&gt;"Importado",0%,IF(Fletes!$B$67&lt;10,15%,IF(Fletes!$B$67&lt;20,10%,5%)))</f>
        <v>0</v>
      </c>
      <c r="O323" s="745" t="str">
        <f>IFERROR(IF(OR(F323="Offiho",F323="Lauco Sofas",F323="Requiez",F323="Labenze",F323="Sunon Mty",F323="Sonara"),(M323*(1-_xlfn.XLOOKUP(F323,Proveedores!A:A,Proveedores!I:I)))*(1+N323),((M323*(1-_xlfn.XLOOKUP(F323,Proveedores!A:A,Proveedores!I:I)))*(1+N323))+U323),"")</f>
        <v/>
      </c>
      <c r="P323" s="1031"/>
      <c r="Q323" s="1133">
        <f>IF(K323&lt;&gt;"Importado",0,IF(P323&gt;0,P323*H323,IFERROR(_xlfn.XLOOKUP(F323,Proveedores!A:A,Proveedores!F:F,0)*H323,0)))</f>
        <v>0</v>
      </c>
      <c r="R323" s="1134" t="e">
        <f t="shared" si="226"/>
        <v>#VALUE!</v>
      </c>
      <c r="S323" s="743"/>
      <c r="T323" s="1034" t="e">
        <f t="shared" si="213"/>
        <v>#N/A</v>
      </c>
      <c r="U323" s="1034" t="e">
        <f t="shared" si="227"/>
        <v>#N/A</v>
      </c>
      <c r="V323" s="1165" t="e">
        <f t="shared" si="214"/>
        <v>#N/A</v>
      </c>
      <c r="W323" s="1034" t="e">
        <f t="shared" si="228"/>
        <v>#N/A</v>
      </c>
      <c r="X323" s="1034" t="b">
        <f t="shared" si="229"/>
        <v>0</v>
      </c>
      <c r="Y323" s="1034">
        <f t="shared" si="230"/>
        <v>0</v>
      </c>
      <c r="Z323" s="1034">
        <f t="shared" si="231"/>
        <v>0</v>
      </c>
      <c r="AA323" s="1034">
        <f t="shared" si="215"/>
        <v>0</v>
      </c>
      <c r="AB323" s="1034">
        <f t="shared" si="216"/>
        <v>0</v>
      </c>
      <c r="AC323" s="1033">
        <f t="shared" si="232"/>
        <v>0</v>
      </c>
      <c r="AD323" s="1266">
        <f t="shared" si="217"/>
        <v>0</v>
      </c>
      <c r="AE323" s="1093">
        <f t="shared" si="233"/>
        <v>0</v>
      </c>
      <c r="AF323" s="1093">
        <f t="shared" si="234"/>
        <v>0</v>
      </c>
      <c r="AG323" s="1093">
        <f t="shared" si="218"/>
        <v>0</v>
      </c>
      <c r="AH323" s="1033" t="e">
        <f t="shared" si="219"/>
        <v>#DIV/0!</v>
      </c>
      <c r="AI323" s="1091">
        <f t="shared" si="220"/>
        <v>0</v>
      </c>
      <c r="AJ323" s="1094">
        <f t="shared" si="221"/>
        <v>0</v>
      </c>
      <c r="AK323" s="1053" t="str">
        <f t="shared" si="222"/>
        <v/>
      </c>
      <c r="AL323" s="1053"/>
      <c r="AM323" s="1290">
        <f>_xlfn.XLOOKUP(F323,Proveedores!A:A,Proveedores!G:G)</f>
        <v>0</v>
      </c>
      <c r="AN323" s="1095" t="str">
        <f t="shared" si="235"/>
        <v>OK</v>
      </c>
    </row>
    <row r="324" spans="1:40" ht="15.95">
      <c r="A324" s="1090" t="b">
        <f t="shared" si="210"/>
        <v>1</v>
      </c>
      <c r="B324" s="1091" t="b">
        <f t="shared" si="223"/>
        <v>1</v>
      </c>
      <c r="C324" s="1092" t="str">
        <f t="shared" si="224"/>
        <v>Dólares</v>
      </c>
      <c r="D324" s="14"/>
      <c r="E324" s="743"/>
      <c r="F324" s="17"/>
      <c r="G324" s="17" t="str">
        <f t="shared" si="211"/>
        <v xml:space="preserve"> </v>
      </c>
      <c r="H324" s="12">
        <v>0</v>
      </c>
      <c r="I324" s="16" t="str">
        <f>IFERROR(VLOOKUP(G324,Proveedores!B:C,2,0)," ")</f>
        <v xml:space="preserve"> </v>
      </c>
      <c r="J324" s="745">
        <v>0</v>
      </c>
      <c r="K324" s="745" t="str">
        <f t="shared" si="212"/>
        <v>Not Found</v>
      </c>
      <c r="L324" s="16">
        <f>IF(K324="Importado",Fletes!$B$66,0%)</f>
        <v>0</v>
      </c>
      <c r="M324" s="745">
        <f t="shared" si="225"/>
        <v>0</v>
      </c>
      <c r="N324" s="16">
        <f>IF(K324&lt;&gt;"Importado",0%,IF(Fletes!$B$67&lt;10,15%,IF(Fletes!$B$67&lt;20,10%,5%)))</f>
        <v>0</v>
      </c>
      <c r="O324" s="745" t="str">
        <f>IFERROR(IF(OR(F324="Offiho",F324="Lauco Sofas",F324="Requiez",F324="Labenze",F324="Sunon Mty",F324="Sonara"),(M324*(1-_xlfn.XLOOKUP(F324,Proveedores!A:A,Proveedores!I:I)))*(1+N324),((M324*(1-_xlfn.XLOOKUP(F324,Proveedores!A:A,Proveedores!I:I)))*(1+N324))+U324),"")</f>
        <v/>
      </c>
      <c r="P324" s="1031"/>
      <c r="Q324" s="1133">
        <f>IF(K324&lt;&gt;"Importado",0,IF(P324&gt;0,P324*H324,IFERROR(_xlfn.XLOOKUP(F324,Proveedores!A:A,Proveedores!F:F,0)*H324,0)))</f>
        <v>0</v>
      </c>
      <c r="R324" s="1134" t="e">
        <f t="shared" si="226"/>
        <v>#VALUE!</v>
      </c>
      <c r="S324" s="743"/>
      <c r="T324" s="1034" t="e">
        <f t="shared" si="213"/>
        <v>#N/A</v>
      </c>
      <c r="U324" s="1034" t="e">
        <f t="shared" si="227"/>
        <v>#N/A</v>
      </c>
      <c r="V324" s="1165" t="e">
        <f t="shared" si="214"/>
        <v>#N/A</v>
      </c>
      <c r="W324" s="1034" t="e">
        <f t="shared" si="228"/>
        <v>#N/A</v>
      </c>
      <c r="X324" s="1034" t="b">
        <f t="shared" si="229"/>
        <v>0</v>
      </c>
      <c r="Y324" s="1034">
        <f t="shared" si="230"/>
        <v>0</v>
      </c>
      <c r="Z324" s="1034">
        <f t="shared" si="231"/>
        <v>0</v>
      </c>
      <c r="AA324" s="1034">
        <f t="shared" si="215"/>
        <v>0</v>
      </c>
      <c r="AB324" s="1034">
        <f t="shared" si="216"/>
        <v>0</v>
      </c>
      <c r="AC324" s="1033">
        <f t="shared" si="232"/>
        <v>0</v>
      </c>
      <c r="AD324" s="1266">
        <f t="shared" si="217"/>
        <v>0</v>
      </c>
      <c r="AE324" s="1093">
        <f t="shared" si="233"/>
        <v>0</v>
      </c>
      <c r="AF324" s="1093">
        <f t="shared" si="234"/>
        <v>0</v>
      </c>
      <c r="AG324" s="1093">
        <f t="shared" si="218"/>
        <v>0</v>
      </c>
      <c r="AH324" s="1033" t="e">
        <f t="shared" si="219"/>
        <v>#DIV/0!</v>
      </c>
      <c r="AI324" s="1091">
        <f t="shared" si="220"/>
        <v>0</v>
      </c>
      <c r="AJ324" s="1094">
        <f t="shared" si="221"/>
        <v>0</v>
      </c>
      <c r="AK324" s="1053" t="str">
        <f t="shared" si="222"/>
        <v/>
      </c>
      <c r="AL324" s="1053"/>
      <c r="AM324" s="1290">
        <f>_xlfn.XLOOKUP(F324,Proveedores!A:A,Proveedores!G:G)</f>
        <v>0</v>
      </c>
      <c r="AN324" s="1095" t="str">
        <f t="shared" si="235"/>
        <v>OK</v>
      </c>
    </row>
    <row r="325" spans="1:40" ht="15.95">
      <c r="A325" s="1090" t="b">
        <f t="shared" si="210"/>
        <v>1</v>
      </c>
      <c r="B325" s="1091" t="b">
        <f t="shared" si="223"/>
        <v>1</v>
      </c>
      <c r="C325" s="1092" t="str">
        <f t="shared" si="224"/>
        <v>Dólares</v>
      </c>
      <c r="D325" s="14"/>
      <c r="E325" s="743"/>
      <c r="F325" s="17"/>
      <c r="G325" s="17" t="str">
        <f t="shared" si="211"/>
        <v xml:space="preserve"> </v>
      </c>
      <c r="H325" s="12">
        <v>0</v>
      </c>
      <c r="I325" s="16" t="str">
        <f>IFERROR(VLOOKUP(G325,Proveedores!B:C,2,0)," ")</f>
        <v xml:space="preserve"> </v>
      </c>
      <c r="J325" s="745">
        <v>0</v>
      </c>
      <c r="K325" s="745" t="str">
        <f t="shared" si="212"/>
        <v>Not Found</v>
      </c>
      <c r="L325" s="16">
        <f>IF(K325="Importado",Fletes!$B$66,0%)</f>
        <v>0</v>
      </c>
      <c r="M325" s="745">
        <f t="shared" si="225"/>
        <v>0</v>
      </c>
      <c r="N325" s="16">
        <f>IF(K325&lt;&gt;"Importado",0%,IF(Fletes!$B$67&lt;10,15%,IF(Fletes!$B$67&lt;20,10%,5%)))</f>
        <v>0</v>
      </c>
      <c r="O325" s="745" t="str">
        <f>IFERROR(IF(OR(F325="Offiho",F325="Lauco Sofas",F325="Requiez",F325="Labenze",F325="Sunon Mty",F325="Sonara"),(M325*(1-_xlfn.XLOOKUP(F325,Proveedores!A:A,Proveedores!I:I)))*(1+N325),((M325*(1-_xlfn.XLOOKUP(F325,Proveedores!A:A,Proveedores!I:I)))*(1+N325))+U325),"")</f>
        <v/>
      </c>
      <c r="P325" s="1031"/>
      <c r="Q325" s="1133">
        <f>IF(K325&lt;&gt;"Importado",0,IF(P325&gt;0,P325*H325,IFERROR(_xlfn.XLOOKUP(F325,Proveedores!A:A,Proveedores!F:F,0)*H325,0)))</f>
        <v>0</v>
      </c>
      <c r="R325" s="1134" t="e">
        <f t="shared" si="226"/>
        <v>#VALUE!</v>
      </c>
      <c r="S325" s="743"/>
      <c r="T325" s="1034" t="e">
        <f t="shared" si="213"/>
        <v>#N/A</v>
      </c>
      <c r="U325" s="1034" t="e">
        <f t="shared" si="227"/>
        <v>#N/A</v>
      </c>
      <c r="V325" s="1165" t="e">
        <f t="shared" si="214"/>
        <v>#N/A</v>
      </c>
      <c r="W325" s="1034" t="e">
        <f t="shared" si="228"/>
        <v>#N/A</v>
      </c>
      <c r="X325" s="1034" t="b">
        <f t="shared" si="229"/>
        <v>0</v>
      </c>
      <c r="Y325" s="1034">
        <f t="shared" si="230"/>
        <v>0</v>
      </c>
      <c r="Z325" s="1034">
        <f t="shared" si="231"/>
        <v>0</v>
      </c>
      <c r="AA325" s="1034">
        <f t="shared" si="215"/>
        <v>0</v>
      </c>
      <c r="AB325" s="1034">
        <f t="shared" si="216"/>
        <v>0</v>
      </c>
      <c r="AC325" s="1033">
        <f t="shared" si="232"/>
        <v>0</v>
      </c>
      <c r="AD325" s="1266">
        <f t="shared" si="217"/>
        <v>0</v>
      </c>
      <c r="AE325" s="1093">
        <f t="shared" si="233"/>
        <v>0</v>
      </c>
      <c r="AF325" s="1093">
        <f t="shared" si="234"/>
        <v>0</v>
      </c>
      <c r="AG325" s="1093">
        <f t="shared" si="218"/>
        <v>0</v>
      </c>
      <c r="AH325" s="1033" t="e">
        <f t="shared" si="219"/>
        <v>#DIV/0!</v>
      </c>
      <c r="AI325" s="1091">
        <f t="shared" si="220"/>
        <v>0</v>
      </c>
      <c r="AJ325" s="1094">
        <f t="shared" si="221"/>
        <v>0</v>
      </c>
      <c r="AK325" s="1053" t="str">
        <f t="shared" si="222"/>
        <v/>
      </c>
      <c r="AL325" s="1053"/>
      <c r="AM325" s="1290">
        <f>_xlfn.XLOOKUP(F325,Proveedores!A:A,Proveedores!G:G)</f>
        <v>0</v>
      </c>
      <c r="AN325" s="1095" t="str">
        <f t="shared" si="235"/>
        <v>OK</v>
      </c>
    </row>
    <row r="326" spans="1:40" ht="15.95">
      <c r="A326" s="1090" t="b">
        <f t="shared" si="210"/>
        <v>1</v>
      </c>
      <c r="B326" s="1091" t="b">
        <f t="shared" si="223"/>
        <v>1</v>
      </c>
      <c r="C326" s="1092" t="str">
        <f t="shared" si="224"/>
        <v>Dólares</v>
      </c>
      <c r="D326" s="14"/>
      <c r="E326" s="743"/>
      <c r="F326" s="17"/>
      <c r="G326" s="17" t="str">
        <f t="shared" si="211"/>
        <v xml:space="preserve"> </v>
      </c>
      <c r="H326" s="12">
        <v>0</v>
      </c>
      <c r="I326" s="16" t="str">
        <f>IFERROR(VLOOKUP(G326,Proveedores!B:C,2,0)," ")</f>
        <v xml:space="preserve"> </v>
      </c>
      <c r="J326" s="745">
        <v>0</v>
      </c>
      <c r="K326" s="745" t="str">
        <f t="shared" si="212"/>
        <v>Not Found</v>
      </c>
      <c r="L326" s="16">
        <f>IF(K326="Importado",Fletes!$B$66,0%)</f>
        <v>0</v>
      </c>
      <c r="M326" s="745">
        <f t="shared" si="225"/>
        <v>0</v>
      </c>
      <c r="N326" s="16">
        <f>IF(K326&lt;&gt;"Importado",0%,IF(Fletes!$B$67&lt;10,15%,IF(Fletes!$B$67&lt;20,10%,5%)))</f>
        <v>0</v>
      </c>
      <c r="O326" s="745" t="str">
        <f>IFERROR(IF(OR(F326="Offiho",F326="Lauco Sofas",F326="Requiez",F326="Labenze",F326="Sunon Mty",F326="Sonara"),(M326*(1-_xlfn.XLOOKUP(F326,Proveedores!A:A,Proveedores!I:I)))*(1+N326),((M326*(1-_xlfn.XLOOKUP(F326,Proveedores!A:A,Proveedores!I:I)))*(1+N326))+U326),"")</f>
        <v/>
      </c>
      <c r="P326" s="1031"/>
      <c r="Q326" s="1133">
        <f>IF(K326&lt;&gt;"Importado",0,IF(P326&gt;0,P326*H326,IFERROR(_xlfn.XLOOKUP(F326,Proveedores!A:A,Proveedores!F:F,0)*H326,0)))</f>
        <v>0</v>
      </c>
      <c r="R326" s="1134" t="e">
        <f t="shared" si="226"/>
        <v>#VALUE!</v>
      </c>
      <c r="S326" s="743"/>
      <c r="T326" s="1034" t="e">
        <f t="shared" si="213"/>
        <v>#N/A</v>
      </c>
      <c r="U326" s="1034" t="e">
        <f t="shared" si="227"/>
        <v>#N/A</v>
      </c>
      <c r="V326" s="1165" t="e">
        <f t="shared" si="214"/>
        <v>#N/A</v>
      </c>
      <c r="W326" s="1034" t="e">
        <f t="shared" si="228"/>
        <v>#N/A</v>
      </c>
      <c r="X326" s="1034" t="b">
        <f t="shared" si="229"/>
        <v>0</v>
      </c>
      <c r="Y326" s="1034">
        <f t="shared" si="230"/>
        <v>0</v>
      </c>
      <c r="Z326" s="1034">
        <f t="shared" si="231"/>
        <v>0</v>
      </c>
      <c r="AA326" s="1034">
        <f t="shared" si="215"/>
        <v>0</v>
      </c>
      <c r="AB326" s="1034">
        <f t="shared" si="216"/>
        <v>0</v>
      </c>
      <c r="AC326" s="1033">
        <f t="shared" si="232"/>
        <v>0</v>
      </c>
      <c r="AD326" s="1266">
        <f t="shared" si="217"/>
        <v>0</v>
      </c>
      <c r="AE326" s="1093">
        <f t="shared" si="233"/>
        <v>0</v>
      </c>
      <c r="AF326" s="1093">
        <f t="shared" si="234"/>
        <v>0</v>
      </c>
      <c r="AG326" s="1093">
        <f t="shared" si="218"/>
        <v>0</v>
      </c>
      <c r="AH326" s="1033" t="e">
        <f t="shared" si="219"/>
        <v>#DIV/0!</v>
      </c>
      <c r="AI326" s="1091">
        <f t="shared" si="220"/>
        <v>0</v>
      </c>
      <c r="AJ326" s="1094">
        <f t="shared" si="221"/>
        <v>0</v>
      </c>
      <c r="AK326" s="1053" t="str">
        <f t="shared" si="222"/>
        <v/>
      </c>
      <c r="AL326" s="1053"/>
      <c r="AM326" s="1290">
        <f>_xlfn.XLOOKUP(F326,Proveedores!A:A,Proveedores!G:G)</f>
        <v>0</v>
      </c>
      <c r="AN326" s="1095" t="str">
        <f t="shared" si="235"/>
        <v>OK</v>
      </c>
    </row>
    <row r="327" spans="1:40" ht="15.95">
      <c r="A327" s="1090" t="b">
        <f t="shared" si="210"/>
        <v>1</v>
      </c>
      <c r="B327" s="1091" t="b">
        <f t="shared" si="223"/>
        <v>1</v>
      </c>
      <c r="C327" s="1092" t="str">
        <f t="shared" si="224"/>
        <v>Dólares</v>
      </c>
      <c r="D327" s="14"/>
      <c r="E327" s="743"/>
      <c r="F327" s="17"/>
      <c r="G327" s="17" t="str">
        <f t="shared" si="211"/>
        <v xml:space="preserve"> </v>
      </c>
      <c r="H327" s="12">
        <v>0</v>
      </c>
      <c r="I327" s="16" t="str">
        <f>IFERROR(VLOOKUP(G327,Proveedores!B:C,2,0)," ")</f>
        <v xml:space="preserve"> </v>
      </c>
      <c r="J327" s="745">
        <v>0</v>
      </c>
      <c r="K327" s="745" t="str">
        <f t="shared" si="212"/>
        <v>Not Found</v>
      </c>
      <c r="L327" s="16">
        <f>IF(K327="Importado",Fletes!$B$66,0%)</f>
        <v>0</v>
      </c>
      <c r="M327" s="745">
        <f t="shared" si="225"/>
        <v>0</v>
      </c>
      <c r="N327" s="16">
        <f>IF(K327&lt;&gt;"Importado",0%,IF(Fletes!$B$67&lt;10,15%,IF(Fletes!$B$67&lt;20,10%,5%)))</f>
        <v>0</v>
      </c>
      <c r="O327" s="745" t="str">
        <f>IFERROR(IF(OR(F327="Offiho",F327="Lauco Sofas",F327="Requiez",F327="Labenze",F327="Sunon Mty",F327="Sonara"),(M327*(1-_xlfn.XLOOKUP(F327,Proveedores!A:A,Proveedores!I:I)))*(1+N327),((M327*(1-_xlfn.XLOOKUP(F327,Proveedores!A:A,Proveedores!I:I)))*(1+N327))+U327),"")</f>
        <v/>
      </c>
      <c r="P327" s="1031"/>
      <c r="Q327" s="1133">
        <f>IF(K327&lt;&gt;"Importado",0,IF(P327&gt;0,P327*H327,IFERROR(_xlfn.XLOOKUP(F327,Proveedores!A:A,Proveedores!F:F,0)*H327,0)))</f>
        <v>0</v>
      </c>
      <c r="R327" s="1134" t="e">
        <f t="shared" si="226"/>
        <v>#VALUE!</v>
      </c>
      <c r="S327" s="743"/>
      <c r="T327" s="1034" t="e">
        <f t="shared" si="213"/>
        <v>#N/A</v>
      </c>
      <c r="U327" s="1034" t="e">
        <f t="shared" si="227"/>
        <v>#N/A</v>
      </c>
      <c r="V327" s="1165" t="e">
        <f t="shared" si="214"/>
        <v>#N/A</v>
      </c>
      <c r="W327" s="1034" t="e">
        <f t="shared" si="228"/>
        <v>#N/A</v>
      </c>
      <c r="X327" s="1034" t="b">
        <f t="shared" si="229"/>
        <v>0</v>
      </c>
      <c r="Y327" s="1034">
        <f t="shared" si="230"/>
        <v>0</v>
      </c>
      <c r="Z327" s="1034">
        <f t="shared" si="231"/>
        <v>0</v>
      </c>
      <c r="AA327" s="1034">
        <f t="shared" si="215"/>
        <v>0</v>
      </c>
      <c r="AB327" s="1034">
        <f t="shared" si="216"/>
        <v>0</v>
      </c>
      <c r="AC327" s="1033">
        <f t="shared" si="232"/>
        <v>0</v>
      </c>
      <c r="AD327" s="1266">
        <f t="shared" si="217"/>
        <v>0</v>
      </c>
      <c r="AE327" s="1093">
        <f t="shared" si="233"/>
        <v>0</v>
      </c>
      <c r="AF327" s="1093">
        <f t="shared" si="234"/>
        <v>0</v>
      </c>
      <c r="AG327" s="1093">
        <f t="shared" si="218"/>
        <v>0</v>
      </c>
      <c r="AH327" s="1033" t="str">
        <f t="shared" si="219"/>
        <v>NA</v>
      </c>
      <c r="AI327" s="1091">
        <f t="shared" si="220"/>
        <v>0</v>
      </c>
      <c r="AJ327" s="1094">
        <f t="shared" si="221"/>
        <v>0</v>
      </c>
      <c r="AK327" s="1053" t="str">
        <f t="shared" si="222"/>
        <v/>
      </c>
      <c r="AL327" s="1053"/>
      <c r="AM327" s="1290">
        <f>_xlfn.XLOOKUP(F327,Proveedores!A:A,Proveedores!G:G)</f>
        <v>0</v>
      </c>
      <c r="AN327" s="1095" t="str">
        <f t="shared" si="235"/>
        <v>OK</v>
      </c>
    </row>
    <row r="328" spans="1:40" ht="24" customHeight="1">
      <c r="A328" s="1375" t="s">
        <v>143</v>
      </c>
      <c r="B328" s="1375"/>
      <c r="C328" s="1375"/>
      <c r="D328" s="1375"/>
      <c r="E328" s="1375"/>
      <c r="F328" s="1375"/>
      <c r="G328" s="1099"/>
      <c r="H328" s="1100" cm="1">
        <f t="array" ref="H328">SUM(IFERROR(H295:H327,0))</f>
        <v>0</v>
      </c>
      <c r="I328" s="1099"/>
      <c r="J328" s="1101"/>
      <c r="K328" s="1101"/>
      <c r="L328" s="1101"/>
      <c r="M328" s="1101"/>
      <c r="N328" s="1101"/>
      <c r="O328" s="1101"/>
      <c r="P328" s="1102"/>
      <c r="Q328" s="1100" cm="1">
        <f t="array" ref="Q328">SUM(IFERROR(Q295:Q327,0))</f>
        <v>0</v>
      </c>
      <c r="R328" s="1103" cm="1">
        <f t="array" ref="R328">SUM(IFERROR(R295:R327,0))</f>
        <v>0</v>
      </c>
      <c r="S328" s="1104"/>
      <c r="T328" s="1104"/>
      <c r="U328" s="1104"/>
      <c r="V328" s="1104"/>
      <c r="W328" s="1104"/>
      <c r="X328" s="1104"/>
      <c r="Y328" s="1102"/>
      <c r="Z328" s="1102"/>
      <c r="AA328" s="1102"/>
      <c r="AB328" s="1103" cm="1">
        <f t="array" ref="AB328">SUM(IFERROR(AB295:AB327,0))</f>
        <v>0</v>
      </c>
      <c r="AC328" s="1104" t="s">
        <v>127</v>
      </c>
      <c r="AD328" s="1104"/>
      <c r="AE328" s="1104"/>
      <c r="AF328" s="1104"/>
      <c r="AG328" s="1103" cm="1">
        <f t="array" ref="AG328">SUM(IFERROR(AG295:AG327,0))</f>
        <v>0</v>
      </c>
      <c r="AH328" s="1103"/>
      <c r="AI328" s="1103"/>
      <c r="AJ328" s="1103" cm="1">
        <f t="array" ref="AJ328">SUM(IFERROR(AJ295:AJ327,0))</f>
        <v>0</v>
      </c>
      <c r="AK328" s="1054" cm="1">
        <f t="array" ref="AK328">IFERROR(SUMPRODUCT(IFERROR(AG295:AG327,0),IFERROR(AK295:AK327,0))/SUMPRODUCT(IFERROR(AG295:AG327,0)),0)</f>
        <v>0</v>
      </c>
      <c r="AL328" s="1288"/>
      <c r="AM328" s="1288"/>
      <c r="AN328"/>
    </row>
    <row r="329" spans="1:40" ht="26.1" customHeight="1">
      <c r="A329" s="1397" t="s">
        <v>144</v>
      </c>
      <c r="B329" s="1397"/>
      <c r="C329" s="1397"/>
      <c r="D329" s="1397"/>
      <c r="E329" s="1397"/>
      <c r="F329" s="1397"/>
      <c r="G329" s="1397"/>
      <c r="H329" s="1397"/>
      <c r="I329" s="1397"/>
      <c r="J329" s="1398"/>
      <c r="K329" s="1160"/>
      <c r="L329" s="1160"/>
      <c r="M329" s="1160"/>
      <c r="N329" s="1160"/>
      <c r="O329" s="1160"/>
      <c r="P329" s="1088"/>
      <c r="Q329" s="1088"/>
      <c r="R329" s="1088"/>
      <c r="S329" s="1087"/>
      <c r="T329" s="1087"/>
      <c r="U329" s="1087"/>
      <c r="V329" s="1087"/>
      <c r="W329" s="1087"/>
      <c r="X329" s="1087"/>
      <c r="Y329" s="1055"/>
      <c r="Z329" s="1055"/>
      <c r="AA329" s="1055"/>
      <c r="AB329" s="1055"/>
      <c r="AC329" s="1055"/>
      <c r="AD329" s="1087"/>
      <c r="AE329" s="1087"/>
      <c r="AF329" s="1087"/>
      <c r="AG329" s="1087"/>
      <c r="AH329" s="1087"/>
      <c r="AI329" s="1087"/>
      <c r="AJ329" s="1087"/>
      <c r="AK329" s="1089"/>
      <c r="AL329" s="1287"/>
      <c r="AM329" s="1287"/>
      <c r="AN329"/>
    </row>
    <row r="330" spans="1:40" ht="15.95">
      <c r="A330" s="1090" t="b">
        <f t="shared" ref="A330:A362" si="236">$A$14</f>
        <v>1</v>
      </c>
      <c r="B330" s="1091" t="b">
        <f>A330</f>
        <v>1</v>
      </c>
      <c r="C330" s="1092" t="str">
        <f>$C$14</f>
        <v>Dólares</v>
      </c>
      <c r="D330" s="11"/>
      <c r="E330" s="743"/>
      <c r="F330" s="17"/>
      <c r="G330" s="17" t="str">
        <f t="shared" ref="G330:G362" si="237">IFERROR(VLOOKUP(F330,Tabla_Proveedores_1,2,0)," ")</f>
        <v xml:space="preserve"> </v>
      </c>
      <c r="H330" s="12">
        <v>0</v>
      </c>
      <c r="I330" s="16" t="str">
        <f>IFERROR(VLOOKUP(G330,Proveedores!B:C,2,0)," ")</f>
        <v xml:space="preserve"> </v>
      </c>
      <c r="J330" s="745">
        <v>0</v>
      </c>
      <c r="K330" s="745" t="str">
        <f t="shared" ref="K330:K362" si="238">IFERROR(VLOOKUP(TRIM(F330), ProveedoreS_TC, 5, FALSE), "Not Found")</f>
        <v>Not Found</v>
      </c>
      <c r="L330" s="16">
        <f>IF(K330="Importado",Fletes!$B$66,0%)</f>
        <v>0</v>
      </c>
      <c r="M330" s="745">
        <f>IF(K330="Importado",J330*(1+L330),J330*(1+L330))</f>
        <v>0</v>
      </c>
      <c r="N330" s="16">
        <f>IF(K330&lt;&gt;"Importado",0%,IF(Fletes!$B$67&lt;10,15%,IF(Fletes!$B$67&lt;20,10%,5%)))</f>
        <v>0</v>
      </c>
      <c r="O330" s="745" t="str">
        <f>IFERROR(IF(OR(F330="Offiho",F330="Lauco Sofas",F330="Requiez",F330="Labenze",F330="Sunon Mty",F330="Sonara"),(M330*(1-_xlfn.XLOOKUP(F330,Proveedores!A:A,Proveedores!I:I)))*(1+N330),((M330*(1-_xlfn.XLOOKUP(F330,Proveedores!A:A,Proveedores!I:I)))*(1+N330))+U330),"")</f>
        <v/>
      </c>
      <c r="P330" s="1031"/>
      <c r="Q330" s="1133">
        <f>IF(K330&lt;&gt;"Importado",0,IF(P330&gt;0,P330*H330,IFERROR(_xlfn.XLOOKUP(F330,Proveedores!A:A,Proveedores!F:F,0)*H330,0)))</f>
        <v>0</v>
      </c>
      <c r="R330" s="1134" t="e">
        <f>O330*H330</f>
        <v>#VALUE!</v>
      </c>
      <c r="S330" s="743"/>
      <c r="T330" s="1034" t="e">
        <f t="shared" ref="T330:T362" si="239">IF(H330&gt;15,0,VLOOKUP(E330,Tabla_Instalacion,2,FALSE))</f>
        <v>#N/A</v>
      </c>
      <c r="U330" s="1034" t="e">
        <f>X330/V330</f>
        <v>#N/A</v>
      </c>
      <c r="V330" s="1165" t="e">
        <f t="shared" ref="V330:V362" si="240">VLOOKUP(E330,Tabla_Factor,2,FALSE)</f>
        <v>#N/A</v>
      </c>
      <c r="W330" s="1034" t="e">
        <f>T330*V330</f>
        <v>#N/A</v>
      </c>
      <c r="X330" s="1034" t="b">
        <f>IF(S330="Occidente",W330,IF(S330="Norte",W330*1.5,IF(S330="Centro",W330*1.2,IF(S330="Sur",W330*1.7))))</f>
        <v>0</v>
      </c>
      <c r="Y330" s="1034">
        <f>ROUNDUP(IF(OR(F330="Offiho",F330="Lauco Sofas",F330="Requiez",F330="Labenze",F330="Sunon Mty",F330="Sonara",F330="Santeco"),J330,IF(K330="Nacional",O330/(1-30%),IF(K330="Importado",O330/(1-40%),IF(OR(F330="Lumbro",F330="Idelika"),O330/(1-20%))))),0)</f>
        <v>0</v>
      </c>
      <c r="Z330" s="1034">
        <f>ROUNDUP(IF(OR(F330="Offiho",F330="Lauco Sofas",F330="Requiez",F330="Labenze",F330="Sunon Mty",F330="Sonara",F330="Sonara"),Y330,IF($P$10="MIXTO",IF(K330="Nacional",Y330/(1-50%),Y330/(1-50%)),IF($P$10="IMPORTADO",Y330/(1-50%),IF($P$10="NACIONAL",Y330/(1-20%),Y330/(1-20%))))),0)</f>
        <v>0</v>
      </c>
      <c r="AA330" s="1034">
        <f t="shared" ref="AA330:AA362" si="241">IF(Z330&gt;=Y330,_xlfn.MINIFS($Z$15:$Z$572,$D$15:$D$572,D330),"NO SE ESTA RESPETANDO EL MARGEN")</f>
        <v>0</v>
      </c>
      <c r="AB330" s="1034">
        <f t="shared" ref="AB330:AB362" si="242">IFERROR(AA330*H330,0)</f>
        <v>0</v>
      </c>
      <c r="AC330" s="1033">
        <f>IF($P$10="IMPORTADO",50%,IF($P$10="NACIONAL",20%,IF($P$10="MIXTO",50%,0%)))</f>
        <v>0</v>
      </c>
      <c r="AD330" s="1266">
        <f t="shared" ref="AD330:AD362" si="243">IF(H330&gt;0,$E$5,0)</f>
        <v>0</v>
      </c>
      <c r="AE330" s="1093">
        <f>IFERROR(AA330*AD330,0)</f>
        <v>0</v>
      </c>
      <c r="AF330" s="1093">
        <f>IF($E$5&gt;$E$6,"ERROR",AA330-AE330)</f>
        <v>0</v>
      </c>
      <c r="AG330" s="1093">
        <f t="shared" ref="AG330:AG362" si="244">AF330*H330</f>
        <v>0</v>
      </c>
      <c r="AH330" s="1033" t="e">
        <f t="shared" ref="AH330:AH362" si="245">IF(A331=TRUE,MAX(0,1-(AI330/Z330)),"NA")</f>
        <v>#DIV/0!</v>
      </c>
      <c r="AI330" s="1091">
        <f t="shared" ref="AI330:AI362" si="246">IF(A329=FALSE,"NO APLICA",AF330*(1+$AI$8))</f>
        <v>0</v>
      </c>
      <c r="AJ330" s="1094">
        <f t="shared" ref="AJ330:AJ362" si="247">AI330*H330</f>
        <v>0</v>
      </c>
      <c r="AK330" s="1053" t="str">
        <f t="shared" ref="AK330:AK362" si="248">IFERROR(IF(OR(F330="Offiho",F330="Vandesk",F330="Requiez",F330="Labenze",F330="Idelika",F330="Sunon Mty"),(AG330-(J330*(1-I330)*H330))/AG330,(AG330-R330)/AG330),"")</f>
        <v/>
      </c>
      <c r="AL330" s="1053"/>
      <c r="AM330" s="1290">
        <f>_xlfn.XLOOKUP(F330,Proveedores!A:A,Proveedores!G:G)</f>
        <v>0</v>
      </c>
      <c r="AN330" s="1095" t="str">
        <f>IF(AK330&lt;AM330,"ERROR","OK")</f>
        <v>OK</v>
      </c>
    </row>
    <row r="331" spans="1:40" ht="15.95">
      <c r="A331" s="1090" t="b">
        <f t="shared" si="236"/>
        <v>1</v>
      </c>
      <c r="B331" s="1091" t="b">
        <f t="shared" ref="B331:B362" si="249">A331</f>
        <v>1</v>
      </c>
      <c r="C331" s="1092" t="str">
        <f t="shared" ref="C331:C362" si="250">$C$14</f>
        <v>Dólares</v>
      </c>
      <c r="D331" s="13"/>
      <c r="E331" s="743"/>
      <c r="F331" s="17"/>
      <c r="G331" s="17" t="str">
        <f t="shared" si="237"/>
        <v xml:space="preserve"> </v>
      </c>
      <c r="H331" s="12">
        <v>0</v>
      </c>
      <c r="I331" s="16" t="str">
        <f>IFERROR(VLOOKUP(G331,Proveedores!B:C,2,0)," ")</f>
        <v xml:space="preserve"> </v>
      </c>
      <c r="J331" s="745">
        <v>0</v>
      </c>
      <c r="K331" s="745" t="str">
        <f t="shared" si="238"/>
        <v>Not Found</v>
      </c>
      <c r="L331" s="16">
        <f>IF(K331="Importado",Fletes!$B$66,0%)</f>
        <v>0</v>
      </c>
      <c r="M331" s="745">
        <f t="shared" ref="M331:M362" si="251">IF(K331="Importado",J331*(1+L331),J331*(1+L331))</f>
        <v>0</v>
      </c>
      <c r="N331" s="16">
        <f>IF(K331&lt;&gt;"Importado",0%,IF(Fletes!$B$67&lt;10,15%,IF(Fletes!$B$67&lt;20,10%,5%)))</f>
        <v>0</v>
      </c>
      <c r="O331" s="745" t="str">
        <f>IFERROR(IF(OR(F331="Offiho",F331="Lauco Sofas",F331="Requiez",F331="Labenze",F331="Sunon Mty",F331="Sonara"),(M331*(1-_xlfn.XLOOKUP(F331,Proveedores!A:A,Proveedores!I:I)))*(1+N331),((M331*(1-_xlfn.XLOOKUP(F331,Proveedores!A:A,Proveedores!I:I)))*(1+N331))+U331),"")</f>
        <v/>
      </c>
      <c r="P331" s="1031"/>
      <c r="Q331" s="1133">
        <f>IF(K331&lt;&gt;"Importado",0,IF(P331&gt;0,P331*H331,IFERROR(_xlfn.XLOOKUP(F331,Proveedores!A:A,Proveedores!F:F,0)*H331,0)))</f>
        <v>0</v>
      </c>
      <c r="R331" s="1134" t="e">
        <f t="shared" ref="R331:R362" si="252">O331*H331</f>
        <v>#VALUE!</v>
      </c>
      <c r="S331" s="743"/>
      <c r="T331" s="1034" t="e">
        <f t="shared" si="239"/>
        <v>#N/A</v>
      </c>
      <c r="U331" s="1034" t="e">
        <f t="shared" ref="U331:U362" si="253">X331/V331</f>
        <v>#N/A</v>
      </c>
      <c r="V331" s="1165" t="e">
        <f t="shared" si="240"/>
        <v>#N/A</v>
      </c>
      <c r="W331" s="1034" t="e">
        <f t="shared" ref="W331:W362" si="254">T331*V331</f>
        <v>#N/A</v>
      </c>
      <c r="X331" s="1034" t="b">
        <f t="shared" ref="X331:X362" si="255">IF(S331="Occidente",W331,IF(S331="Norte",W331*1.5,IF(S331="Centro",W331*1.2,IF(S331="Sur",W331*1.7))))</f>
        <v>0</v>
      </c>
      <c r="Y331" s="1034">
        <f t="shared" ref="Y331:Y362" si="256">ROUNDUP(IF(OR(F331="Offiho",F331="Lauco Sofas",F331="Requiez",F331="Labenze",F331="Sunon Mty",F331="Sonara",F331="Santeco"),J331,IF(K331="Nacional",O331/(1-30%),IF(K331="Importado",O331/(1-40%),IF(OR(F331="Lumbro",F331="Idelika"),O331/(1-20%))))),0)</f>
        <v>0</v>
      </c>
      <c r="Z331" s="1034">
        <f t="shared" ref="Z331:Z362" si="257">ROUNDUP(IF(OR(F331="Offiho",F331="Lauco Sofas",F331="Requiez",F331="Labenze",F331="Sunon Mty",F331="Sonara",F331="Sonara"),Y331,IF($P$10="MIXTO",IF(K331="Nacional",Y331/(1-50%),Y331/(1-50%)),IF($P$10="IMPORTADO",Y331/(1-50%),IF($P$10="NACIONAL",Y331/(1-20%),Y331/(1-20%))))),0)</f>
        <v>0</v>
      </c>
      <c r="AA331" s="1034">
        <f t="shared" si="241"/>
        <v>0</v>
      </c>
      <c r="AB331" s="1034">
        <f t="shared" si="242"/>
        <v>0</v>
      </c>
      <c r="AC331" s="1033">
        <f t="shared" ref="AC331:AC362" si="258">IF($P$10="IMPORTADO",50%,IF($P$10="NACIONAL",20%,IF($P$10="MIXTO",50%,0%)))</f>
        <v>0</v>
      </c>
      <c r="AD331" s="1266">
        <f t="shared" si="243"/>
        <v>0</v>
      </c>
      <c r="AE331" s="1093">
        <f t="shared" ref="AE331:AE362" si="259">IFERROR(AA331*AD331,0)</f>
        <v>0</v>
      </c>
      <c r="AF331" s="1093">
        <f t="shared" ref="AF331:AF362" si="260">IF($E$5&gt;$E$6,"ERROR",AA331-AE331)</f>
        <v>0</v>
      </c>
      <c r="AG331" s="1093">
        <f t="shared" si="244"/>
        <v>0</v>
      </c>
      <c r="AH331" s="1033" t="e">
        <f t="shared" si="245"/>
        <v>#DIV/0!</v>
      </c>
      <c r="AI331" s="1091">
        <f t="shared" si="246"/>
        <v>0</v>
      </c>
      <c r="AJ331" s="1094">
        <f t="shared" si="247"/>
        <v>0</v>
      </c>
      <c r="AK331" s="1053" t="str">
        <f t="shared" si="248"/>
        <v/>
      </c>
      <c r="AL331" s="1053"/>
      <c r="AM331" s="1290">
        <f>_xlfn.XLOOKUP(F331,Proveedores!A:A,Proveedores!G:G)</f>
        <v>0</v>
      </c>
      <c r="AN331" s="1095" t="str">
        <f t="shared" ref="AN331:AN362" si="261">IF(AK331&lt;AM331,"ERROR","OK")</f>
        <v>OK</v>
      </c>
    </row>
    <row r="332" spans="1:40" ht="15.95">
      <c r="A332" s="1090" t="b">
        <f t="shared" si="236"/>
        <v>1</v>
      </c>
      <c r="B332" s="1091" t="b">
        <f t="shared" si="249"/>
        <v>1</v>
      </c>
      <c r="C332" s="1092" t="str">
        <f t="shared" si="250"/>
        <v>Dólares</v>
      </c>
      <c r="D332" s="13"/>
      <c r="E332" s="743"/>
      <c r="F332" s="17"/>
      <c r="G332" s="17" t="str">
        <f t="shared" si="237"/>
        <v xml:space="preserve"> </v>
      </c>
      <c r="H332" s="12">
        <v>0</v>
      </c>
      <c r="I332" s="16" t="str">
        <f>IFERROR(VLOOKUP(G332,Proveedores!B:C,2,0)," ")</f>
        <v xml:space="preserve"> </v>
      </c>
      <c r="J332" s="745">
        <v>0</v>
      </c>
      <c r="K332" s="745" t="str">
        <f t="shared" si="238"/>
        <v>Not Found</v>
      </c>
      <c r="L332" s="16">
        <f>IF(K332="Importado",Fletes!$B$66,0%)</f>
        <v>0</v>
      </c>
      <c r="M332" s="745">
        <f t="shared" si="251"/>
        <v>0</v>
      </c>
      <c r="N332" s="16">
        <f>IF(K332&lt;&gt;"Importado",0%,IF(Fletes!$B$67&lt;10,15%,IF(Fletes!$B$67&lt;20,10%,5%)))</f>
        <v>0</v>
      </c>
      <c r="O332" s="745" t="str">
        <f>IFERROR(IF(OR(F332="Offiho",F332="Lauco Sofas",F332="Requiez",F332="Labenze",F332="Sunon Mty",F332="Sonara"),(M332*(1-_xlfn.XLOOKUP(F332,Proveedores!A:A,Proveedores!I:I)))*(1+N332),((M332*(1-_xlfn.XLOOKUP(F332,Proveedores!A:A,Proveedores!I:I)))*(1+N332))+U332),"")</f>
        <v/>
      </c>
      <c r="P332" s="1031"/>
      <c r="Q332" s="1133">
        <f>IF(K332&lt;&gt;"Importado",0,IF(P332&gt;0,P332*H332,IFERROR(_xlfn.XLOOKUP(F332,Proveedores!A:A,Proveedores!F:F,0)*H332,0)))</f>
        <v>0</v>
      </c>
      <c r="R332" s="1134" t="e">
        <f t="shared" si="252"/>
        <v>#VALUE!</v>
      </c>
      <c r="S332" s="743"/>
      <c r="T332" s="1034" t="e">
        <f t="shared" si="239"/>
        <v>#N/A</v>
      </c>
      <c r="U332" s="1034" t="e">
        <f t="shared" si="253"/>
        <v>#N/A</v>
      </c>
      <c r="V332" s="1165" t="e">
        <f t="shared" si="240"/>
        <v>#N/A</v>
      </c>
      <c r="W332" s="1034" t="e">
        <f t="shared" si="254"/>
        <v>#N/A</v>
      </c>
      <c r="X332" s="1034" t="b">
        <f t="shared" si="255"/>
        <v>0</v>
      </c>
      <c r="Y332" s="1034">
        <f t="shared" si="256"/>
        <v>0</v>
      </c>
      <c r="Z332" s="1034">
        <f t="shared" si="257"/>
        <v>0</v>
      </c>
      <c r="AA332" s="1034">
        <f t="shared" si="241"/>
        <v>0</v>
      </c>
      <c r="AB332" s="1034">
        <f t="shared" si="242"/>
        <v>0</v>
      </c>
      <c r="AC332" s="1033">
        <f t="shared" si="258"/>
        <v>0</v>
      </c>
      <c r="AD332" s="1266">
        <f t="shared" si="243"/>
        <v>0</v>
      </c>
      <c r="AE332" s="1093">
        <f t="shared" si="259"/>
        <v>0</v>
      </c>
      <c r="AF332" s="1093">
        <f t="shared" si="260"/>
        <v>0</v>
      </c>
      <c r="AG332" s="1093">
        <f t="shared" si="244"/>
        <v>0</v>
      </c>
      <c r="AH332" s="1033" t="e">
        <f t="shared" si="245"/>
        <v>#DIV/0!</v>
      </c>
      <c r="AI332" s="1091">
        <f t="shared" si="246"/>
        <v>0</v>
      </c>
      <c r="AJ332" s="1094">
        <f t="shared" si="247"/>
        <v>0</v>
      </c>
      <c r="AK332" s="1053" t="str">
        <f t="shared" si="248"/>
        <v/>
      </c>
      <c r="AL332" s="1053"/>
      <c r="AM332" s="1290">
        <f>_xlfn.XLOOKUP(F332,Proveedores!A:A,Proveedores!G:G)</f>
        <v>0</v>
      </c>
      <c r="AN332" s="1095" t="str">
        <f t="shared" si="261"/>
        <v>OK</v>
      </c>
    </row>
    <row r="333" spans="1:40" ht="15.95">
      <c r="A333" s="1090" t="b">
        <f t="shared" si="236"/>
        <v>1</v>
      </c>
      <c r="B333" s="1091" t="b">
        <f t="shared" si="249"/>
        <v>1</v>
      </c>
      <c r="C333" s="1092" t="str">
        <f t="shared" si="250"/>
        <v>Dólares</v>
      </c>
      <c r="D333" s="13"/>
      <c r="E333" s="743"/>
      <c r="F333" s="17"/>
      <c r="G333" s="17" t="str">
        <f t="shared" si="237"/>
        <v xml:space="preserve"> </v>
      </c>
      <c r="H333" s="12">
        <v>0</v>
      </c>
      <c r="I333" s="16" t="str">
        <f>IFERROR(VLOOKUP(G333,Proveedores!B:C,2,0)," ")</f>
        <v xml:space="preserve"> </v>
      </c>
      <c r="J333" s="745">
        <v>0</v>
      </c>
      <c r="K333" s="745" t="str">
        <f t="shared" si="238"/>
        <v>Not Found</v>
      </c>
      <c r="L333" s="16">
        <f>IF(K333="Importado",Fletes!$B$66,0%)</f>
        <v>0</v>
      </c>
      <c r="M333" s="745">
        <f t="shared" si="251"/>
        <v>0</v>
      </c>
      <c r="N333" s="16">
        <f>IF(K333&lt;&gt;"Importado",0%,IF(Fletes!$B$67&lt;10,15%,IF(Fletes!$B$67&lt;20,10%,5%)))</f>
        <v>0</v>
      </c>
      <c r="O333" s="745" t="str">
        <f>IFERROR(IF(OR(F333="Offiho",F333="Lauco Sofas",F333="Requiez",F333="Labenze",F333="Sunon Mty",F333="Sonara"),(M333*(1-_xlfn.XLOOKUP(F333,Proveedores!A:A,Proveedores!I:I)))*(1+N333),((M333*(1-_xlfn.XLOOKUP(F333,Proveedores!A:A,Proveedores!I:I)))*(1+N333))+U333),"")</f>
        <v/>
      </c>
      <c r="P333" s="1031"/>
      <c r="Q333" s="1133">
        <f>IF(K333&lt;&gt;"Importado",0,IF(P333&gt;0,P333*H333,IFERROR(_xlfn.XLOOKUP(F333,Proveedores!A:A,Proveedores!F:F,0)*H333,0)))</f>
        <v>0</v>
      </c>
      <c r="R333" s="1134" t="e">
        <f t="shared" si="252"/>
        <v>#VALUE!</v>
      </c>
      <c r="S333" s="743"/>
      <c r="T333" s="1034" t="e">
        <f t="shared" si="239"/>
        <v>#N/A</v>
      </c>
      <c r="U333" s="1034" t="e">
        <f t="shared" si="253"/>
        <v>#N/A</v>
      </c>
      <c r="V333" s="1165" t="e">
        <f t="shared" si="240"/>
        <v>#N/A</v>
      </c>
      <c r="W333" s="1034" t="e">
        <f t="shared" si="254"/>
        <v>#N/A</v>
      </c>
      <c r="X333" s="1034" t="b">
        <f t="shared" si="255"/>
        <v>0</v>
      </c>
      <c r="Y333" s="1034">
        <f t="shared" si="256"/>
        <v>0</v>
      </c>
      <c r="Z333" s="1034">
        <f t="shared" si="257"/>
        <v>0</v>
      </c>
      <c r="AA333" s="1034">
        <f t="shared" si="241"/>
        <v>0</v>
      </c>
      <c r="AB333" s="1034">
        <f t="shared" si="242"/>
        <v>0</v>
      </c>
      <c r="AC333" s="1033">
        <f t="shared" si="258"/>
        <v>0</v>
      </c>
      <c r="AD333" s="1266">
        <f t="shared" si="243"/>
        <v>0</v>
      </c>
      <c r="AE333" s="1093">
        <f t="shared" si="259"/>
        <v>0</v>
      </c>
      <c r="AF333" s="1093">
        <f t="shared" si="260"/>
        <v>0</v>
      </c>
      <c r="AG333" s="1093">
        <f t="shared" si="244"/>
        <v>0</v>
      </c>
      <c r="AH333" s="1033" t="e">
        <f t="shared" si="245"/>
        <v>#DIV/0!</v>
      </c>
      <c r="AI333" s="1091">
        <f t="shared" si="246"/>
        <v>0</v>
      </c>
      <c r="AJ333" s="1094">
        <f t="shared" si="247"/>
        <v>0</v>
      </c>
      <c r="AK333" s="1053" t="str">
        <f t="shared" si="248"/>
        <v/>
      </c>
      <c r="AL333" s="1053"/>
      <c r="AM333" s="1290">
        <f>_xlfn.XLOOKUP(F333,Proveedores!A:A,Proveedores!G:G)</f>
        <v>0</v>
      </c>
      <c r="AN333" s="1095" t="str">
        <f t="shared" si="261"/>
        <v>OK</v>
      </c>
    </row>
    <row r="334" spans="1:40" ht="15.95">
      <c r="A334" s="1090" t="b">
        <f t="shared" si="236"/>
        <v>1</v>
      </c>
      <c r="B334" s="1091" t="b">
        <f t="shared" si="249"/>
        <v>1</v>
      </c>
      <c r="C334" s="1092" t="str">
        <f t="shared" si="250"/>
        <v>Dólares</v>
      </c>
      <c r="D334" s="13"/>
      <c r="E334" s="743"/>
      <c r="F334" s="17"/>
      <c r="G334" s="17" t="str">
        <f t="shared" si="237"/>
        <v xml:space="preserve"> </v>
      </c>
      <c r="H334" s="12">
        <v>0</v>
      </c>
      <c r="I334" s="16" t="str">
        <f>IFERROR(VLOOKUP(G334,Proveedores!B:C,2,0)," ")</f>
        <v xml:space="preserve"> </v>
      </c>
      <c r="J334" s="745">
        <v>0</v>
      </c>
      <c r="K334" s="745" t="str">
        <f t="shared" si="238"/>
        <v>Not Found</v>
      </c>
      <c r="L334" s="16">
        <f>IF(K334="Importado",Fletes!$B$66,0%)</f>
        <v>0</v>
      </c>
      <c r="M334" s="745">
        <f t="shared" si="251"/>
        <v>0</v>
      </c>
      <c r="N334" s="16">
        <f>IF(K334&lt;&gt;"Importado",0%,IF(Fletes!$B$67&lt;10,15%,IF(Fletes!$B$67&lt;20,10%,5%)))</f>
        <v>0</v>
      </c>
      <c r="O334" s="745" t="str">
        <f>IFERROR(IF(OR(F334="Offiho",F334="Lauco Sofas",F334="Requiez",F334="Labenze",F334="Sunon Mty",F334="Sonara"),(M334*(1-_xlfn.XLOOKUP(F334,Proveedores!A:A,Proveedores!I:I)))*(1+N334),((M334*(1-_xlfn.XLOOKUP(F334,Proveedores!A:A,Proveedores!I:I)))*(1+N334))+U334),"")</f>
        <v/>
      </c>
      <c r="P334" s="1031"/>
      <c r="Q334" s="1133">
        <f>IF(K334&lt;&gt;"Importado",0,IF(P334&gt;0,P334*H334,IFERROR(_xlfn.XLOOKUP(F334,Proveedores!A:A,Proveedores!F:F,0)*H334,0)))</f>
        <v>0</v>
      </c>
      <c r="R334" s="1134" t="e">
        <f t="shared" si="252"/>
        <v>#VALUE!</v>
      </c>
      <c r="S334" s="743"/>
      <c r="T334" s="1034" t="e">
        <f t="shared" si="239"/>
        <v>#N/A</v>
      </c>
      <c r="U334" s="1034" t="e">
        <f t="shared" si="253"/>
        <v>#N/A</v>
      </c>
      <c r="V334" s="1165" t="e">
        <f t="shared" si="240"/>
        <v>#N/A</v>
      </c>
      <c r="W334" s="1034" t="e">
        <f t="shared" si="254"/>
        <v>#N/A</v>
      </c>
      <c r="X334" s="1034" t="b">
        <f t="shared" si="255"/>
        <v>0</v>
      </c>
      <c r="Y334" s="1034">
        <f t="shared" si="256"/>
        <v>0</v>
      </c>
      <c r="Z334" s="1034">
        <f t="shared" si="257"/>
        <v>0</v>
      </c>
      <c r="AA334" s="1034">
        <f t="shared" si="241"/>
        <v>0</v>
      </c>
      <c r="AB334" s="1034">
        <f t="shared" si="242"/>
        <v>0</v>
      </c>
      <c r="AC334" s="1033">
        <f t="shared" si="258"/>
        <v>0</v>
      </c>
      <c r="AD334" s="1266">
        <f t="shared" si="243"/>
        <v>0</v>
      </c>
      <c r="AE334" s="1093">
        <f t="shared" si="259"/>
        <v>0</v>
      </c>
      <c r="AF334" s="1093">
        <f t="shared" si="260"/>
        <v>0</v>
      </c>
      <c r="AG334" s="1093">
        <f t="shared" si="244"/>
        <v>0</v>
      </c>
      <c r="AH334" s="1033" t="e">
        <f t="shared" si="245"/>
        <v>#DIV/0!</v>
      </c>
      <c r="AI334" s="1091">
        <f t="shared" si="246"/>
        <v>0</v>
      </c>
      <c r="AJ334" s="1094">
        <f t="shared" si="247"/>
        <v>0</v>
      </c>
      <c r="AK334" s="1053" t="str">
        <f t="shared" si="248"/>
        <v/>
      </c>
      <c r="AL334" s="1053"/>
      <c r="AM334" s="1290">
        <f>_xlfn.XLOOKUP(F334,Proveedores!A:A,Proveedores!G:G)</f>
        <v>0</v>
      </c>
      <c r="AN334" s="1095" t="str">
        <f t="shared" si="261"/>
        <v>OK</v>
      </c>
    </row>
    <row r="335" spans="1:40" ht="15.95">
      <c r="A335" s="1090" t="b">
        <f t="shared" si="236"/>
        <v>1</v>
      </c>
      <c r="B335" s="1091" t="b">
        <f t="shared" si="249"/>
        <v>1</v>
      </c>
      <c r="C335" s="1092" t="str">
        <f t="shared" si="250"/>
        <v>Dólares</v>
      </c>
      <c r="D335" s="13"/>
      <c r="E335" s="743"/>
      <c r="F335" s="17"/>
      <c r="G335" s="17" t="str">
        <f t="shared" si="237"/>
        <v xml:space="preserve"> </v>
      </c>
      <c r="H335" s="12">
        <v>0</v>
      </c>
      <c r="I335" s="16" t="str">
        <f>IFERROR(VLOOKUP(G335,Proveedores!B:C,2,0)," ")</f>
        <v xml:space="preserve"> </v>
      </c>
      <c r="J335" s="745">
        <v>0</v>
      </c>
      <c r="K335" s="745" t="str">
        <f t="shared" si="238"/>
        <v>Not Found</v>
      </c>
      <c r="L335" s="16">
        <f>IF(K335="Importado",Fletes!$B$66,0%)</f>
        <v>0</v>
      </c>
      <c r="M335" s="745">
        <f t="shared" si="251"/>
        <v>0</v>
      </c>
      <c r="N335" s="16">
        <f>IF(K335&lt;&gt;"Importado",0%,IF(Fletes!$B$67&lt;10,15%,IF(Fletes!$B$67&lt;20,10%,5%)))</f>
        <v>0</v>
      </c>
      <c r="O335" s="745" t="str">
        <f>IFERROR(IF(OR(F335="Offiho",F335="Lauco Sofas",F335="Requiez",F335="Labenze",F335="Sunon Mty",F335="Sonara"),(M335*(1-_xlfn.XLOOKUP(F335,Proveedores!A:A,Proveedores!I:I)))*(1+N335),((M335*(1-_xlfn.XLOOKUP(F335,Proveedores!A:A,Proveedores!I:I)))*(1+N335))+U335),"")</f>
        <v/>
      </c>
      <c r="P335" s="1031"/>
      <c r="Q335" s="1133">
        <f>IF(K335&lt;&gt;"Importado",0,IF(P335&gt;0,P335*H335,IFERROR(_xlfn.XLOOKUP(F335,Proveedores!A:A,Proveedores!F:F,0)*H335,0)))</f>
        <v>0</v>
      </c>
      <c r="R335" s="1134" t="e">
        <f t="shared" si="252"/>
        <v>#VALUE!</v>
      </c>
      <c r="S335" s="743"/>
      <c r="T335" s="1034" t="e">
        <f t="shared" si="239"/>
        <v>#N/A</v>
      </c>
      <c r="U335" s="1034" t="e">
        <f t="shared" si="253"/>
        <v>#N/A</v>
      </c>
      <c r="V335" s="1165" t="e">
        <f t="shared" si="240"/>
        <v>#N/A</v>
      </c>
      <c r="W335" s="1034" t="e">
        <f t="shared" si="254"/>
        <v>#N/A</v>
      </c>
      <c r="X335" s="1034" t="b">
        <f t="shared" si="255"/>
        <v>0</v>
      </c>
      <c r="Y335" s="1034">
        <f t="shared" si="256"/>
        <v>0</v>
      </c>
      <c r="Z335" s="1034">
        <f t="shared" si="257"/>
        <v>0</v>
      </c>
      <c r="AA335" s="1034">
        <f t="shared" si="241"/>
        <v>0</v>
      </c>
      <c r="AB335" s="1034">
        <f t="shared" si="242"/>
        <v>0</v>
      </c>
      <c r="AC335" s="1033">
        <f t="shared" si="258"/>
        <v>0</v>
      </c>
      <c r="AD335" s="1266">
        <f t="shared" si="243"/>
        <v>0</v>
      </c>
      <c r="AE335" s="1093">
        <f t="shared" si="259"/>
        <v>0</v>
      </c>
      <c r="AF335" s="1093">
        <f t="shared" si="260"/>
        <v>0</v>
      </c>
      <c r="AG335" s="1093">
        <f t="shared" si="244"/>
        <v>0</v>
      </c>
      <c r="AH335" s="1033" t="e">
        <f t="shared" si="245"/>
        <v>#DIV/0!</v>
      </c>
      <c r="AI335" s="1091">
        <f t="shared" si="246"/>
        <v>0</v>
      </c>
      <c r="AJ335" s="1094">
        <f t="shared" si="247"/>
        <v>0</v>
      </c>
      <c r="AK335" s="1053" t="str">
        <f t="shared" si="248"/>
        <v/>
      </c>
      <c r="AL335" s="1053"/>
      <c r="AM335" s="1290">
        <f>_xlfn.XLOOKUP(F335,Proveedores!A:A,Proveedores!G:G)</f>
        <v>0</v>
      </c>
      <c r="AN335" s="1095" t="str">
        <f t="shared" si="261"/>
        <v>OK</v>
      </c>
    </row>
    <row r="336" spans="1:40" ht="15.95">
      <c r="A336" s="1090" t="b">
        <f t="shared" si="236"/>
        <v>1</v>
      </c>
      <c r="B336" s="1091" t="b">
        <f t="shared" si="249"/>
        <v>1</v>
      </c>
      <c r="C336" s="1092" t="str">
        <f t="shared" si="250"/>
        <v>Dólares</v>
      </c>
      <c r="D336" s="11"/>
      <c r="E336" s="743"/>
      <c r="F336" s="17"/>
      <c r="G336" s="17" t="str">
        <f t="shared" si="237"/>
        <v xml:space="preserve"> </v>
      </c>
      <c r="H336" s="12">
        <v>0</v>
      </c>
      <c r="I336" s="16" t="str">
        <f>IFERROR(VLOOKUP(G336,Proveedores!B:C,2,0)," ")</f>
        <v xml:space="preserve"> </v>
      </c>
      <c r="J336" s="745">
        <v>0</v>
      </c>
      <c r="K336" s="745" t="str">
        <f t="shared" si="238"/>
        <v>Not Found</v>
      </c>
      <c r="L336" s="16">
        <f>IF(K336="Importado",Fletes!$B$66,0%)</f>
        <v>0</v>
      </c>
      <c r="M336" s="745">
        <f t="shared" si="251"/>
        <v>0</v>
      </c>
      <c r="N336" s="16">
        <f>IF(K336&lt;&gt;"Importado",0%,IF(Fletes!$B$67&lt;10,15%,IF(Fletes!$B$67&lt;20,10%,5%)))</f>
        <v>0</v>
      </c>
      <c r="O336" s="745" t="str">
        <f>IFERROR(IF(OR(F336="Offiho",F336="Lauco Sofas",F336="Requiez",F336="Labenze",F336="Sunon Mty",F336="Sonara"),(M336*(1-_xlfn.XLOOKUP(F336,Proveedores!A:A,Proveedores!I:I)))*(1+N336),((M336*(1-_xlfn.XLOOKUP(F336,Proveedores!A:A,Proveedores!I:I)))*(1+N336))+U336),"")</f>
        <v/>
      </c>
      <c r="P336" s="1031"/>
      <c r="Q336" s="1133">
        <f>IF(K336&lt;&gt;"Importado",0,IF(P336&gt;0,P336*H336,IFERROR(_xlfn.XLOOKUP(F336,Proveedores!A:A,Proveedores!F:F,0)*H336,0)))</f>
        <v>0</v>
      </c>
      <c r="R336" s="1134" t="e">
        <f t="shared" si="252"/>
        <v>#VALUE!</v>
      </c>
      <c r="S336" s="743"/>
      <c r="T336" s="1034" t="e">
        <f t="shared" si="239"/>
        <v>#N/A</v>
      </c>
      <c r="U336" s="1034" t="e">
        <f t="shared" si="253"/>
        <v>#N/A</v>
      </c>
      <c r="V336" s="1165" t="e">
        <f t="shared" si="240"/>
        <v>#N/A</v>
      </c>
      <c r="W336" s="1034" t="e">
        <f t="shared" si="254"/>
        <v>#N/A</v>
      </c>
      <c r="X336" s="1034" t="b">
        <f t="shared" si="255"/>
        <v>0</v>
      </c>
      <c r="Y336" s="1034">
        <f t="shared" si="256"/>
        <v>0</v>
      </c>
      <c r="Z336" s="1034">
        <f t="shared" si="257"/>
        <v>0</v>
      </c>
      <c r="AA336" s="1034">
        <f t="shared" si="241"/>
        <v>0</v>
      </c>
      <c r="AB336" s="1034">
        <f t="shared" si="242"/>
        <v>0</v>
      </c>
      <c r="AC336" s="1033">
        <f t="shared" si="258"/>
        <v>0</v>
      </c>
      <c r="AD336" s="1266">
        <f t="shared" si="243"/>
        <v>0</v>
      </c>
      <c r="AE336" s="1093">
        <f t="shared" si="259"/>
        <v>0</v>
      </c>
      <c r="AF336" s="1093">
        <f t="shared" si="260"/>
        <v>0</v>
      </c>
      <c r="AG336" s="1093">
        <f t="shared" si="244"/>
        <v>0</v>
      </c>
      <c r="AH336" s="1033" t="e">
        <f t="shared" si="245"/>
        <v>#DIV/0!</v>
      </c>
      <c r="AI336" s="1091">
        <f t="shared" si="246"/>
        <v>0</v>
      </c>
      <c r="AJ336" s="1094">
        <f t="shared" si="247"/>
        <v>0</v>
      </c>
      <c r="AK336" s="1053" t="str">
        <f t="shared" si="248"/>
        <v/>
      </c>
      <c r="AL336" s="1053"/>
      <c r="AM336" s="1290">
        <f>_xlfn.XLOOKUP(F336,Proveedores!A:A,Proveedores!G:G)</f>
        <v>0</v>
      </c>
      <c r="AN336" s="1095" t="str">
        <f t="shared" si="261"/>
        <v>OK</v>
      </c>
    </row>
    <row r="337" spans="1:40" ht="15.95">
      <c r="A337" s="1090" t="b">
        <f t="shared" si="236"/>
        <v>1</v>
      </c>
      <c r="B337" s="1091" t="b">
        <f t="shared" si="249"/>
        <v>1</v>
      </c>
      <c r="C337" s="1092" t="str">
        <f t="shared" si="250"/>
        <v>Dólares</v>
      </c>
      <c r="D337" s="11"/>
      <c r="E337" s="743"/>
      <c r="F337" s="17"/>
      <c r="G337" s="17" t="str">
        <f t="shared" si="237"/>
        <v xml:space="preserve"> </v>
      </c>
      <c r="H337" s="12">
        <v>0</v>
      </c>
      <c r="I337" s="16" t="str">
        <f>IFERROR(VLOOKUP(G337,Proveedores!B:C,2,0)," ")</f>
        <v xml:space="preserve"> </v>
      </c>
      <c r="J337" s="745">
        <v>0</v>
      </c>
      <c r="K337" s="745" t="str">
        <f t="shared" si="238"/>
        <v>Not Found</v>
      </c>
      <c r="L337" s="16">
        <f>IF(K337="Importado",Fletes!$B$66,0%)</f>
        <v>0</v>
      </c>
      <c r="M337" s="745">
        <f t="shared" si="251"/>
        <v>0</v>
      </c>
      <c r="N337" s="16">
        <f>IF(K337&lt;&gt;"Importado",0%,IF(Fletes!$B$67&lt;10,15%,IF(Fletes!$B$67&lt;20,10%,5%)))</f>
        <v>0</v>
      </c>
      <c r="O337" s="745" t="str">
        <f>IFERROR(IF(OR(F337="Offiho",F337="Lauco Sofas",F337="Requiez",F337="Labenze",F337="Sunon Mty",F337="Sonara"),(M337*(1-_xlfn.XLOOKUP(F337,Proveedores!A:A,Proveedores!I:I)))*(1+N337),((M337*(1-_xlfn.XLOOKUP(F337,Proveedores!A:A,Proveedores!I:I)))*(1+N337))+U337),"")</f>
        <v/>
      </c>
      <c r="P337" s="1031"/>
      <c r="Q337" s="1133">
        <f>IF(K337&lt;&gt;"Importado",0,IF(P337&gt;0,P337*H337,IFERROR(_xlfn.XLOOKUP(F337,Proveedores!A:A,Proveedores!F:F,0)*H337,0)))</f>
        <v>0</v>
      </c>
      <c r="R337" s="1134" t="e">
        <f t="shared" si="252"/>
        <v>#VALUE!</v>
      </c>
      <c r="S337" s="743"/>
      <c r="T337" s="1034" t="e">
        <f t="shared" si="239"/>
        <v>#N/A</v>
      </c>
      <c r="U337" s="1034" t="e">
        <f t="shared" si="253"/>
        <v>#N/A</v>
      </c>
      <c r="V337" s="1165" t="e">
        <f t="shared" si="240"/>
        <v>#N/A</v>
      </c>
      <c r="W337" s="1034" t="e">
        <f t="shared" si="254"/>
        <v>#N/A</v>
      </c>
      <c r="X337" s="1034" t="b">
        <f t="shared" si="255"/>
        <v>0</v>
      </c>
      <c r="Y337" s="1034">
        <f t="shared" si="256"/>
        <v>0</v>
      </c>
      <c r="Z337" s="1034">
        <f t="shared" si="257"/>
        <v>0</v>
      </c>
      <c r="AA337" s="1034">
        <f t="shared" si="241"/>
        <v>0</v>
      </c>
      <c r="AB337" s="1034">
        <f t="shared" si="242"/>
        <v>0</v>
      </c>
      <c r="AC337" s="1033">
        <f t="shared" si="258"/>
        <v>0</v>
      </c>
      <c r="AD337" s="1266">
        <f t="shared" si="243"/>
        <v>0</v>
      </c>
      <c r="AE337" s="1093">
        <f t="shared" si="259"/>
        <v>0</v>
      </c>
      <c r="AF337" s="1093">
        <f t="shared" si="260"/>
        <v>0</v>
      </c>
      <c r="AG337" s="1093">
        <f t="shared" si="244"/>
        <v>0</v>
      </c>
      <c r="AH337" s="1033" t="e">
        <f t="shared" si="245"/>
        <v>#DIV/0!</v>
      </c>
      <c r="AI337" s="1091">
        <f t="shared" si="246"/>
        <v>0</v>
      </c>
      <c r="AJ337" s="1094">
        <f t="shared" si="247"/>
        <v>0</v>
      </c>
      <c r="AK337" s="1053" t="str">
        <f t="shared" si="248"/>
        <v/>
      </c>
      <c r="AL337" s="1053"/>
      <c r="AM337" s="1290">
        <f>_xlfn.XLOOKUP(F337,Proveedores!A:A,Proveedores!G:G)</f>
        <v>0</v>
      </c>
      <c r="AN337" s="1095" t="str">
        <f t="shared" si="261"/>
        <v>OK</v>
      </c>
    </row>
    <row r="338" spans="1:40" ht="15.95">
      <c r="A338" s="1090" t="b">
        <f t="shared" si="236"/>
        <v>1</v>
      </c>
      <c r="B338" s="1091" t="b">
        <f t="shared" si="249"/>
        <v>1</v>
      </c>
      <c r="C338" s="1092" t="str">
        <f t="shared" si="250"/>
        <v>Dólares</v>
      </c>
      <c r="D338" s="11"/>
      <c r="E338" s="743"/>
      <c r="F338" s="17"/>
      <c r="G338" s="17" t="str">
        <f t="shared" si="237"/>
        <v xml:space="preserve"> </v>
      </c>
      <c r="H338" s="12">
        <v>0</v>
      </c>
      <c r="I338" s="16" t="str">
        <f>IFERROR(VLOOKUP(G338,Proveedores!B:C,2,0)," ")</f>
        <v xml:space="preserve"> </v>
      </c>
      <c r="J338" s="745">
        <v>0</v>
      </c>
      <c r="K338" s="745" t="str">
        <f t="shared" si="238"/>
        <v>Not Found</v>
      </c>
      <c r="L338" s="16">
        <f>IF(K338="Importado",Fletes!$B$66,0%)</f>
        <v>0</v>
      </c>
      <c r="M338" s="745">
        <f t="shared" si="251"/>
        <v>0</v>
      </c>
      <c r="N338" s="16">
        <f>IF(K338&lt;&gt;"Importado",0%,IF(Fletes!$B$67&lt;10,15%,IF(Fletes!$B$67&lt;20,10%,5%)))</f>
        <v>0</v>
      </c>
      <c r="O338" s="745" t="str">
        <f>IFERROR(IF(OR(F338="Offiho",F338="Lauco Sofas",F338="Requiez",F338="Labenze",F338="Sunon Mty",F338="Sonara"),(M338*(1-_xlfn.XLOOKUP(F338,Proveedores!A:A,Proveedores!I:I)))*(1+N338),((M338*(1-_xlfn.XLOOKUP(F338,Proveedores!A:A,Proveedores!I:I)))*(1+N338))+U338),"")</f>
        <v/>
      </c>
      <c r="P338" s="1031"/>
      <c r="Q338" s="1133">
        <f>IF(K338&lt;&gt;"Importado",0,IF(P338&gt;0,P338*H338,IFERROR(_xlfn.XLOOKUP(F338,Proveedores!A:A,Proveedores!F:F,0)*H338,0)))</f>
        <v>0</v>
      </c>
      <c r="R338" s="1134" t="e">
        <f t="shared" si="252"/>
        <v>#VALUE!</v>
      </c>
      <c r="S338" s="743"/>
      <c r="T338" s="1034" t="e">
        <f t="shared" si="239"/>
        <v>#N/A</v>
      </c>
      <c r="U338" s="1034" t="e">
        <f t="shared" si="253"/>
        <v>#N/A</v>
      </c>
      <c r="V338" s="1165" t="e">
        <f t="shared" si="240"/>
        <v>#N/A</v>
      </c>
      <c r="W338" s="1034" t="e">
        <f t="shared" si="254"/>
        <v>#N/A</v>
      </c>
      <c r="X338" s="1034" t="b">
        <f t="shared" si="255"/>
        <v>0</v>
      </c>
      <c r="Y338" s="1034">
        <f t="shared" si="256"/>
        <v>0</v>
      </c>
      <c r="Z338" s="1034">
        <f t="shared" si="257"/>
        <v>0</v>
      </c>
      <c r="AA338" s="1034">
        <f t="shared" si="241"/>
        <v>0</v>
      </c>
      <c r="AB338" s="1034">
        <f t="shared" si="242"/>
        <v>0</v>
      </c>
      <c r="AC338" s="1033">
        <f t="shared" si="258"/>
        <v>0</v>
      </c>
      <c r="AD338" s="1266">
        <f t="shared" si="243"/>
        <v>0</v>
      </c>
      <c r="AE338" s="1093">
        <f t="shared" si="259"/>
        <v>0</v>
      </c>
      <c r="AF338" s="1093">
        <f t="shared" si="260"/>
        <v>0</v>
      </c>
      <c r="AG338" s="1093">
        <f t="shared" si="244"/>
        <v>0</v>
      </c>
      <c r="AH338" s="1033" t="e">
        <f t="shared" si="245"/>
        <v>#DIV/0!</v>
      </c>
      <c r="AI338" s="1091">
        <f t="shared" si="246"/>
        <v>0</v>
      </c>
      <c r="AJ338" s="1094">
        <f t="shared" si="247"/>
        <v>0</v>
      </c>
      <c r="AK338" s="1053" t="str">
        <f t="shared" si="248"/>
        <v/>
      </c>
      <c r="AL338" s="1053"/>
      <c r="AM338" s="1290">
        <f>_xlfn.XLOOKUP(F338,Proveedores!A:A,Proveedores!G:G)</f>
        <v>0</v>
      </c>
      <c r="AN338" s="1095" t="str">
        <f t="shared" si="261"/>
        <v>OK</v>
      </c>
    </row>
    <row r="339" spans="1:40" ht="15.95">
      <c r="A339" s="1090" t="b">
        <f t="shared" si="236"/>
        <v>1</v>
      </c>
      <c r="B339" s="1091" t="b">
        <f t="shared" si="249"/>
        <v>1</v>
      </c>
      <c r="C339" s="1092" t="str">
        <f t="shared" si="250"/>
        <v>Dólares</v>
      </c>
      <c r="D339" s="11"/>
      <c r="E339" s="743"/>
      <c r="F339" s="17"/>
      <c r="G339" s="17" t="str">
        <f t="shared" si="237"/>
        <v xml:space="preserve"> </v>
      </c>
      <c r="H339" s="12">
        <v>0</v>
      </c>
      <c r="I339" s="16" t="str">
        <f>IFERROR(VLOOKUP(G339,Proveedores!B:C,2,0)," ")</f>
        <v xml:space="preserve"> </v>
      </c>
      <c r="J339" s="745">
        <v>0</v>
      </c>
      <c r="K339" s="745" t="str">
        <f t="shared" si="238"/>
        <v>Not Found</v>
      </c>
      <c r="L339" s="16">
        <f>IF(K339="Importado",Fletes!$B$66,0%)</f>
        <v>0</v>
      </c>
      <c r="M339" s="745">
        <f t="shared" si="251"/>
        <v>0</v>
      </c>
      <c r="N339" s="16">
        <f>IF(K339&lt;&gt;"Importado",0%,IF(Fletes!$B$67&lt;10,15%,IF(Fletes!$B$67&lt;20,10%,5%)))</f>
        <v>0</v>
      </c>
      <c r="O339" s="745" t="str">
        <f>IFERROR(IF(OR(F339="Offiho",F339="Lauco Sofas",F339="Requiez",F339="Labenze",F339="Sunon Mty",F339="Sonara"),(M339*(1-_xlfn.XLOOKUP(F339,Proveedores!A:A,Proveedores!I:I)))*(1+N339),((M339*(1-_xlfn.XLOOKUP(F339,Proveedores!A:A,Proveedores!I:I)))*(1+N339))+U339),"")</f>
        <v/>
      </c>
      <c r="P339" s="1031"/>
      <c r="Q339" s="1133">
        <f>IF(K339&lt;&gt;"Importado",0,IF(P339&gt;0,P339*H339,IFERROR(_xlfn.XLOOKUP(F339,Proveedores!A:A,Proveedores!F:F,0)*H339,0)))</f>
        <v>0</v>
      </c>
      <c r="R339" s="1134" t="e">
        <f t="shared" si="252"/>
        <v>#VALUE!</v>
      </c>
      <c r="S339" s="743"/>
      <c r="T339" s="1034" t="e">
        <f t="shared" si="239"/>
        <v>#N/A</v>
      </c>
      <c r="U339" s="1034" t="e">
        <f t="shared" si="253"/>
        <v>#N/A</v>
      </c>
      <c r="V339" s="1165" t="e">
        <f t="shared" si="240"/>
        <v>#N/A</v>
      </c>
      <c r="W339" s="1034" t="e">
        <f t="shared" si="254"/>
        <v>#N/A</v>
      </c>
      <c r="X339" s="1034" t="b">
        <f t="shared" si="255"/>
        <v>0</v>
      </c>
      <c r="Y339" s="1034">
        <f t="shared" si="256"/>
        <v>0</v>
      </c>
      <c r="Z339" s="1034">
        <f t="shared" si="257"/>
        <v>0</v>
      </c>
      <c r="AA339" s="1034">
        <f t="shared" si="241"/>
        <v>0</v>
      </c>
      <c r="AB339" s="1034">
        <f t="shared" si="242"/>
        <v>0</v>
      </c>
      <c r="AC339" s="1033">
        <f t="shared" si="258"/>
        <v>0</v>
      </c>
      <c r="AD339" s="1266">
        <f t="shared" si="243"/>
        <v>0</v>
      </c>
      <c r="AE339" s="1093">
        <f t="shared" si="259"/>
        <v>0</v>
      </c>
      <c r="AF339" s="1093">
        <f t="shared" si="260"/>
        <v>0</v>
      </c>
      <c r="AG339" s="1093">
        <f t="shared" si="244"/>
        <v>0</v>
      </c>
      <c r="AH339" s="1033" t="e">
        <f t="shared" si="245"/>
        <v>#DIV/0!</v>
      </c>
      <c r="AI339" s="1091">
        <f t="shared" si="246"/>
        <v>0</v>
      </c>
      <c r="AJ339" s="1094">
        <f t="shared" si="247"/>
        <v>0</v>
      </c>
      <c r="AK339" s="1053" t="str">
        <f t="shared" si="248"/>
        <v/>
      </c>
      <c r="AL339" s="1053"/>
      <c r="AM339" s="1290">
        <f>_xlfn.XLOOKUP(F339,Proveedores!A:A,Proveedores!G:G)</f>
        <v>0</v>
      </c>
      <c r="AN339" s="1095" t="str">
        <f t="shared" si="261"/>
        <v>OK</v>
      </c>
    </row>
    <row r="340" spans="1:40" ht="15.95">
      <c r="A340" s="1090" t="b">
        <f t="shared" si="236"/>
        <v>1</v>
      </c>
      <c r="B340" s="1091" t="b">
        <f t="shared" si="249"/>
        <v>1</v>
      </c>
      <c r="C340" s="1092" t="str">
        <f t="shared" si="250"/>
        <v>Dólares</v>
      </c>
      <c r="D340" s="13"/>
      <c r="E340" s="743"/>
      <c r="F340" s="17"/>
      <c r="G340" s="17" t="str">
        <f t="shared" si="237"/>
        <v xml:space="preserve"> </v>
      </c>
      <c r="H340" s="12">
        <v>0</v>
      </c>
      <c r="I340" s="16" t="str">
        <f>IFERROR(VLOOKUP(G340,Proveedores!B:C,2,0)," ")</f>
        <v xml:space="preserve"> </v>
      </c>
      <c r="J340" s="745">
        <v>0</v>
      </c>
      <c r="K340" s="745" t="str">
        <f t="shared" si="238"/>
        <v>Not Found</v>
      </c>
      <c r="L340" s="16">
        <f>IF(K340="Importado",Fletes!$B$66,0%)</f>
        <v>0</v>
      </c>
      <c r="M340" s="745">
        <f t="shared" si="251"/>
        <v>0</v>
      </c>
      <c r="N340" s="16">
        <f>IF(K340&lt;&gt;"Importado",0%,IF(Fletes!$B$67&lt;10,15%,IF(Fletes!$B$67&lt;20,10%,5%)))</f>
        <v>0</v>
      </c>
      <c r="O340" s="745" t="str">
        <f>IFERROR(IF(OR(F340="Offiho",F340="Lauco Sofas",F340="Requiez",F340="Labenze",F340="Sunon Mty",F340="Sonara"),(M340*(1-_xlfn.XLOOKUP(F340,Proveedores!A:A,Proveedores!I:I)))*(1+N340),((M340*(1-_xlfn.XLOOKUP(F340,Proveedores!A:A,Proveedores!I:I)))*(1+N340))+U340),"")</f>
        <v/>
      </c>
      <c r="P340" s="1031"/>
      <c r="Q340" s="1133">
        <f>IF(K340&lt;&gt;"Importado",0,IF(P340&gt;0,P340*H340,IFERROR(_xlfn.XLOOKUP(F340,Proveedores!A:A,Proveedores!F:F,0)*H340,0)))</f>
        <v>0</v>
      </c>
      <c r="R340" s="1134" t="e">
        <f t="shared" si="252"/>
        <v>#VALUE!</v>
      </c>
      <c r="S340" s="743"/>
      <c r="T340" s="1034" t="e">
        <f t="shared" si="239"/>
        <v>#N/A</v>
      </c>
      <c r="U340" s="1034" t="e">
        <f t="shared" si="253"/>
        <v>#N/A</v>
      </c>
      <c r="V340" s="1165" t="e">
        <f t="shared" si="240"/>
        <v>#N/A</v>
      </c>
      <c r="W340" s="1034" t="e">
        <f t="shared" si="254"/>
        <v>#N/A</v>
      </c>
      <c r="X340" s="1034" t="b">
        <f t="shared" si="255"/>
        <v>0</v>
      </c>
      <c r="Y340" s="1034">
        <f t="shared" si="256"/>
        <v>0</v>
      </c>
      <c r="Z340" s="1034">
        <f t="shared" si="257"/>
        <v>0</v>
      </c>
      <c r="AA340" s="1034">
        <f t="shared" si="241"/>
        <v>0</v>
      </c>
      <c r="AB340" s="1034">
        <f t="shared" si="242"/>
        <v>0</v>
      </c>
      <c r="AC340" s="1033">
        <f t="shared" si="258"/>
        <v>0</v>
      </c>
      <c r="AD340" s="1266">
        <f t="shared" si="243"/>
        <v>0</v>
      </c>
      <c r="AE340" s="1093">
        <f t="shared" si="259"/>
        <v>0</v>
      </c>
      <c r="AF340" s="1093">
        <f t="shared" si="260"/>
        <v>0</v>
      </c>
      <c r="AG340" s="1093">
        <f t="shared" si="244"/>
        <v>0</v>
      </c>
      <c r="AH340" s="1033" t="e">
        <f t="shared" si="245"/>
        <v>#DIV/0!</v>
      </c>
      <c r="AI340" s="1091">
        <f t="shared" si="246"/>
        <v>0</v>
      </c>
      <c r="AJ340" s="1094">
        <f t="shared" si="247"/>
        <v>0</v>
      </c>
      <c r="AK340" s="1053" t="str">
        <f t="shared" si="248"/>
        <v/>
      </c>
      <c r="AL340" s="1053"/>
      <c r="AM340" s="1290">
        <f>_xlfn.XLOOKUP(F340,Proveedores!A:A,Proveedores!G:G)</f>
        <v>0</v>
      </c>
      <c r="AN340" s="1095" t="str">
        <f t="shared" si="261"/>
        <v>OK</v>
      </c>
    </row>
    <row r="341" spans="1:40" ht="15.95">
      <c r="A341" s="1090" t="b">
        <f t="shared" si="236"/>
        <v>1</v>
      </c>
      <c r="B341" s="1091" t="b">
        <f t="shared" si="249"/>
        <v>1</v>
      </c>
      <c r="C341" s="1092" t="str">
        <f t="shared" si="250"/>
        <v>Dólares</v>
      </c>
      <c r="D341" s="13"/>
      <c r="E341" s="743"/>
      <c r="F341" s="17"/>
      <c r="G341" s="17" t="str">
        <f t="shared" si="237"/>
        <v xml:space="preserve"> </v>
      </c>
      <c r="H341" s="12">
        <v>0</v>
      </c>
      <c r="I341" s="16" t="str">
        <f>IFERROR(VLOOKUP(G341,Proveedores!B:C,2,0)," ")</f>
        <v xml:space="preserve"> </v>
      </c>
      <c r="J341" s="745">
        <v>0</v>
      </c>
      <c r="K341" s="745" t="str">
        <f t="shared" si="238"/>
        <v>Not Found</v>
      </c>
      <c r="L341" s="16">
        <f>IF(K341="Importado",Fletes!$B$66,0%)</f>
        <v>0</v>
      </c>
      <c r="M341" s="745">
        <f t="shared" si="251"/>
        <v>0</v>
      </c>
      <c r="N341" s="16">
        <f>IF(K341&lt;&gt;"Importado",0%,IF(Fletes!$B$67&lt;10,15%,IF(Fletes!$B$67&lt;20,10%,5%)))</f>
        <v>0</v>
      </c>
      <c r="O341" s="745" t="str">
        <f>IFERROR(IF(OR(F341="Offiho",F341="Lauco Sofas",F341="Requiez",F341="Labenze",F341="Sunon Mty",F341="Sonara"),(M341*(1-_xlfn.XLOOKUP(F341,Proveedores!A:A,Proveedores!I:I)))*(1+N341),((M341*(1-_xlfn.XLOOKUP(F341,Proveedores!A:A,Proveedores!I:I)))*(1+N341))+U341),"")</f>
        <v/>
      </c>
      <c r="P341" s="1031"/>
      <c r="Q341" s="1133">
        <f>IF(K341&lt;&gt;"Importado",0,IF(P341&gt;0,P341*H341,IFERROR(_xlfn.XLOOKUP(F341,Proveedores!A:A,Proveedores!F:F,0)*H341,0)))</f>
        <v>0</v>
      </c>
      <c r="R341" s="1134" t="e">
        <f t="shared" si="252"/>
        <v>#VALUE!</v>
      </c>
      <c r="S341" s="743"/>
      <c r="T341" s="1034" t="e">
        <f t="shared" si="239"/>
        <v>#N/A</v>
      </c>
      <c r="U341" s="1034" t="e">
        <f t="shared" si="253"/>
        <v>#N/A</v>
      </c>
      <c r="V341" s="1165" t="e">
        <f t="shared" si="240"/>
        <v>#N/A</v>
      </c>
      <c r="W341" s="1034" t="e">
        <f t="shared" si="254"/>
        <v>#N/A</v>
      </c>
      <c r="X341" s="1034" t="b">
        <f t="shared" si="255"/>
        <v>0</v>
      </c>
      <c r="Y341" s="1034">
        <f t="shared" si="256"/>
        <v>0</v>
      </c>
      <c r="Z341" s="1034">
        <f t="shared" si="257"/>
        <v>0</v>
      </c>
      <c r="AA341" s="1034">
        <f t="shared" si="241"/>
        <v>0</v>
      </c>
      <c r="AB341" s="1034">
        <f t="shared" si="242"/>
        <v>0</v>
      </c>
      <c r="AC341" s="1033">
        <f t="shared" si="258"/>
        <v>0</v>
      </c>
      <c r="AD341" s="1266">
        <f t="shared" si="243"/>
        <v>0</v>
      </c>
      <c r="AE341" s="1093">
        <f t="shared" si="259"/>
        <v>0</v>
      </c>
      <c r="AF341" s="1093">
        <f t="shared" si="260"/>
        <v>0</v>
      </c>
      <c r="AG341" s="1093">
        <f t="shared" si="244"/>
        <v>0</v>
      </c>
      <c r="AH341" s="1033" t="e">
        <f t="shared" si="245"/>
        <v>#DIV/0!</v>
      </c>
      <c r="AI341" s="1091">
        <f t="shared" si="246"/>
        <v>0</v>
      </c>
      <c r="AJ341" s="1094">
        <f t="shared" si="247"/>
        <v>0</v>
      </c>
      <c r="AK341" s="1053" t="str">
        <f t="shared" si="248"/>
        <v/>
      </c>
      <c r="AL341" s="1053"/>
      <c r="AM341" s="1290">
        <f>_xlfn.XLOOKUP(F341,Proveedores!A:A,Proveedores!G:G)</f>
        <v>0</v>
      </c>
      <c r="AN341" s="1095" t="str">
        <f t="shared" si="261"/>
        <v>OK</v>
      </c>
    </row>
    <row r="342" spans="1:40" ht="15.95">
      <c r="A342" s="1090" t="b">
        <f t="shared" si="236"/>
        <v>1</v>
      </c>
      <c r="B342" s="1091" t="b">
        <f t="shared" si="249"/>
        <v>1</v>
      </c>
      <c r="C342" s="1092" t="str">
        <f t="shared" si="250"/>
        <v>Dólares</v>
      </c>
      <c r="D342" s="13"/>
      <c r="E342" s="743"/>
      <c r="F342" s="17"/>
      <c r="G342" s="17" t="str">
        <f t="shared" si="237"/>
        <v xml:space="preserve"> </v>
      </c>
      <c r="H342" s="12">
        <v>0</v>
      </c>
      <c r="I342" s="16" t="str">
        <f>IFERROR(VLOOKUP(G342,Proveedores!B:C,2,0)," ")</f>
        <v xml:space="preserve"> </v>
      </c>
      <c r="J342" s="745">
        <v>0</v>
      </c>
      <c r="K342" s="745" t="str">
        <f t="shared" si="238"/>
        <v>Not Found</v>
      </c>
      <c r="L342" s="16">
        <f>IF(K342="Importado",Fletes!$B$66,0%)</f>
        <v>0</v>
      </c>
      <c r="M342" s="745">
        <f t="shared" si="251"/>
        <v>0</v>
      </c>
      <c r="N342" s="16">
        <f>IF(K342&lt;&gt;"Importado",0%,IF(Fletes!$B$67&lt;10,15%,IF(Fletes!$B$67&lt;20,10%,5%)))</f>
        <v>0</v>
      </c>
      <c r="O342" s="745" t="str">
        <f>IFERROR(IF(OR(F342="Offiho",F342="Lauco Sofas",F342="Requiez",F342="Labenze",F342="Sunon Mty",F342="Sonara"),(M342*(1-_xlfn.XLOOKUP(F342,Proveedores!A:A,Proveedores!I:I)))*(1+N342),((M342*(1-_xlfn.XLOOKUP(F342,Proveedores!A:A,Proveedores!I:I)))*(1+N342))+U342),"")</f>
        <v/>
      </c>
      <c r="P342" s="1031"/>
      <c r="Q342" s="1133">
        <f>IF(K342&lt;&gt;"Importado",0,IF(P342&gt;0,P342*H342,IFERROR(_xlfn.XLOOKUP(F342,Proveedores!A:A,Proveedores!F:F,0)*H342,0)))</f>
        <v>0</v>
      </c>
      <c r="R342" s="1134" t="e">
        <f t="shared" si="252"/>
        <v>#VALUE!</v>
      </c>
      <c r="S342" s="743"/>
      <c r="T342" s="1034" t="e">
        <f t="shared" si="239"/>
        <v>#N/A</v>
      </c>
      <c r="U342" s="1034" t="e">
        <f t="shared" si="253"/>
        <v>#N/A</v>
      </c>
      <c r="V342" s="1165" t="e">
        <f t="shared" si="240"/>
        <v>#N/A</v>
      </c>
      <c r="W342" s="1034" t="e">
        <f t="shared" si="254"/>
        <v>#N/A</v>
      </c>
      <c r="X342" s="1034" t="b">
        <f t="shared" si="255"/>
        <v>0</v>
      </c>
      <c r="Y342" s="1034">
        <f t="shared" si="256"/>
        <v>0</v>
      </c>
      <c r="Z342" s="1034">
        <f t="shared" si="257"/>
        <v>0</v>
      </c>
      <c r="AA342" s="1034">
        <f t="shared" si="241"/>
        <v>0</v>
      </c>
      <c r="AB342" s="1034">
        <f t="shared" si="242"/>
        <v>0</v>
      </c>
      <c r="AC342" s="1033">
        <f t="shared" si="258"/>
        <v>0</v>
      </c>
      <c r="AD342" s="1266">
        <f t="shared" si="243"/>
        <v>0</v>
      </c>
      <c r="AE342" s="1093">
        <f t="shared" si="259"/>
        <v>0</v>
      </c>
      <c r="AF342" s="1093">
        <f t="shared" si="260"/>
        <v>0</v>
      </c>
      <c r="AG342" s="1093">
        <f t="shared" si="244"/>
        <v>0</v>
      </c>
      <c r="AH342" s="1033" t="e">
        <f t="shared" si="245"/>
        <v>#DIV/0!</v>
      </c>
      <c r="AI342" s="1091">
        <f t="shared" si="246"/>
        <v>0</v>
      </c>
      <c r="AJ342" s="1094">
        <f t="shared" si="247"/>
        <v>0</v>
      </c>
      <c r="AK342" s="1053" t="str">
        <f t="shared" si="248"/>
        <v/>
      </c>
      <c r="AL342" s="1053"/>
      <c r="AM342" s="1290">
        <f>_xlfn.XLOOKUP(F342,Proveedores!A:A,Proveedores!G:G)</f>
        <v>0</v>
      </c>
      <c r="AN342" s="1095" t="str">
        <f t="shared" si="261"/>
        <v>OK</v>
      </c>
    </row>
    <row r="343" spans="1:40" ht="15.95">
      <c r="A343" s="1090" t="b">
        <f t="shared" si="236"/>
        <v>1</v>
      </c>
      <c r="B343" s="1091" t="b">
        <f t="shared" si="249"/>
        <v>1</v>
      </c>
      <c r="C343" s="1092" t="str">
        <f t="shared" si="250"/>
        <v>Dólares</v>
      </c>
      <c r="D343" s="13"/>
      <c r="E343" s="743"/>
      <c r="F343" s="17"/>
      <c r="G343" s="17" t="str">
        <f t="shared" si="237"/>
        <v xml:space="preserve"> </v>
      </c>
      <c r="H343" s="12">
        <v>0</v>
      </c>
      <c r="I343" s="16" t="str">
        <f>IFERROR(VLOOKUP(G343,Proveedores!B:C,2,0)," ")</f>
        <v xml:space="preserve"> </v>
      </c>
      <c r="J343" s="745">
        <v>0</v>
      </c>
      <c r="K343" s="745" t="str">
        <f t="shared" si="238"/>
        <v>Not Found</v>
      </c>
      <c r="L343" s="16">
        <f>IF(K343="Importado",Fletes!$B$66,0%)</f>
        <v>0</v>
      </c>
      <c r="M343" s="745">
        <f t="shared" si="251"/>
        <v>0</v>
      </c>
      <c r="N343" s="16">
        <f>IF(K343&lt;&gt;"Importado",0%,IF(Fletes!$B$67&lt;10,15%,IF(Fletes!$B$67&lt;20,10%,5%)))</f>
        <v>0</v>
      </c>
      <c r="O343" s="745" t="str">
        <f>IFERROR(IF(OR(F343="Offiho",F343="Lauco Sofas",F343="Requiez",F343="Labenze",F343="Sunon Mty",F343="Sonara"),(M343*(1-_xlfn.XLOOKUP(F343,Proveedores!A:A,Proveedores!I:I)))*(1+N343),((M343*(1-_xlfn.XLOOKUP(F343,Proveedores!A:A,Proveedores!I:I)))*(1+N343))+U343),"")</f>
        <v/>
      </c>
      <c r="P343" s="1031"/>
      <c r="Q343" s="1133">
        <f>IF(K343&lt;&gt;"Importado",0,IF(P343&gt;0,P343*H343,IFERROR(_xlfn.XLOOKUP(F343,Proveedores!A:A,Proveedores!F:F,0)*H343,0)))</f>
        <v>0</v>
      </c>
      <c r="R343" s="1134" t="e">
        <f t="shared" si="252"/>
        <v>#VALUE!</v>
      </c>
      <c r="S343" s="743"/>
      <c r="T343" s="1034" t="e">
        <f t="shared" si="239"/>
        <v>#N/A</v>
      </c>
      <c r="U343" s="1034" t="e">
        <f t="shared" si="253"/>
        <v>#N/A</v>
      </c>
      <c r="V343" s="1165" t="e">
        <f t="shared" si="240"/>
        <v>#N/A</v>
      </c>
      <c r="W343" s="1034" t="e">
        <f t="shared" si="254"/>
        <v>#N/A</v>
      </c>
      <c r="X343" s="1034" t="b">
        <f t="shared" si="255"/>
        <v>0</v>
      </c>
      <c r="Y343" s="1034">
        <f t="shared" si="256"/>
        <v>0</v>
      </c>
      <c r="Z343" s="1034">
        <f t="shared" si="257"/>
        <v>0</v>
      </c>
      <c r="AA343" s="1034">
        <f t="shared" si="241"/>
        <v>0</v>
      </c>
      <c r="AB343" s="1034">
        <f t="shared" si="242"/>
        <v>0</v>
      </c>
      <c r="AC343" s="1033">
        <f t="shared" si="258"/>
        <v>0</v>
      </c>
      <c r="AD343" s="1266">
        <f t="shared" si="243"/>
        <v>0</v>
      </c>
      <c r="AE343" s="1093">
        <f t="shared" si="259"/>
        <v>0</v>
      </c>
      <c r="AF343" s="1093">
        <f t="shared" si="260"/>
        <v>0</v>
      </c>
      <c r="AG343" s="1093">
        <f t="shared" si="244"/>
        <v>0</v>
      </c>
      <c r="AH343" s="1033" t="e">
        <f t="shared" si="245"/>
        <v>#DIV/0!</v>
      </c>
      <c r="AI343" s="1091">
        <f t="shared" si="246"/>
        <v>0</v>
      </c>
      <c r="AJ343" s="1094">
        <f t="shared" si="247"/>
        <v>0</v>
      </c>
      <c r="AK343" s="1053" t="str">
        <f t="shared" si="248"/>
        <v/>
      </c>
      <c r="AL343" s="1053"/>
      <c r="AM343" s="1290">
        <f>_xlfn.XLOOKUP(F343,Proveedores!A:A,Proveedores!G:G)</f>
        <v>0</v>
      </c>
      <c r="AN343" s="1095" t="str">
        <f t="shared" si="261"/>
        <v>OK</v>
      </c>
    </row>
    <row r="344" spans="1:40" ht="15.95">
      <c r="A344" s="1090" t="b">
        <f t="shared" si="236"/>
        <v>1</v>
      </c>
      <c r="B344" s="1091" t="b">
        <f t="shared" si="249"/>
        <v>1</v>
      </c>
      <c r="C344" s="1092" t="str">
        <f t="shared" si="250"/>
        <v>Dólares</v>
      </c>
      <c r="D344" s="13"/>
      <c r="E344" s="743"/>
      <c r="F344" s="17"/>
      <c r="G344" s="17" t="str">
        <f t="shared" si="237"/>
        <v xml:space="preserve"> </v>
      </c>
      <c r="H344" s="12">
        <v>0</v>
      </c>
      <c r="I344" s="16" t="str">
        <f>IFERROR(VLOOKUP(G344,Proveedores!B:C,2,0)," ")</f>
        <v xml:space="preserve"> </v>
      </c>
      <c r="J344" s="745">
        <v>0</v>
      </c>
      <c r="K344" s="745" t="str">
        <f t="shared" si="238"/>
        <v>Not Found</v>
      </c>
      <c r="L344" s="16">
        <f>IF(K344="Importado",Fletes!$B$66,0%)</f>
        <v>0</v>
      </c>
      <c r="M344" s="745">
        <f t="shared" si="251"/>
        <v>0</v>
      </c>
      <c r="N344" s="16">
        <f>IF(K344&lt;&gt;"Importado",0%,IF(Fletes!$B$67&lt;10,15%,IF(Fletes!$B$67&lt;20,10%,5%)))</f>
        <v>0</v>
      </c>
      <c r="O344" s="745" t="str">
        <f>IFERROR(IF(OR(F344="Offiho",F344="Lauco Sofas",F344="Requiez",F344="Labenze",F344="Sunon Mty",F344="Sonara"),(M344*(1-_xlfn.XLOOKUP(F344,Proveedores!A:A,Proveedores!I:I)))*(1+N344),((M344*(1-_xlfn.XLOOKUP(F344,Proveedores!A:A,Proveedores!I:I)))*(1+N344))+U344),"")</f>
        <v/>
      </c>
      <c r="P344" s="1031"/>
      <c r="Q344" s="1133">
        <f>IF(K344&lt;&gt;"Importado",0,IF(P344&gt;0,P344*H344,IFERROR(_xlfn.XLOOKUP(F344,Proveedores!A:A,Proveedores!F:F,0)*H344,0)))</f>
        <v>0</v>
      </c>
      <c r="R344" s="1134" t="e">
        <f t="shared" si="252"/>
        <v>#VALUE!</v>
      </c>
      <c r="S344" s="743"/>
      <c r="T344" s="1034" t="e">
        <f t="shared" si="239"/>
        <v>#N/A</v>
      </c>
      <c r="U344" s="1034" t="e">
        <f t="shared" si="253"/>
        <v>#N/A</v>
      </c>
      <c r="V344" s="1165" t="e">
        <f t="shared" si="240"/>
        <v>#N/A</v>
      </c>
      <c r="W344" s="1034" t="e">
        <f t="shared" si="254"/>
        <v>#N/A</v>
      </c>
      <c r="X344" s="1034" t="b">
        <f t="shared" si="255"/>
        <v>0</v>
      </c>
      <c r="Y344" s="1034">
        <f t="shared" si="256"/>
        <v>0</v>
      </c>
      <c r="Z344" s="1034">
        <f t="shared" si="257"/>
        <v>0</v>
      </c>
      <c r="AA344" s="1034">
        <f t="shared" si="241"/>
        <v>0</v>
      </c>
      <c r="AB344" s="1034">
        <f t="shared" si="242"/>
        <v>0</v>
      </c>
      <c r="AC344" s="1033">
        <f t="shared" si="258"/>
        <v>0</v>
      </c>
      <c r="AD344" s="1266">
        <f t="shared" si="243"/>
        <v>0</v>
      </c>
      <c r="AE344" s="1093">
        <f t="shared" si="259"/>
        <v>0</v>
      </c>
      <c r="AF344" s="1093">
        <f t="shared" si="260"/>
        <v>0</v>
      </c>
      <c r="AG344" s="1093">
        <f t="shared" si="244"/>
        <v>0</v>
      </c>
      <c r="AH344" s="1033" t="e">
        <f t="shared" si="245"/>
        <v>#DIV/0!</v>
      </c>
      <c r="AI344" s="1091">
        <f t="shared" si="246"/>
        <v>0</v>
      </c>
      <c r="AJ344" s="1094">
        <f t="shared" si="247"/>
        <v>0</v>
      </c>
      <c r="AK344" s="1053" t="str">
        <f t="shared" si="248"/>
        <v/>
      </c>
      <c r="AL344" s="1053"/>
      <c r="AM344" s="1290">
        <f>_xlfn.XLOOKUP(F344,Proveedores!A:A,Proveedores!G:G)</f>
        <v>0</v>
      </c>
      <c r="AN344" s="1095" t="str">
        <f t="shared" si="261"/>
        <v>OK</v>
      </c>
    </row>
    <row r="345" spans="1:40" ht="15.95">
      <c r="A345" s="1090" t="b">
        <f t="shared" si="236"/>
        <v>1</v>
      </c>
      <c r="B345" s="1091" t="b">
        <f t="shared" si="249"/>
        <v>1</v>
      </c>
      <c r="C345" s="1092" t="str">
        <f t="shared" si="250"/>
        <v>Dólares</v>
      </c>
      <c r="D345" s="13"/>
      <c r="E345" s="743"/>
      <c r="F345" s="17"/>
      <c r="G345" s="17" t="str">
        <f t="shared" si="237"/>
        <v xml:space="preserve"> </v>
      </c>
      <c r="H345" s="12">
        <v>0</v>
      </c>
      <c r="I345" s="16" t="str">
        <f>IFERROR(VLOOKUP(G345,Proveedores!B:C,2,0)," ")</f>
        <v xml:space="preserve"> </v>
      </c>
      <c r="J345" s="745">
        <v>0</v>
      </c>
      <c r="K345" s="745" t="str">
        <f t="shared" si="238"/>
        <v>Not Found</v>
      </c>
      <c r="L345" s="16">
        <f>IF(K345="Importado",Fletes!$B$66,0%)</f>
        <v>0</v>
      </c>
      <c r="M345" s="745">
        <f t="shared" si="251"/>
        <v>0</v>
      </c>
      <c r="N345" s="16">
        <f>IF(K345&lt;&gt;"Importado",0%,IF(Fletes!$B$67&lt;10,15%,IF(Fletes!$B$67&lt;20,10%,5%)))</f>
        <v>0</v>
      </c>
      <c r="O345" s="745" t="str">
        <f>IFERROR(IF(OR(F345="Offiho",F345="Lauco Sofas",F345="Requiez",F345="Labenze",F345="Sunon Mty",F345="Sonara"),(M345*(1-_xlfn.XLOOKUP(F345,Proveedores!A:A,Proveedores!I:I)))*(1+N345),((M345*(1-_xlfn.XLOOKUP(F345,Proveedores!A:A,Proveedores!I:I)))*(1+N345))+U345),"")</f>
        <v/>
      </c>
      <c r="P345" s="1031"/>
      <c r="Q345" s="1133">
        <f>IF(K345&lt;&gt;"Importado",0,IF(P345&gt;0,P345*H345,IFERROR(_xlfn.XLOOKUP(F345,Proveedores!A:A,Proveedores!F:F,0)*H345,0)))</f>
        <v>0</v>
      </c>
      <c r="R345" s="1134" t="e">
        <f t="shared" si="252"/>
        <v>#VALUE!</v>
      </c>
      <c r="S345" s="743"/>
      <c r="T345" s="1034" t="e">
        <f t="shared" si="239"/>
        <v>#N/A</v>
      </c>
      <c r="U345" s="1034" t="e">
        <f t="shared" si="253"/>
        <v>#N/A</v>
      </c>
      <c r="V345" s="1165" t="e">
        <f t="shared" si="240"/>
        <v>#N/A</v>
      </c>
      <c r="W345" s="1034" t="e">
        <f t="shared" si="254"/>
        <v>#N/A</v>
      </c>
      <c r="X345" s="1034" t="b">
        <f t="shared" si="255"/>
        <v>0</v>
      </c>
      <c r="Y345" s="1034">
        <f t="shared" si="256"/>
        <v>0</v>
      </c>
      <c r="Z345" s="1034">
        <f t="shared" si="257"/>
        <v>0</v>
      </c>
      <c r="AA345" s="1034">
        <f t="shared" si="241"/>
        <v>0</v>
      </c>
      <c r="AB345" s="1034">
        <f t="shared" si="242"/>
        <v>0</v>
      </c>
      <c r="AC345" s="1033">
        <f t="shared" si="258"/>
        <v>0</v>
      </c>
      <c r="AD345" s="1266">
        <f t="shared" si="243"/>
        <v>0</v>
      </c>
      <c r="AE345" s="1093">
        <f t="shared" si="259"/>
        <v>0</v>
      </c>
      <c r="AF345" s="1093">
        <f t="shared" si="260"/>
        <v>0</v>
      </c>
      <c r="AG345" s="1093">
        <f t="shared" si="244"/>
        <v>0</v>
      </c>
      <c r="AH345" s="1033" t="e">
        <f t="shared" si="245"/>
        <v>#DIV/0!</v>
      </c>
      <c r="AI345" s="1091">
        <f t="shared" si="246"/>
        <v>0</v>
      </c>
      <c r="AJ345" s="1094">
        <f t="shared" si="247"/>
        <v>0</v>
      </c>
      <c r="AK345" s="1053" t="str">
        <f t="shared" si="248"/>
        <v/>
      </c>
      <c r="AL345" s="1053"/>
      <c r="AM345" s="1290">
        <f>_xlfn.XLOOKUP(F345,Proveedores!A:A,Proveedores!G:G)</f>
        <v>0</v>
      </c>
      <c r="AN345" s="1095" t="str">
        <f t="shared" si="261"/>
        <v>OK</v>
      </c>
    </row>
    <row r="346" spans="1:40" ht="15.95">
      <c r="A346" s="1090" t="b">
        <f t="shared" si="236"/>
        <v>1</v>
      </c>
      <c r="B346" s="1091" t="b">
        <f t="shared" si="249"/>
        <v>1</v>
      </c>
      <c r="C346" s="1092" t="str">
        <f t="shared" si="250"/>
        <v>Dólares</v>
      </c>
      <c r="D346" s="13"/>
      <c r="E346" s="743"/>
      <c r="F346" s="17"/>
      <c r="G346" s="17" t="str">
        <f t="shared" si="237"/>
        <v xml:space="preserve"> </v>
      </c>
      <c r="H346" s="12">
        <v>0</v>
      </c>
      <c r="I346" s="16" t="str">
        <f>IFERROR(VLOOKUP(G346,Proveedores!B:C,2,0)," ")</f>
        <v xml:space="preserve"> </v>
      </c>
      <c r="J346" s="745">
        <v>0</v>
      </c>
      <c r="K346" s="745" t="str">
        <f t="shared" si="238"/>
        <v>Not Found</v>
      </c>
      <c r="L346" s="16">
        <f>IF(K346="Importado",Fletes!$B$66,0%)</f>
        <v>0</v>
      </c>
      <c r="M346" s="745">
        <f t="shared" si="251"/>
        <v>0</v>
      </c>
      <c r="N346" s="16">
        <f>IF(K346&lt;&gt;"Importado",0%,IF(Fletes!$B$67&lt;10,15%,IF(Fletes!$B$67&lt;20,10%,5%)))</f>
        <v>0</v>
      </c>
      <c r="O346" s="745" t="str">
        <f>IFERROR(IF(OR(F346="Offiho",F346="Lauco Sofas",F346="Requiez",F346="Labenze",F346="Sunon Mty",F346="Sonara"),(M346*(1-_xlfn.XLOOKUP(F346,Proveedores!A:A,Proveedores!I:I)))*(1+N346),((M346*(1-_xlfn.XLOOKUP(F346,Proveedores!A:A,Proveedores!I:I)))*(1+N346))+U346),"")</f>
        <v/>
      </c>
      <c r="P346" s="1031"/>
      <c r="Q346" s="1133">
        <f>IF(K346&lt;&gt;"Importado",0,IF(P346&gt;0,P346*H346,IFERROR(_xlfn.XLOOKUP(F346,Proveedores!A:A,Proveedores!F:F,0)*H346,0)))</f>
        <v>0</v>
      </c>
      <c r="R346" s="1134" t="e">
        <f t="shared" si="252"/>
        <v>#VALUE!</v>
      </c>
      <c r="S346" s="743"/>
      <c r="T346" s="1034" t="e">
        <f t="shared" si="239"/>
        <v>#N/A</v>
      </c>
      <c r="U346" s="1034" t="e">
        <f t="shared" si="253"/>
        <v>#N/A</v>
      </c>
      <c r="V346" s="1165" t="e">
        <f t="shared" si="240"/>
        <v>#N/A</v>
      </c>
      <c r="W346" s="1034" t="e">
        <f t="shared" si="254"/>
        <v>#N/A</v>
      </c>
      <c r="X346" s="1034" t="b">
        <f t="shared" si="255"/>
        <v>0</v>
      </c>
      <c r="Y346" s="1034">
        <f t="shared" si="256"/>
        <v>0</v>
      </c>
      <c r="Z346" s="1034">
        <f t="shared" si="257"/>
        <v>0</v>
      </c>
      <c r="AA346" s="1034">
        <f t="shared" si="241"/>
        <v>0</v>
      </c>
      <c r="AB346" s="1034">
        <f t="shared" si="242"/>
        <v>0</v>
      </c>
      <c r="AC346" s="1033">
        <f t="shared" si="258"/>
        <v>0</v>
      </c>
      <c r="AD346" s="1266">
        <f t="shared" si="243"/>
        <v>0</v>
      </c>
      <c r="AE346" s="1093">
        <f t="shared" si="259"/>
        <v>0</v>
      </c>
      <c r="AF346" s="1093">
        <f t="shared" si="260"/>
        <v>0</v>
      </c>
      <c r="AG346" s="1093">
        <f t="shared" si="244"/>
        <v>0</v>
      </c>
      <c r="AH346" s="1033" t="e">
        <f t="shared" si="245"/>
        <v>#DIV/0!</v>
      </c>
      <c r="AI346" s="1091">
        <f t="shared" si="246"/>
        <v>0</v>
      </c>
      <c r="AJ346" s="1094">
        <f t="shared" si="247"/>
        <v>0</v>
      </c>
      <c r="AK346" s="1053" t="str">
        <f t="shared" si="248"/>
        <v/>
      </c>
      <c r="AL346" s="1053"/>
      <c r="AM346" s="1290">
        <f>_xlfn.XLOOKUP(F346,Proveedores!A:A,Proveedores!G:G)</f>
        <v>0</v>
      </c>
      <c r="AN346" s="1095" t="str">
        <f t="shared" si="261"/>
        <v>OK</v>
      </c>
    </row>
    <row r="347" spans="1:40" ht="15.95">
      <c r="A347" s="1090" t="b">
        <f t="shared" si="236"/>
        <v>1</v>
      </c>
      <c r="B347" s="1091" t="b">
        <f t="shared" si="249"/>
        <v>1</v>
      </c>
      <c r="C347" s="1092" t="str">
        <f t="shared" si="250"/>
        <v>Dólares</v>
      </c>
      <c r="D347" s="14"/>
      <c r="E347" s="743"/>
      <c r="F347" s="17"/>
      <c r="G347" s="17" t="str">
        <f t="shared" si="237"/>
        <v xml:space="preserve"> </v>
      </c>
      <c r="H347" s="12">
        <v>0</v>
      </c>
      <c r="I347" s="16" t="str">
        <f>IFERROR(VLOOKUP(G347,Proveedores!B:C,2,0)," ")</f>
        <v xml:space="preserve"> </v>
      </c>
      <c r="J347" s="745">
        <v>0</v>
      </c>
      <c r="K347" s="745" t="str">
        <f t="shared" si="238"/>
        <v>Not Found</v>
      </c>
      <c r="L347" s="16">
        <f>IF(K347="Importado",Fletes!$B$66,0%)</f>
        <v>0</v>
      </c>
      <c r="M347" s="745">
        <f t="shared" si="251"/>
        <v>0</v>
      </c>
      <c r="N347" s="16">
        <f>IF(K347&lt;&gt;"Importado",0%,IF(Fletes!$B$67&lt;10,15%,IF(Fletes!$B$67&lt;20,10%,5%)))</f>
        <v>0</v>
      </c>
      <c r="O347" s="745" t="str">
        <f>IFERROR(IF(OR(F347="Offiho",F347="Lauco Sofas",F347="Requiez",F347="Labenze",F347="Sunon Mty",F347="Sonara"),(M347*(1-_xlfn.XLOOKUP(F347,Proveedores!A:A,Proveedores!I:I)))*(1+N347),((M347*(1-_xlfn.XLOOKUP(F347,Proveedores!A:A,Proveedores!I:I)))*(1+N347))+U347),"")</f>
        <v/>
      </c>
      <c r="P347" s="1031"/>
      <c r="Q347" s="1133">
        <f>IF(K347&lt;&gt;"Importado",0,IF(P347&gt;0,P347*H347,IFERROR(_xlfn.XLOOKUP(F347,Proveedores!A:A,Proveedores!F:F,0)*H347,0)))</f>
        <v>0</v>
      </c>
      <c r="R347" s="1134" t="e">
        <f t="shared" si="252"/>
        <v>#VALUE!</v>
      </c>
      <c r="S347" s="743"/>
      <c r="T347" s="1034" t="e">
        <f t="shared" si="239"/>
        <v>#N/A</v>
      </c>
      <c r="U347" s="1034" t="e">
        <f t="shared" si="253"/>
        <v>#N/A</v>
      </c>
      <c r="V347" s="1165" t="e">
        <f t="shared" si="240"/>
        <v>#N/A</v>
      </c>
      <c r="W347" s="1034" t="e">
        <f t="shared" si="254"/>
        <v>#N/A</v>
      </c>
      <c r="X347" s="1034" t="b">
        <f t="shared" si="255"/>
        <v>0</v>
      </c>
      <c r="Y347" s="1034">
        <f t="shared" si="256"/>
        <v>0</v>
      </c>
      <c r="Z347" s="1034">
        <f t="shared" si="257"/>
        <v>0</v>
      </c>
      <c r="AA347" s="1034">
        <f t="shared" si="241"/>
        <v>0</v>
      </c>
      <c r="AB347" s="1034">
        <f t="shared" si="242"/>
        <v>0</v>
      </c>
      <c r="AC347" s="1033">
        <f t="shared" si="258"/>
        <v>0</v>
      </c>
      <c r="AD347" s="1266">
        <f t="shared" si="243"/>
        <v>0</v>
      </c>
      <c r="AE347" s="1093">
        <f t="shared" si="259"/>
        <v>0</v>
      </c>
      <c r="AF347" s="1093">
        <f t="shared" si="260"/>
        <v>0</v>
      </c>
      <c r="AG347" s="1093">
        <f t="shared" si="244"/>
        <v>0</v>
      </c>
      <c r="AH347" s="1033" t="e">
        <f t="shared" si="245"/>
        <v>#DIV/0!</v>
      </c>
      <c r="AI347" s="1091">
        <f t="shared" si="246"/>
        <v>0</v>
      </c>
      <c r="AJ347" s="1094">
        <f t="shared" si="247"/>
        <v>0</v>
      </c>
      <c r="AK347" s="1053" t="str">
        <f t="shared" si="248"/>
        <v/>
      </c>
      <c r="AL347" s="1053"/>
      <c r="AM347" s="1290">
        <f>_xlfn.XLOOKUP(F347,Proveedores!A:A,Proveedores!G:G)</f>
        <v>0</v>
      </c>
      <c r="AN347" s="1095" t="str">
        <f t="shared" si="261"/>
        <v>OK</v>
      </c>
    </row>
    <row r="348" spans="1:40" ht="15.95">
      <c r="A348" s="1090" t="b">
        <f t="shared" si="236"/>
        <v>1</v>
      </c>
      <c r="B348" s="1091" t="b">
        <f t="shared" si="249"/>
        <v>1</v>
      </c>
      <c r="C348" s="1092" t="str">
        <f t="shared" si="250"/>
        <v>Dólares</v>
      </c>
      <c r="D348" s="15"/>
      <c r="E348" s="743"/>
      <c r="F348" s="17"/>
      <c r="G348" s="17" t="str">
        <f t="shared" si="237"/>
        <v xml:space="preserve"> </v>
      </c>
      <c r="H348" s="12">
        <v>0</v>
      </c>
      <c r="I348" s="16" t="str">
        <f>IFERROR(VLOOKUP(G348,Proveedores!B:C,2,0)," ")</f>
        <v xml:space="preserve"> </v>
      </c>
      <c r="J348" s="745">
        <v>0</v>
      </c>
      <c r="K348" s="745" t="str">
        <f t="shared" si="238"/>
        <v>Not Found</v>
      </c>
      <c r="L348" s="16">
        <f>IF(K348="Importado",Fletes!$B$66,0%)</f>
        <v>0</v>
      </c>
      <c r="M348" s="745">
        <f t="shared" si="251"/>
        <v>0</v>
      </c>
      <c r="N348" s="16">
        <f>IF(K348&lt;&gt;"Importado",0%,IF(Fletes!$B$67&lt;10,15%,IF(Fletes!$B$67&lt;20,10%,5%)))</f>
        <v>0</v>
      </c>
      <c r="O348" s="745" t="str">
        <f>IFERROR(IF(OR(F348="Offiho",F348="Lauco Sofas",F348="Requiez",F348="Labenze",F348="Sunon Mty",F348="Sonara"),(M348*(1-_xlfn.XLOOKUP(F348,Proveedores!A:A,Proveedores!I:I)))*(1+N348),((M348*(1-_xlfn.XLOOKUP(F348,Proveedores!A:A,Proveedores!I:I)))*(1+N348))+U348),"")</f>
        <v/>
      </c>
      <c r="P348" s="1031"/>
      <c r="Q348" s="1133">
        <f>IF(K348&lt;&gt;"Importado",0,IF(P348&gt;0,P348*H348,IFERROR(_xlfn.XLOOKUP(F348,Proveedores!A:A,Proveedores!F:F,0)*H348,0)))</f>
        <v>0</v>
      </c>
      <c r="R348" s="1134" t="e">
        <f t="shared" si="252"/>
        <v>#VALUE!</v>
      </c>
      <c r="S348" s="743"/>
      <c r="T348" s="1034" t="e">
        <f t="shared" si="239"/>
        <v>#N/A</v>
      </c>
      <c r="U348" s="1034" t="e">
        <f t="shared" si="253"/>
        <v>#N/A</v>
      </c>
      <c r="V348" s="1165" t="e">
        <f t="shared" si="240"/>
        <v>#N/A</v>
      </c>
      <c r="W348" s="1034" t="e">
        <f t="shared" si="254"/>
        <v>#N/A</v>
      </c>
      <c r="X348" s="1034" t="b">
        <f t="shared" si="255"/>
        <v>0</v>
      </c>
      <c r="Y348" s="1034">
        <f t="shared" si="256"/>
        <v>0</v>
      </c>
      <c r="Z348" s="1034">
        <f t="shared" si="257"/>
        <v>0</v>
      </c>
      <c r="AA348" s="1034">
        <f t="shared" si="241"/>
        <v>0</v>
      </c>
      <c r="AB348" s="1034">
        <f t="shared" si="242"/>
        <v>0</v>
      </c>
      <c r="AC348" s="1033">
        <f t="shared" si="258"/>
        <v>0</v>
      </c>
      <c r="AD348" s="1266">
        <f t="shared" si="243"/>
        <v>0</v>
      </c>
      <c r="AE348" s="1093">
        <f t="shared" si="259"/>
        <v>0</v>
      </c>
      <c r="AF348" s="1093">
        <f t="shared" si="260"/>
        <v>0</v>
      </c>
      <c r="AG348" s="1093">
        <f t="shared" si="244"/>
        <v>0</v>
      </c>
      <c r="AH348" s="1033" t="e">
        <f t="shared" si="245"/>
        <v>#DIV/0!</v>
      </c>
      <c r="AI348" s="1091">
        <f t="shared" si="246"/>
        <v>0</v>
      </c>
      <c r="AJ348" s="1094">
        <f t="shared" si="247"/>
        <v>0</v>
      </c>
      <c r="AK348" s="1053" t="str">
        <f t="shared" si="248"/>
        <v/>
      </c>
      <c r="AL348" s="1053"/>
      <c r="AM348" s="1290">
        <f>_xlfn.XLOOKUP(F348,Proveedores!A:A,Proveedores!G:G)</f>
        <v>0</v>
      </c>
      <c r="AN348" s="1095" t="str">
        <f t="shared" si="261"/>
        <v>OK</v>
      </c>
    </row>
    <row r="349" spans="1:40" ht="15.95">
      <c r="A349" s="1090" t="b">
        <f t="shared" si="236"/>
        <v>1</v>
      </c>
      <c r="B349" s="1091" t="b">
        <f t="shared" si="249"/>
        <v>1</v>
      </c>
      <c r="C349" s="1092" t="str">
        <f t="shared" si="250"/>
        <v>Dólares</v>
      </c>
      <c r="D349" s="15"/>
      <c r="E349" s="743"/>
      <c r="F349" s="17"/>
      <c r="G349" s="17" t="str">
        <f t="shared" si="237"/>
        <v xml:space="preserve"> </v>
      </c>
      <c r="H349" s="12">
        <v>0</v>
      </c>
      <c r="I349" s="16" t="str">
        <f>IFERROR(VLOOKUP(G349,Proveedores!B:C,2,0)," ")</f>
        <v xml:space="preserve"> </v>
      </c>
      <c r="J349" s="745">
        <v>0</v>
      </c>
      <c r="K349" s="745" t="str">
        <f t="shared" si="238"/>
        <v>Not Found</v>
      </c>
      <c r="L349" s="16">
        <f>IF(K349="Importado",Fletes!$B$66,0%)</f>
        <v>0</v>
      </c>
      <c r="M349" s="745">
        <f t="shared" si="251"/>
        <v>0</v>
      </c>
      <c r="N349" s="16">
        <f>IF(K349&lt;&gt;"Importado",0%,IF(Fletes!$B$67&lt;10,15%,IF(Fletes!$B$67&lt;20,10%,5%)))</f>
        <v>0</v>
      </c>
      <c r="O349" s="745" t="str">
        <f>IFERROR(IF(OR(F349="Offiho",F349="Lauco Sofas",F349="Requiez",F349="Labenze",F349="Sunon Mty",F349="Sonara"),(M349*(1-_xlfn.XLOOKUP(F349,Proveedores!A:A,Proveedores!I:I)))*(1+N349),((M349*(1-_xlfn.XLOOKUP(F349,Proveedores!A:A,Proveedores!I:I)))*(1+N349))+U349),"")</f>
        <v/>
      </c>
      <c r="P349" s="1031"/>
      <c r="Q349" s="1133">
        <f>IF(K349&lt;&gt;"Importado",0,IF(P349&gt;0,P349*H349,IFERROR(_xlfn.XLOOKUP(F349,Proveedores!A:A,Proveedores!F:F,0)*H349,0)))</f>
        <v>0</v>
      </c>
      <c r="R349" s="1134" t="e">
        <f t="shared" si="252"/>
        <v>#VALUE!</v>
      </c>
      <c r="S349" s="743"/>
      <c r="T349" s="1034" t="e">
        <f t="shared" si="239"/>
        <v>#N/A</v>
      </c>
      <c r="U349" s="1034" t="e">
        <f t="shared" si="253"/>
        <v>#N/A</v>
      </c>
      <c r="V349" s="1165" t="e">
        <f t="shared" si="240"/>
        <v>#N/A</v>
      </c>
      <c r="W349" s="1034" t="e">
        <f t="shared" si="254"/>
        <v>#N/A</v>
      </c>
      <c r="X349" s="1034" t="b">
        <f t="shared" si="255"/>
        <v>0</v>
      </c>
      <c r="Y349" s="1034">
        <f t="shared" si="256"/>
        <v>0</v>
      </c>
      <c r="Z349" s="1034">
        <f t="shared" si="257"/>
        <v>0</v>
      </c>
      <c r="AA349" s="1034">
        <f t="shared" si="241"/>
        <v>0</v>
      </c>
      <c r="AB349" s="1034">
        <f t="shared" si="242"/>
        <v>0</v>
      </c>
      <c r="AC349" s="1033">
        <f t="shared" si="258"/>
        <v>0</v>
      </c>
      <c r="AD349" s="1266">
        <f t="shared" si="243"/>
        <v>0</v>
      </c>
      <c r="AE349" s="1093">
        <f t="shared" si="259"/>
        <v>0</v>
      </c>
      <c r="AF349" s="1093">
        <f t="shared" si="260"/>
        <v>0</v>
      </c>
      <c r="AG349" s="1093">
        <f t="shared" si="244"/>
        <v>0</v>
      </c>
      <c r="AH349" s="1033" t="e">
        <f t="shared" si="245"/>
        <v>#DIV/0!</v>
      </c>
      <c r="AI349" s="1091">
        <f t="shared" si="246"/>
        <v>0</v>
      </c>
      <c r="AJ349" s="1094">
        <f t="shared" si="247"/>
        <v>0</v>
      </c>
      <c r="AK349" s="1053" t="str">
        <f t="shared" si="248"/>
        <v/>
      </c>
      <c r="AL349" s="1053"/>
      <c r="AM349" s="1290">
        <f>_xlfn.XLOOKUP(F349,Proveedores!A:A,Proveedores!G:G)</f>
        <v>0</v>
      </c>
      <c r="AN349" s="1095" t="str">
        <f t="shared" si="261"/>
        <v>OK</v>
      </c>
    </row>
    <row r="350" spans="1:40" ht="15.95">
      <c r="A350" s="1090" t="b">
        <f t="shared" si="236"/>
        <v>1</v>
      </c>
      <c r="B350" s="1091" t="b">
        <f t="shared" si="249"/>
        <v>1</v>
      </c>
      <c r="C350" s="1092" t="str">
        <f t="shared" si="250"/>
        <v>Dólares</v>
      </c>
      <c r="D350" s="15"/>
      <c r="E350" s="743"/>
      <c r="F350" s="17"/>
      <c r="G350" s="17" t="str">
        <f t="shared" si="237"/>
        <v xml:space="preserve"> </v>
      </c>
      <c r="H350" s="12">
        <v>0</v>
      </c>
      <c r="I350" s="16" t="str">
        <f>IFERROR(VLOOKUP(G350,Proveedores!B:C,2,0)," ")</f>
        <v xml:space="preserve"> </v>
      </c>
      <c r="J350" s="745">
        <v>0</v>
      </c>
      <c r="K350" s="745" t="str">
        <f t="shared" si="238"/>
        <v>Not Found</v>
      </c>
      <c r="L350" s="16">
        <f>IF(K350="Importado",Fletes!$B$66,0%)</f>
        <v>0</v>
      </c>
      <c r="M350" s="745">
        <f t="shared" si="251"/>
        <v>0</v>
      </c>
      <c r="N350" s="16">
        <f>IF(K350&lt;&gt;"Importado",0%,IF(Fletes!$B$67&lt;10,15%,IF(Fletes!$B$67&lt;20,10%,5%)))</f>
        <v>0</v>
      </c>
      <c r="O350" s="745" t="str">
        <f>IFERROR(IF(OR(F350="Offiho",F350="Lauco Sofas",F350="Requiez",F350="Labenze",F350="Sunon Mty",F350="Sonara"),(M350*(1-_xlfn.XLOOKUP(F350,Proveedores!A:A,Proveedores!I:I)))*(1+N350),((M350*(1-_xlfn.XLOOKUP(F350,Proveedores!A:A,Proveedores!I:I)))*(1+N350))+U350),"")</f>
        <v/>
      </c>
      <c r="P350" s="1031"/>
      <c r="Q350" s="1133">
        <f>IF(K350&lt;&gt;"Importado",0,IF(P350&gt;0,P350*H350,IFERROR(_xlfn.XLOOKUP(F350,Proveedores!A:A,Proveedores!F:F,0)*H350,0)))</f>
        <v>0</v>
      </c>
      <c r="R350" s="1134" t="e">
        <f t="shared" si="252"/>
        <v>#VALUE!</v>
      </c>
      <c r="S350" s="743"/>
      <c r="T350" s="1034" t="e">
        <f t="shared" si="239"/>
        <v>#N/A</v>
      </c>
      <c r="U350" s="1034" t="e">
        <f t="shared" si="253"/>
        <v>#N/A</v>
      </c>
      <c r="V350" s="1165" t="e">
        <f t="shared" si="240"/>
        <v>#N/A</v>
      </c>
      <c r="W350" s="1034" t="e">
        <f t="shared" si="254"/>
        <v>#N/A</v>
      </c>
      <c r="X350" s="1034" t="b">
        <f t="shared" si="255"/>
        <v>0</v>
      </c>
      <c r="Y350" s="1034">
        <f t="shared" si="256"/>
        <v>0</v>
      </c>
      <c r="Z350" s="1034">
        <f t="shared" si="257"/>
        <v>0</v>
      </c>
      <c r="AA350" s="1034">
        <f t="shared" si="241"/>
        <v>0</v>
      </c>
      <c r="AB350" s="1034">
        <f t="shared" si="242"/>
        <v>0</v>
      </c>
      <c r="AC350" s="1033">
        <f t="shared" si="258"/>
        <v>0</v>
      </c>
      <c r="AD350" s="1266">
        <f t="shared" si="243"/>
        <v>0</v>
      </c>
      <c r="AE350" s="1093">
        <f t="shared" si="259"/>
        <v>0</v>
      </c>
      <c r="AF350" s="1093">
        <f t="shared" si="260"/>
        <v>0</v>
      </c>
      <c r="AG350" s="1093">
        <f t="shared" si="244"/>
        <v>0</v>
      </c>
      <c r="AH350" s="1033" t="e">
        <f t="shared" si="245"/>
        <v>#DIV/0!</v>
      </c>
      <c r="AI350" s="1091">
        <f t="shared" si="246"/>
        <v>0</v>
      </c>
      <c r="AJ350" s="1094">
        <f t="shared" si="247"/>
        <v>0</v>
      </c>
      <c r="AK350" s="1053" t="str">
        <f t="shared" si="248"/>
        <v/>
      </c>
      <c r="AL350" s="1053"/>
      <c r="AM350" s="1290">
        <f>_xlfn.XLOOKUP(F350,Proveedores!A:A,Proveedores!G:G)</f>
        <v>0</v>
      </c>
      <c r="AN350" s="1095" t="str">
        <f t="shared" si="261"/>
        <v>OK</v>
      </c>
    </row>
    <row r="351" spans="1:40" ht="15.95">
      <c r="A351" s="1090" t="b">
        <f t="shared" si="236"/>
        <v>1</v>
      </c>
      <c r="B351" s="1091" t="b">
        <f t="shared" si="249"/>
        <v>1</v>
      </c>
      <c r="C351" s="1092" t="str">
        <f t="shared" si="250"/>
        <v>Dólares</v>
      </c>
      <c r="D351" s="15"/>
      <c r="E351" s="743"/>
      <c r="F351" s="17"/>
      <c r="G351" s="17" t="str">
        <f t="shared" si="237"/>
        <v xml:space="preserve"> </v>
      </c>
      <c r="H351" s="12">
        <v>0</v>
      </c>
      <c r="I351" s="16" t="str">
        <f>IFERROR(VLOOKUP(G351,Proveedores!B:C,2,0)," ")</f>
        <v xml:space="preserve"> </v>
      </c>
      <c r="J351" s="745">
        <v>0</v>
      </c>
      <c r="K351" s="745" t="str">
        <f t="shared" si="238"/>
        <v>Not Found</v>
      </c>
      <c r="L351" s="16">
        <f>IF(K351="Importado",Fletes!$B$66,0%)</f>
        <v>0</v>
      </c>
      <c r="M351" s="745">
        <f t="shared" si="251"/>
        <v>0</v>
      </c>
      <c r="N351" s="16">
        <f>IF(K351&lt;&gt;"Importado",0%,IF(Fletes!$B$67&lt;10,15%,IF(Fletes!$B$67&lt;20,10%,5%)))</f>
        <v>0</v>
      </c>
      <c r="O351" s="745" t="str">
        <f>IFERROR(IF(OR(F351="Offiho",F351="Lauco Sofas",F351="Requiez",F351="Labenze",F351="Sunon Mty",F351="Sonara"),(M351*(1-_xlfn.XLOOKUP(F351,Proveedores!A:A,Proveedores!I:I)))*(1+N351),((M351*(1-_xlfn.XLOOKUP(F351,Proveedores!A:A,Proveedores!I:I)))*(1+N351))+U351),"")</f>
        <v/>
      </c>
      <c r="P351" s="1031"/>
      <c r="Q351" s="1133">
        <f>IF(K351&lt;&gt;"Importado",0,IF(P351&gt;0,P351*H351,IFERROR(_xlfn.XLOOKUP(F351,Proveedores!A:A,Proveedores!F:F,0)*H351,0)))</f>
        <v>0</v>
      </c>
      <c r="R351" s="1134" t="e">
        <f t="shared" si="252"/>
        <v>#VALUE!</v>
      </c>
      <c r="S351" s="743"/>
      <c r="T351" s="1034" t="e">
        <f t="shared" si="239"/>
        <v>#N/A</v>
      </c>
      <c r="U351" s="1034" t="e">
        <f t="shared" si="253"/>
        <v>#N/A</v>
      </c>
      <c r="V351" s="1165" t="e">
        <f t="shared" si="240"/>
        <v>#N/A</v>
      </c>
      <c r="W351" s="1034" t="e">
        <f t="shared" si="254"/>
        <v>#N/A</v>
      </c>
      <c r="X351" s="1034" t="b">
        <f t="shared" si="255"/>
        <v>0</v>
      </c>
      <c r="Y351" s="1034">
        <f t="shared" si="256"/>
        <v>0</v>
      </c>
      <c r="Z351" s="1034">
        <f t="shared" si="257"/>
        <v>0</v>
      </c>
      <c r="AA351" s="1034">
        <f t="shared" si="241"/>
        <v>0</v>
      </c>
      <c r="AB351" s="1034">
        <f t="shared" si="242"/>
        <v>0</v>
      </c>
      <c r="AC351" s="1033">
        <f t="shared" si="258"/>
        <v>0</v>
      </c>
      <c r="AD351" s="1266">
        <f t="shared" si="243"/>
        <v>0</v>
      </c>
      <c r="AE351" s="1093">
        <f t="shared" si="259"/>
        <v>0</v>
      </c>
      <c r="AF351" s="1093">
        <f t="shared" si="260"/>
        <v>0</v>
      </c>
      <c r="AG351" s="1093">
        <f t="shared" si="244"/>
        <v>0</v>
      </c>
      <c r="AH351" s="1033" t="e">
        <f t="shared" si="245"/>
        <v>#DIV/0!</v>
      </c>
      <c r="AI351" s="1091">
        <f t="shared" si="246"/>
        <v>0</v>
      </c>
      <c r="AJ351" s="1094">
        <f t="shared" si="247"/>
        <v>0</v>
      </c>
      <c r="AK351" s="1053" t="str">
        <f t="shared" si="248"/>
        <v/>
      </c>
      <c r="AL351" s="1053"/>
      <c r="AM351" s="1290">
        <f>_xlfn.XLOOKUP(F351,Proveedores!A:A,Proveedores!G:G)</f>
        <v>0</v>
      </c>
      <c r="AN351" s="1095" t="str">
        <f t="shared" si="261"/>
        <v>OK</v>
      </c>
    </row>
    <row r="352" spans="1:40" ht="15.95">
      <c r="A352" s="1090" t="b">
        <f t="shared" si="236"/>
        <v>1</v>
      </c>
      <c r="B352" s="1091" t="b">
        <f t="shared" si="249"/>
        <v>1</v>
      </c>
      <c r="C352" s="1092" t="str">
        <f t="shared" si="250"/>
        <v>Dólares</v>
      </c>
      <c r="D352" s="14"/>
      <c r="E352" s="743"/>
      <c r="F352" s="17"/>
      <c r="G352" s="17" t="str">
        <f t="shared" si="237"/>
        <v xml:space="preserve"> </v>
      </c>
      <c r="H352" s="12">
        <v>0</v>
      </c>
      <c r="I352" s="16" t="str">
        <f>IFERROR(VLOOKUP(G352,Proveedores!B:C,2,0)," ")</f>
        <v xml:space="preserve"> </v>
      </c>
      <c r="J352" s="745">
        <v>0</v>
      </c>
      <c r="K352" s="745" t="str">
        <f t="shared" si="238"/>
        <v>Not Found</v>
      </c>
      <c r="L352" s="16">
        <f>IF(K352="Importado",Fletes!$B$66,0%)</f>
        <v>0</v>
      </c>
      <c r="M352" s="745">
        <f t="shared" si="251"/>
        <v>0</v>
      </c>
      <c r="N352" s="16">
        <f>IF(K352&lt;&gt;"Importado",0%,IF(Fletes!$B$67&lt;10,15%,IF(Fletes!$B$67&lt;20,10%,5%)))</f>
        <v>0</v>
      </c>
      <c r="O352" s="745" t="str">
        <f>IFERROR(IF(OR(F352="Offiho",F352="Lauco Sofas",F352="Requiez",F352="Labenze",F352="Sunon Mty",F352="Sonara"),(M352*(1-_xlfn.XLOOKUP(F352,Proveedores!A:A,Proveedores!I:I)))*(1+N352),((M352*(1-_xlfn.XLOOKUP(F352,Proveedores!A:A,Proveedores!I:I)))*(1+N352))+U352),"")</f>
        <v/>
      </c>
      <c r="P352" s="1031"/>
      <c r="Q352" s="1133">
        <f>IF(K352&lt;&gt;"Importado",0,IF(P352&gt;0,P352*H352,IFERROR(_xlfn.XLOOKUP(F352,Proveedores!A:A,Proveedores!F:F,0)*H352,0)))</f>
        <v>0</v>
      </c>
      <c r="R352" s="1134" t="e">
        <f t="shared" si="252"/>
        <v>#VALUE!</v>
      </c>
      <c r="S352" s="743"/>
      <c r="T352" s="1034" t="e">
        <f t="shared" si="239"/>
        <v>#N/A</v>
      </c>
      <c r="U352" s="1034" t="e">
        <f t="shared" si="253"/>
        <v>#N/A</v>
      </c>
      <c r="V352" s="1165" t="e">
        <f t="shared" si="240"/>
        <v>#N/A</v>
      </c>
      <c r="W352" s="1034" t="e">
        <f t="shared" si="254"/>
        <v>#N/A</v>
      </c>
      <c r="X352" s="1034" t="b">
        <f t="shared" si="255"/>
        <v>0</v>
      </c>
      <c r="Y352" s="1034">
        <f t="shared" si="256"/>
        <v>0</v>
      </c>
      <c r="Z352" s="1034">
        <f t="shared" si="257"/>
        <v>0</v>
      </c>
      <c r="AA352" s="1034">
        <f t="shared" si="241"/>
        <v>0</v>
      </c>
      <c r="AB352" s="1034">
        <f t="shared" si="242"/>
        <v>0</v>
      </c>
      <c r="AC352" s="1033">
        <f t="shared" si="258"/>
        <v>0</v>
      </c>
      <c r="AD352" s="1266">
        <f t="shared" si="243"/>
        <v>0</v>
      </c>
      <c r="AE352" s="1093">
        <f t="shared" si="259"/>
        <v>0</v>
      </c>
      <c r="AF352" s="1093">
        <f t="shared" si="260"/>
        <v>0</v>
      </c>
      <c r="AG352" s="1093">
        <f t="shared" si="244"/>
        <v>0</v>
      </c>
      <c r="AH352" s="1033" t="e">
        <f t="shared" si="245"/>
        <v>#DIV/0!</v>
      </c>
      <c r="AI352" s="1091">
        <f t="shared" si="246"/>
        <v>0</v>
      </c>
      <c r="AJ352" s="1094">
        <f t="shared" si="247"/>
        <v>0</v>
      </c>
      <c r="AK352" s="1053" t="str">
        <f t="shared" si="248"/>
        <v/>
      </c>
      <c r="AL352" s="1053"/>
      <c r="AM352" s="1290">
        <f>_xlfn.XLOOKUP(F352,Proveedores!A:A,Proveedores!G:G)</f>
        <v>0</v>
      </c>
      <c r="AN352" s="1095" t="str">
        <f t="shared" si="261"/>
        <v>OK</v>
      </c>
    </row>
    <row r="353" spans="1:40" ht="15.95">
      <c r="A353" s="1090" t="b">
        <f t="shared" si="236"/>
        <v>1</v>
      </c>
      <c r="B353" s="1091" t="b">
        <f t="shared" si="249"/>
        <v>1</v>
      </c>
      <c r="C353" s="1092" t="str">
        <f t="shared" si="250"/>
        <v>Dólares</v>
      </c>
      <c r="D353" s="14"/>
      <c r="E353" s="743"/>
      <c r="F353" s="17"/>
      <c r="G353" s="17" t="str">
        <f t="shared" si="237"/>
        <v xml:space="preserve"> </v>
      </c>
      <c r="H353" s="12">
        <v>0</v>
      </c>
      <c r="I353" s="16" t="str">
        <f>IFERROR(VLOOKUP(G353,Proveedores!B:C,2,0)," ")</f>
        <v xml:space="preserve"> </v>
      </c>
      <c r="J353" s="745">
        <v>0</v>
      </c>
      <c r="K353" s="745" t="str">
        <f t="shared" si="238"/>
        <v>Not Found</v>
      </c>
      <c r="L353" s="16">
        <f>IF(K353="Importado",Fletes!$B$66,0%)</f>
        <v>0</v>
      </c>
      <c r="M353" s="745">
        <f t="shared" si="251"/>
        <v>0</v>
      </c>
      <c r="N353" s="16">
        <f>IF(K353&lt;&gt;"Importado",0%,IF(Fletes!$B$67&lt;10,15%,IF(Fletes!$B$67&lt;20,10%,5%)))</f>
        <v>0</v>
      </c>
      <c r="O353" s="745" t="str">
        <f>IFERROR(IF(OR(F353="Offiho",F353="Lauco Sofas",F353="Requiez",F353="Labenze",F353="Sunon Mty",F353="Sonara"),(M353*(1-_xlfn.XLOOKUP(F353,Proveedores!A:A,Proveedores!I:I)))*(1+N353),((M353*(1-_xlfn.XLOOKUP(F353,Proveedores!A:A,Proveedores!I:I)))*(1+N353))+U353),"")</f>
        <v/>
      </c>
      <c r="P353" s="1031"/>
      <c r="Q353" s="1133">
        <f>IF(K353&lt;&gt;"Importado",0,IF(P353&gt;0,P353*H353,IFERROR(_xlfn.XLOOKUP(F353,Proveedores!A:A,Proveedores!F:F,0)*H353,0)))</f>
        <v>0</v>
      </c>
      <c r="R353" s="1134" t="e">
        <f t="shared" si="252"/>
        <v>#VALUE!</v>
      </c>
      <c r="S353" s="743"/>
      <c r="T353" s="1034" t="e">
        <f t="shared" si="239"/>
        <v>#N/A</v>
      </c>
      <c r="U353" s="1034" t="e">
        <f t="shared" si="253"/>
        <v>#N/A</v>
      </c>
      <c r="V353" s="1165" t="e">
        <f t="shared" si="240"/>
        <v>#N/A</v>
      </c>
      <c r="W353" s="1034" t="e">
        <f t="shared" si="254"/>
        <v>#N/A</v>
      </c>
      <c r="X353" s="1034" t="b">
        <f t="shared" si="255"/>
        <v>0</v>
      </c>
      <c r="Y353" s="1034">
        <f t="shared" si="256"/>
        <v>0</v>
      </c>
      <c r="Z353" s="1034">
        <f t="shared" si="257"/>
        <v>0</v>
      </c>
      <c r="AA353" s="1034">
        <f t="shared" si="241"/>
        <v>0</v>
      </c>
      <c r="AB353" s="1034">
        <f t="shared" si="242"/>
        <v>0</v>
      </c>
      <c r="AC353" s="1033">
        <f t="shared" si="258"/>
        <v>0</v>
      </c>
      <c r="AD353" s="1266">
        <f t="shared" si="243"/>
        <v>0</v>
      </c>
      <c r="AE353" s="1093">
        <f t="shared" si="259"/>
        <v>0</v>
      </c>
      <c r="AF353" s="1093">
        <f t="shared" si="260"/>
        <v>0</v>
      </c>
      <c r="AG353" s="1093">
        <f t="shared" si="244"/>
        <v>0</v>
      </c>
      <c r="AH353" s="1033" t="e">
        <f t="shared" si="245"/>
        <v>#DIV/0!</v>
      </c>
      <c r="AI353" s="1091">
        <f t="shared" si="246"/>
        <v>0</v>
      </c>
      <c r="AJ353" s="1094">
        <f t="shared" si="247"/>
        <v>0</v>
      </c>
      <c r="AK353" s="1053" t="str">
        <f t="shared" si="248"/>
        <v/>
      </c>
      <c r="AL353" s="1053"/>
      <c r="AM353" s="1290">
        <f>_xlfn.XLOOKUP(F353,Proveedores!A:A,Proveedores!G:G)</f>
        <v>0</v>
      </c>
      <c r="AN353" s="1095" t="str">
        <f t="shared" si="261"/>
        <v>OK</v>
      </c>
    </row>
    <row r="354" spans="1:40" ht="15.95">
      <c r="A354" s="1090" t="b">
        <f t="shared" si="236"/>
        <v>1</v>
      </c>
      <c r="B354" s="1091" t="b">
        <f t="shared" si="249"/>
        <v>1</v>
      </c>
      <c r="C354" s="1092" t="str">
        <f t="shared" si="250"/>
        <v>Dólares</v>
      </c>
      <c r="D354" s="14"/>
      <c r="E354" s="743"/>
      <c r="F354" s="17"/>
      <c r="G354" s="17" t="str">
        <f t="shared" si="237"/>
        <v xml:space="preserve"> </v>
      </c>
      <c r="H354" s="12">
        <v>0</v>
      </c>
      <c r="I354" s="16" t="str">
        <f>IFERROR(VLOOKUP(G354,Proveedores!B:C,2,0)," ")</f>
        <v xml:space="preserve"> </v>
      </c>
      <c r="J354" s="745">
        <v>0</v>
      </c>
      <c r="K354" s="745" t="str">
        <f t="shared" si="238"/>
        <v>Not Found</v>
      </c>
      <c r="L354" s="16">
        <f>IF(K354="Importado",Fletes!$B$66,0%)</f>
        <v>0</v>
      </c>
      <c r="M354" s="745">
        <f t="shared" si="251"/>
        <v>0</v>
      </c>
      <c r="N354" s="16">
        <f>IF(K354&lt;&gt;"Importado",0%,IF(Fletes!$B$67&lt;10,15%,IF(Fletes!$B$67&lt;20,10%,5%)))</f>
        <v>0</v>
      </c>
      <c r="O354" s="745" t="str">
        <f>IFERROR(IF(OR(F354="Offiho",F354="Lauco Sofas",F354="Requiez",F354="Labenze",F354="Sunon Mty",F354="Sonara"),(M354*(1-_xlfn.XLOOKUP(F354,Proveedores!A:A,Proveedores!I:I)))*(1+N354),((M354*(1-_xlfn.XLOOKUP(F354,Proveedores!A:A,Proveedores!I:I)))*(1+N354))+U354),"")</f>
        <v/>
      </c>
      <c r="P354" s="1031"/>
      <c r="Q354" s="1133">
        <f>IF(K354&lt;&gt;"Importado",0,IF(P354&gt;0,P354*H354,IFERROR(_xlfn.XLOOKUP(F354,Proveedores!A:A,Proveedores!F:F,0)*H354,0)))</f>
        <v>0</v>
      </c>
      <c r="R354" s="1134" t="e">
        <f t="shared" si="252"/>
        <v>#VALUE!</v>
      </c>
      <c r="S354" s="743"/>
      <c r="T354" s="1034" t="e">
        <f t="shared" si="239"/>
        <v>#N/A</v>
      </c>
      <c r="U354" s="1034" t="e">
        <f t="shared" si="253"/>
        <v>#N/A</v>
      </c>
      <c r="V354" s="1165" t="e">
        <f t="shared" si="240"/>
        <v>#N/A</v>
      </c>
      <c r="W354" s="1034" t="e">
        <f t="shared" si="254"/>
        <v>#N/A</v>
      </c>
      <c r="X354" s="1034" t="b">
        <f t="shared" si="255"/>
        <v>0</v>
      </c>
      <c r="Y354" s="1034">
        <f t="shared" si="256"/>
        <v>0</v>
      </c>
      <c r="Z354" s="1034">
        <f t="shared" si="257"/>
        <v>0</v>
      </c>
      <c r="AA354" s="1034">
        <f t="shared" si="241"/>
        <v>0</v>
      </c>
      <c r="AB354" s="1034">
        <f t="shared" si="242"/>
        <v>0</v>
      </c>
      <c r="AC354" s="1033">
        <f t="shared" si="258"/>
        <v>0</v>
      </c>
      <c r="AD354" s="1266">
        <f t="shared" si="243"/>
        <v>0</v>
      </c>
      <c r="AE354" s="1093">
        <f t="shared" si="259"/>
        <v>0</v>
      </c>
      <c r="AF354" s="1093">
        <f t="shared" si="260"/>
        <v>0</v>
      </c>
      <c r="AG354" s="1093">
        <f t="shared" si="244"/>
        <v>0</v>
      </c>
      <c r="AH354" s="1033" t="e">
        <f t="shared" si="245"/>
        <v>#DIV/0!</v>
      </c>
      <c r="AI354" s="1091">
        <f t="shared" si="246"/>
        <v>0</v>
      </c>
      <c r="AJ354" s="1094">
        <f t="shared" si="247"/>
        <v>0</v>
      </c>
      <c r="AK354" s="1053" t="str">
        <f t="shared" si="248"/>
        <v/>
      </c>
      <c r="AL354" s="1053"/>
      <c r="AM354" s="1290">
        <f>_xlfn.XLOOKUP(F354,Proveedores!A:A,Proveedores!G:G)</f>
        <v>0</v>
      </c>
      <c r="AN354" s="1095" t="str">
        <f t="shared" si="261"/>
        <v>OK</v>
      </c>
    </row>
    <row r="355" spans="1:40" ht="15.95">
      <c r="A355" s="1090" t="b">
        <f t="shared" si="236"/>
        <v>1</v>
      </c>
      <c r="B355" s="1091" t="b">
        <f t="shared" si="249"/>
        <v>1</v>
      </c>
      <c r="C355" s="1092" t="str">
        <f t="shared" si="250"/>
        <v>Dólares</v>
      </c>
      <c r="D355" s="15"/>
      <c r="E355" s="743"/>
      <c r="F355" s="17"/>
      <c r="G355" s="17" t="str">
        <f t="shared" si="237"/>
        <v xml:space="preserve"> </v>
      </c>
      <c r="H355" s="12">
        <v>0</v>
      </c>
      <c r="I355" s="16" t="str">
        <f>IFERROR(VLOOKUP(G355,Proveedores!B:C,2,0)," ")</f>
        <v xml:space="preserve"> </v>
      </c>
      <c r="J355" s="745">
        <v>0</v>
      </c>
      <c r="K355" s="745" t="str">
        <f t="shared" si="238"/>
        <v>Not Found</v>
      </c>
      <c r="L355" s="16">
        <f>IF(K355="Importado",Fletes!$B$66,0%)</f>
        <v>0</v>
      </c>
      <c r="M355" s="745">
        <f t="shared" si="251"/>
        <v>0</v>
      </c>
      <c r="N355" s="16">
        <f>IF(K355&lt;&gt;"Importado",0%,IF(Fletes!$B$67&lt;10,15%,IF(Fletes!$B$67&lt;20,10%,5%)))</f>
        <v>0</v>
      </c>
      <c r="O355" s="745" t="str">
        <f>IFERROR(IF(OR(F355="Offiho",F355="Lauco Sofas",F355="Requiez",F355="Labenze",F355="Sunon Mty",F355="Sonara"),(M355*(1-_xlfn.XLOOKUP(F355,Proveedores!A:A,Proveedores!I:I)))*(1+N355),((M355*(1-_xlfn.XLOOKUP(F355,Proveedores!A:A,Proveedores!I:I)))*(1+N355))+U355),"")</f>
        <v/>
      </c>
      <c r="P355" s="1031"/>
      <c r="Q355" s="1133">
        <f>IF(K355&lt;&gt;"Importado",0,IF(P355&gt;0,P355*H355,IFERROR(_xlfn.XLOOKUP(F355,Proveedores!A:A,Proveedores!F:F,0)*H355,0)))</f>
        <v>0</v>
      </c>
      <c r="R355" s="1134" t="e">
        <f t="shared" si="252"/>
        <v>#VALUE!</v>
      </c>
      <c r="S355" s="743"/>
      <c r="T355" s="1034" t="e">
        <f t="shared" si="239"/>
        <v>#N/A</v>
      </c>
      <c r="U355" s="1034" t="e">
        <f t="shared" si="253"/>
        <v>#N/A</v>
      </c>
      <c r="V355" s="1165" t="e">
        <f t="shared" si="240"/>
        <v>#N/A</v>
      </c>
      <c r="W355" s="1034" t="e">
        <f t="shared" si="254"/>
        <v>#N/A</v>
      </c>
      <c r="X355" s="1034" t="b">
        <f t="shared" si="255"/>
        <v>0</v>
      </c>
      <c r="Y355" s="1034">
        <f t="shared" si="256"/>
        <v>0</v>
      </c>
      <c r="Z355" s="1034">
        <f t="shared" si="257"/>
        <v>0</v>
      </c>
      <c r="AA355" s="1034">
        <f t="shared" si="241"/>
        <v>0</v>
      </c>
      <c r="AB355" s="1034">
        <f t="shared" si="242"/>
        <v>0</v>
      </c>
      <c r="AC355" s="1033">
        <f t="shared" si="258"/>
        <v>0</v>
      </c>
      <c r="AD355" s="1266">
        <f t="shared" si="243"/>
        <v>0</v>
      </c>
      <c r="AE355" s="1093">
        <f t="shared" si="259"/>
        <v>0</v>
      </c>
      <c r="AF355" s="1093">
        <f t="shared" si="260"/>
        <v>0</v>
      </c>
      <c r="AG355" s="1093">
        <f t="shared" si="244"/>
        <v>0</v>
      </c>
      <c r="AH355" s="1033" t="e">
        <f t="shared" si="245"/>
        <v>#DIV/0!</v>
      </c>
      <c r="AI355" s="1091">
        <f t="shared" si="246"/>
        <v>0</v>
      </c>
      <c r="AJ355" s="1094">
        <f t="shared" si="247"/>
        <v>0</v>
      </c>
      <c r="AK355" s="1053" t="str">
        <f t="shared" si="248"/>
        <v/>
      </c>
      <c r="AL355" s="1053"/>
      <c r="AM355" s="1290">
        <f>_xlfn.XLOOKUP(F355,Proveedores!A:A,Proveedores!G:G)</f>
        <v>0</v>
      </c>
      <c r="AN355" s="1095" t="str">
        <f t="shared" si="261"/>
        <v>OK</v>
      </c>
    </row>
    <row r="356" spans="1:40" ht="15.95">
      <c r="A356" s="1090" t="b">
        <f t="shared" si="236"/>
        <v>1</v>
      </c>
      <c r="B356" s="1091" t="b">
        <f t="shared" si="249"/>
        <v>1</v>
      </c>
      <c r="C356" s="1092" t="str">
        <f t="shared" si="250"/>
        <v>Dólares</v>
      </c>
      <c r="D356" s="15"/>
      <c r="E356" s="743"/>
      <c r="F356" s="17"/>
      <c r="G356" s="17" t="str">
        <f t="shared" si="237"/>
        <v xml:space="preserve"> </v>
      </c>
      <c r="H356" s="12">
        <v>0</v>
      </c>
      <c r="I356" s="16" t="str">
        <f>IFERROR(VLOOKUP(G356,Proveedores!B:C,2,0)," ")</f>
        <v xml:space="preserve"> </v>
      </c>
      <c r="J356" s="745">
        <v>0</v>
      </c>
      <c r="K356" s="745" t="str">
        <f t="shared" si="238"/>
        <v>Not Found</v>
      </c>
      <c r="L356" s="16">
        <f>IF(K356="Importado",Fletes!$B$66,0%)</f>
        <v>0</v>
      </c>
      <c r="M356" s="745">
        <f t="shared" si="251"/>
        <v>0</v>
      </c>
      <c r="N356" s="16">
        <f>IF(K356&lt;&gt;"Importado",0%,IF(Fletes!$B$67&lt;10,15%,IF(Fletes!$B$67&lt;20,10%,5%)))</f>
        <v>0</v>
      </c>
      <c r="O356" s="745" t="str">
        <f>IFERROR(IF(OR(F356="Offiho",F356="Lauco Sofas",F356="Requiez",F356="Labenze",F356="Sunon Mty",F356="Sonara"),(M356*(1-_xlfn.XLOOKUP(F356,Proveedores!A:A,Proveedores!I:I)))*(1+N356),((M356*(1-_xlfn.XLOOKUP(F356,Proveedores!A:A,Proveedores!I:I)))*(1+N356))+U356),"")</f>
        <v/>
      </c>
      <c r="P356" s="1031"/>
      <c r="Q356" s="1133">
        <f>IF(K356&lt;&gt;"Importado",0,IF(P356&gt;0,P356*H356,IFERROR(_xlfn.XLOOKUP(F356,Proveedores!A:A,Proveedores!F:F,0)*H356,0)))</f>
        <v>0</v>
      </c>
      <c r="R356" s="1134" t="e">
        <f t="shared" si="252"/>
        <v>#VALUE!</v>
      </c>
      <c r="S356" s="743"/>
      <c r="T356" s="1034" t="e">
        <f t="shared" si="239"/>
        <v>#N/A</v>
      </c>
      <c r="U356" s="1034" t="e">
        <f t="shared" si="253"/>
        <v>#N/A</v>
      </c>
      <c r="V356" s="1165" t="e">
        <f t="shared" si="240"/>
        <v>#N/A</v>
      </c>
      <c r="W356" s="1034" t="e">
        <f t="shared" si="254"/>
        <v>#N/A</v>
      </c>
      <c r="X356" s="1034" t="b">
        <f t="shared" si="255"/>
        <v>0</v>
      </c>
      <c r="Y356" s="1034">
        <f t="shared" si="256"/>
        <v>0</v>
      </c>
      <c r="Z356" s="1034">
        <f t="shared" si="257"/>
        <v>0</v>
      </c>
      <c r="AA356" s="1034">
        <f t="shared" si="241"/>
        <v>0</v>
      </c>
      <c r="AB356" s="1034">
        <f t="shared" si="242"/>
        <v>0</v>
      </c>
      <c r="AC356" s="1033">
        <f t="shared" si="258"/>
        <v>0</v>
      </c>
      <c r="AD356" s="1266">
        <f t="shared" si="243"/>
        <v>0</v>
      </c>
      <c r="AE356" s="1093">
        <f t="shared" si="259"/>
        <v>0</v>
      </c>
      <c r="AF356" s="1093">
        <f t="shared" si="260"/>
        <v>0</v>
      </c>
      <c r="AG356" s="1093">
        <f t="shared" si="244"/>
        <v>0</v>
      </c>
      <c r="AH356" s="1033" t="e">
        <f t="shared" si="245"/>
        <v>#DIV/0!</v>
      </c>
      <c r="AI356" s="1091">
        <f t="shared" si="246"/>
        <v>0</v>
      </c>
      <c r="AJ356" s="1094">
        <f t="shared" si="247"/>
        <v>0</v>
      </c>
      <c r="AK356" s="1053" t="str">
        <f t="shared" si="248"/>
        <v/>
      </c>
      <c r="AL356" s="1053"/>
      <c r="AM356" s="1290">
        <f>_xlfn.XLOOKUP(F356,Proveedores!A:A,Proveedores!G:G)</f>
        <v>0</v>
      </c>
      <c r="AN356" s="1095" t="str">
        <f t="shared" si="261"/>
        <v>OK</v>
      </c>
    </row>
    <row r="357" spans="1:40" ht="15.95">
      <c r="A357" s="1090" t="b">
        <f t="shared" si="236"/>
        <v>1</v>
      </c>
      <c r="B357" s="1091" t="b">
        <f t="shared" si="249"/>
        <v>1</v>
      </c>
      <c r="C357" s="1092" t="str">
        <f t="shared" si="250"/>
        <v>Dólares</v>
      </c>
      <c r="D357" s="14"/>
      <c r="E357" s="743"/>
      <c r="F357" s="17"/>
      <c r="G357" s="17" t="str">
        <f t="shared" si="237"/>
        <v xml:space="preserve"> </v>
      </c>
      <c r="H357" s="12">
        <v>0</v>
      </c>
      <c r="I357" s="16" t="str">
        <f>IFERROR(VLOOKUP(G357,Proveedores!B:C,2,0)," ")</f>
        <v xml:space="preserve"> </v>
      </c>
      <c r="J357" s="745">
        <v>0</v>
      </c>
      <c r="K357" s="745" t="str">
        <f t="shared" si="238"/>
        <v>Not Found</v>
      </c>
      <c r="L357" s="16">
        <f>IF(K357="Importado",Fletes!$B$66,0%)</f>
        <v>0</v>
      </c>
      <c r="M357" s="745">
        <f t="shared" si="251"/>
        <v>0</v>
      </c>
      <c r="N357" s="16">
        <f>IF(K357&lt;&gt;"Importado",0%,IF(Fletes!$B$67&lt;10,15%,IF(Fletes!$B$67&lt;20,10%,5%)))</f>
        <v>0</v>
      </c>
      <c r="O357" s="745" t="str">
        <f>IFERROR(IF(OR(F357="Offiho",F357="Lauco Sofas",F357="Requiez",F357="Labenze",F357="Sunon Mty",F357="Sonara"),(M357*(1-_xlfn.XLOOKUP(F357,Proveedores!A:A,Proveedores!I:I)))*(1+N357),((M357*(1-_xlfn.XLOOKUP(F357,Proveedores!A:A,Proveedores!I:I)))*(1+N357))+U357),"")</f>
        <v/>
      </c>
      <c r="P357" s="1031"/>
      <c r="Q357" s="1133">
        <f>IF(K357&lt;&gt;"Importado",0,IF(P357&gt;0,P357*H357,IFERROR(_xlfn.XLOOKUP(F357,Proveedores!A:A,Proveedores!F:F,0)*H357,0)))</f>
        <v>0</v>
      </c>
      <c r="R357" s="1134" t="e">
        <f t="shared" si="252"/>
        <v>#VALUE!</v>
      </c>
      <c r="S357" s="743"/>
      <c r="T357" s="1034" t="e">
        <f t="shared" si="239"/>
        <v>#N/A</v>
      </c>
      <c r="U357" s="1034" t="e">
        <f t="shared" si="253"/>
        <v>#N/A</v>
      </c>
      <c r="V357" s="1165" t="e">
        <f t="shared" si="240"/>
        <v>#N/A</v>
      </c>
      <c r="W357" s="1034" t="e">
        <f t="shared" si="254"/>
        <v>#N/A</v>
      </c>
      <c r="X357" s="1034" t="b">
        <f t="shared" si="255"/>
        <v>0</v>
      </c>
      <c r="Y357" s="1034">
        <f t="shared" si="256"/>
        <v>0</v>
      </c>
      <c r="Z357" s="1034">
        <f t="shared" si="257"/>
        <v>0</v>
      </c>
      <c r="AA357" s="1034">
        <f t="shared" si="241"/>
        <v>0</v>
      </c>
      <c r="AB357" s="1034">
        <f t="shared" si="242"/>
        <v>0</v>
      </c>
      <c r="AC357" s="1033">
        <f t="shared" si="258"/>
        <v>0</v>
      </c>
      <c r="AD357" s="1266">
        <f t="shared" si="243"/>
        <v>0</v>
      </c>
      <c r="AE357" s="1093">
        <f t="shared" si="259"/>
        <v>0</v>
      </c>
      <c r="AF357" s="1093">
        <f t="shared" si="260"/>
        <v>0</v>
      </c>
      <c r="AG357" s="1093">
        <f t="shared" si="244"/>
        <v>0</v>
      </c>
      <c r="AH357" s="1033" t="e">
        <f t="shared" si="245"/>
        <v>#DIV/0!</v>
      </c>
      <c r="AI357" s="1091">
        <f t="shared" si="246"/>
        <v>0</v>
      </c>
      <c r="AJ357" s="1094">
        <f t="shared" si="247"/>
        <v>0</v>
      </c>
      <c r="AK357" s="1053" t="str">
        <f t="shared" si="248"/>
        <v/>
      </c>
      <c r="AL357" s="1053"/>
      <c r="AM357" s="1290">
        <f>_xlfn.XLOOKUP(F357,Proveedores!A:A,Proveedores!G:G)</f>
        <v>0</v>
      </c>
      <c r="AN357" s="1095" t="str">
        <f t="shared" si="261"/>
        <v>OK</v>
      </c>
    </row>
    <row r="358" spans="1:40" ht="15.95">
      <c r="A358" s="1090" t="b">
        <f t="shared" si="236"/>
        <v>1</v>
      </c>
      <c r="B358" s="1091" t="b">
        <f t="shared" si="249"/>
        <v>1</v>
      </c>
      <c r="C358" s="1092" t="str">
        <f t="shared" si="250"/>
        <v>Dólares</v>
      </c>
      <c r="D358" s="14"/>
      <c r="E358" s="743"/>
      <c r="F358" s="17"/>
      <c r="G358" s="17" t="str">
        <f t="shared" si="237"/>
        <v xml:space="preserve"> </v>
      </c>
      <c r="H358" s="12">
        <v>0</v>
      </c>
      <c r="I358" s="16" t="str">
        <f>IFERROR(VLOOKUP(G358,Proveedores!B:C,2,0)," ")</f>
        <v xml:space="preserve"> </v>
      </c>
      <c r="J358" s="745">
        <v>0</v>
      </c>
      <c r="K358" s="745" t="str">
        <f t="shared" si="238"/>
        <v>Not Found</v>
      </c>
      <c r="L358" s="16">
        <f>IF(K358="Importado",Fletes!$B$66,0%)</f>
        <v>0</v>
      </c>
      <c r="M358" s="745">
        <f t="shared" si="251"/>
        <v>0</v>
      </c>
      <c r="N358" s="16">
        <f>IF(K358&lt;&gt;"Importado",0%,IF(Fletes!$B$67&lt;10,15%,IF(Fletes!$B$67&lt;20,10%,5%)))</f>
        <v>0</v>
      </c>
      <c r="O358" s="745" t="str">
        <f>IFERROR(IF(OR(F358="Offiho",F358="Lauco Sofas",F358="Requiez",F358="Labenze",F358="Sunon Mty",F358="Sonara"),(M358*(1-_xlfn.XLOOKUP(F358,Proveedores!A:A,Proveedores!I:I)))*(1+N358),((M358*(1-_xlfn.XLOOKUP(F358,Proveedores!A:A,Proveedores!I:I)))*(1+N358))+U358),"")</f>
        <v/>
      </c>
      <c r="P358" s="1031"/>
      <c r="Q358" s="1133">
        <f>IF(K358&lt;&gt;"Importado",0,IF(P358&gt;0,P358*H358,IFERROR(_xlfn.XLOOKUP(F358,Proveedores!A:A,Proveedores!F:F,0)*H358,0)))</f>
        <v>0</v>
      </c>
      <c r="R358" s="1134" t="e">
        <f t="shared" si="252"/>
        <v>#VALUE!</v>
      </c>
      <c r="S358" s="743"/>
      <c r="T358" s="1034" t="e">
        <f t="shared" si="239"/>
        <v>#N/A</v>
      </c>
      <c r="U358" s="1034" t="e">
        <f t="shared" si="253"/>
        <v>#N/A</v>
      </c>
      <c r="V358" s="1165" t="e">
        <f t="shared" si="240"/>
        <v>#N/A</v>
      </c>
      <c r="W358" s="1034" t="e">
        <f t="shared" si="254"/>
        <v>#N/A</v>
      </c>
      <c r="X358" s="1034" t="b">
        <f t="shared" si="255"/>
        <v>0</v>
      </c>
      <c r="Y358" s="1034">
        <f t="shared" si="256"/>
        <v>0</v>
      </c>
      <c r="Z358" s="1034">
        <f t="shared" si="257"/>
        <v>0</v>
      </c>
      <c r="AA358" s="1034">
        <f t="shared" si="241"/>
        <v>0</v>
      </c>
      <c r="AB358" s="1034">
        <f t="shared" si="242"/>
        <v>0</v>
      </c>
      <c r="AC358" s="1033">
        <f t="shared" si="258"/>
        <v>0</v>
      </c>
      <c r="AD358" s="1266">
        <f t="shared" si="243"/>
        <v>0</v>
      </c>
      <c r="AE358" s="1093">
        <f t="shared" si="259"/>
        <v>0</v>
      </c>
      <c r="AF358" s="1093">
        <f t="shared" si="260"/>
        <v>0</v>
      </c>
      <c r="AG358" s="1093">
        <f t="shared" si="244"/>
        <v>0</v>
      </c>
      <c r="AH358" s="1033" t="e">
        <f t="shared" si="245"/>
        <v>#DIV/0!</v>
      </c>
      <c r="AI358" s="1091">
        <f t="shared" si="246"/>
        <v>0</v>
      </c>
      <c r="AJ358" s="1094">
        <f t="shared" si="247"/>
        <v>0</v>
      </c>
      <c r="AK358" s="1053" t="str">
        <f t="shared" si="248"/>
        <v/>
      </c>
      <c r="AL358" s="1053"/>
      <c r="AM358" s="1290">
        <f>_xlfn.XLOOKUP(F358,Proveedores!A:A,Proveedores!G:G)</f>
        <v>0</v>
      </c>
      <c r="AN358" s="1095" t="str">
        <f t="shared" si="261"/>
        <v>OK</v>
      </c>
    </row>
    <row r="359" spans="1:40" ht="15.95">
      <c r="A359" s="1090" t="b">
        <f t="shared" si="236"/>
        <v>1</v>
      </c>
      <c r="B359" s="1091" t="b">
        <f t="shared" si="249"/>
        <v>1</v>
      </c>
      <c r="C359" s="1092" t="str">
        <f t="shared" si="250"/>
        <v>Dólares</v>
      </c>
      <c r="D359" s="14"/>
      <c r="E359" s="743"/>
      <c r="F359" s="17"/>
      <c r="G359" s="17" t="str">
        <f t="shared" si="237"/>
        <v xml:space="preserve"> </v>
      </c>
      <c r="H359" s="12">
        <v>0</v>
      </c>
      <c r="I359" s="16" t="str">
        <f>IFERROR(VLOOKUP(G359,Proveedores!B:C,2,0)," ")</f>
        <v xml:space="preserve"> </v>
      </c>
      <c r="J359" s="745">
        <v>0</v>
      </c>
      <c r="K359" s="745" t="str">
        <f t="shared" si="238"/>
        <v>Not Found</v>
      </c>
      <c r="L359" s="16">
        <f>IF(K359="Importado",Fletes!$B$66,0%)</f>
        <v>0</v>
      </c>
      <c r="M359" s="745">
        <f t="shared" si="251"/>
        <v>0</v>
      </c>
      <c r="N359" s="16">
        <f>IF(K359&lt;&gt;"Importado",0%,IF(Fletes!$B$67&lt;10,15%,IF(Fletes!$B$67&lt;20,10%,5%)))</f>
        <v>0</v>
      </c>
      <c r="O359" s="745" t="str">
        <f>IFERROR(IF(OR(F359="Offiho",F359="Lauco Sofas",F359="Requiez",F359="Labenze",F359="Sunon Mty",F359="Sonara"),(M359*(1-_xlfn.XLOOKUP(F359,Proveedores!A:A,Proveedores!I:I)))*(1+N359),((M359*(1-_xlfn.XLOOKUP(F359,Proveedores!A:A,Proveedores!I:I)))*(1+N359))+U359),"")</f>
        <v/>
      </c>
      <c r="P359" s="1031"/>
      <c r="Q359" s="1133">
        <f>IF(K359&lt;&gt;"Importado",0,IF(P359&gt;0,P359*H359,IFERROR(_xlfn.XLOOKUP(F359,Proveedores!A:A,Proveedores!F:F,0)*H359,0)))</f>
        <v>0</v>
      </c>
      <c r="R359" s="1134" t="e">
        <f t="shared" si="252"/>
        <v>#VALUE!</v>
      </c>
      <c r="S359" s="743"/>
      <c r="T359" s="1034" t="e">
        <f t="shared" si="239"/>
        <v>#N/A</v>
      </c>
      <c r="U359" s="1034" t="e">
        <f t="shared" si="253"/>
        <v>#N/A</v>
      </c>
      <c r="V359" s="1165" t="e">
        <f t="shared" si="240"/>
        <v>#N/A</v>
      </c>
      <c r="W359" s="1034" t="e">
        <f t="shared" si="254"/>
        <v>#N/A</v>
      </c>
      <c r="X359" s="1034" t="b">
        <f t="shared" si="255"/>
        <v>0</v>
      </c>
      <c r="Y359" s="1034">
        <f t="shared" si="256"/>
        <v>0</v>
      </c>
      <c r="Z359" s="1034">
        <f t="shared" si="257"/>
        <v>0</v>
      </c>
      <c r="AA359" s="1034">
        <f t="shared" si="241"/>
        <v>0</v>
      </c>
      <c r="AB359" s="1034">
        <f t="shared" si="242"/>
        <v>0</v>
      </c>
      <c r="AC359" s="1033">
        <f t="shared" si="258"/>
        <v>0</v>
      </c>
      <c r="AD359" s="1266">
        <f t="shared" si="243"/>
        <v>0</v>
      </c>
      <c r="AE359" s="1093">
        <f t="shared" si="259"/>
        <v>0</v>
      </c>
      <c r="AF359" s="1093">
        <f t="shared" si="260"/>
        <v>0</v>
      </c>
      <c r="AG359" s="1093">
        <f t="shared" si="244"/>
        <v>0</v>
      </c>
      <c r="AH359" s="1033" t="e">
        <f t="shared" si="245"/>
        <v>#DIV/0!</v>
      </c>
      <c r="AI359" s="1091">
        <f t="shared" si="246"/>
        <v>0</v>
      </c>
      <c r="AJ359" s="1094">
        <f t="shared" si="247"/>
        <v>0</v>
      </c>
      <c r="AK359" s="1053" t="str">
        <f t="shared" si="248"/>
        <v/>
      </c>
      <c r="AL359" s="1053"/>
      <c r="AM359" s="1290">
        <f>_xlfn.XLOOKUP(F359,Proveedores!A:A,Proveedores!G:G)</f>
        <v>0</v>
      </c>
      <c r="AN359" s="1095" t="str">
        <f t="shared" si="261"/>
        <v>OK</v>
      </c>
    </row>
    <row r="360" spans="1:40" ht="15.95">
      <c r="A360" s="1090" t="b">
        <f t="shared" si="236"/>
        <v>1</v>
      </c>
      <c r="B360" s="1091" t="b">
        <f t="shared" si="249"/>
        <v>1</v>
      </c>
      <c r="C360" s="1092" t="str">
        <f t="shared" si="250"/>
        <v>Dólares</v>
      </c>
      <c r="D360" s="14"/>
      <c r="E360" s="743"/>
      <c r="F360" s="17"/>
      <c r="G360" s="17" t="str">
        <f t="shared" si="237"/>
        <v xml:space="preserve"> </v>
      </c>
      <c r="H360" s="12">
        <v>0</v>
      </c>
      <c r="I360" s="16" t="str">
        <f>IFERROR(VLOOKUP(G360,Proveedores!B:C,2,0)," ")</f>
        <v xml:space="preserve"> </v>
      </c>
      <c r="J360" s="745">
        <v>0</v>
      </c>
      <c r="K360" s="745" t="str">
        <f t="shared" si="238"/>
        <v>Not Found</v>
      </c>
      <c r="L360" s="16">
        <f>IF(K360="Importado",Fletes!$B$66,0%)</f>
        <v>0</v>
      </c>
      <c r="M360" s="745">
        <f t="shared" si="251"/>
        <v>0</v>
      </c>
      <c r="N360" s="16">
        <f>IF(K360&lt;&gt;"Importado",0%,IF(Fletes!$B$67&lt;10,15%,IF(Fletes!$B$67&lt;20,10%,5%)))</f>
        <v>0</v>
      </c>
      <c r="O360" s="745" t="str">
        <f>IFERROR(IF(OR(F360="Offiho",F360="Lauco Sofas",F360="Requiez",F360="Labenze",F360="Sunon Mty",F360="Sonara"),(M360*(1-_xlfn.XLOOKUP(F360,Proveedores!A:A,Proveedores!I:I)))*(1+N360),((M360*(1-_xlfn.XLOOKUP(F360,Proveedores!A:A,Proveedores!I:I)))*(1+N360))+U360),"")</f>
        <v/>
      </c>
      <c r="P360" s="1031"/>
      <c r="Q360" s="1133">
        <f>IF(K360&lt;&gt;"Importado",0,IF(P360&gt;0,P360*H360,IFERROR(_xlfn.XLOOKUP(F360,Proveedores!A:A,Proveedores!F:F,0)*H360,0)))</f>
        <v>0</v>
      </c>
      <c r="R360" s="1134" t="e">
        <f t="shared" si="252"/>
        <v>#VALUE!</v>
      </c>
      <c r="S360" s="743"/>
      <c r="T360" s="1034" t="e">
        <f t="shared" si="239"/>
        <v>#N/A</v>
      </c>
      <c r="U360" s="1034" t="e">
        <f t="shared" si="253"/>
        <v>#N/A</v>
      </c>
      <c r="V360" s="1165" t="e">
        <f t="shared" si="240"/>
        <v>#N/A</v>
      </c>
      <c r="W360" s="1034" t="e">
        <f t="shared" si="254"/>
        <v>#N/A</v>
      </c>
      <c r="X360" s="1034" t="b">
        <f t="shared" si="255"/>
        <v>0</v>
      </c>
      <c r="Y360" s="1034">
        <f t="shared" si="256"/>
        <v>0</v>
      </c>
      <c r="Z360" s="1034">
        <f t="shared" si="257"/>
        <v>0</v>
      </c>
      <c r="AA360" s="1034">
        <f t="shared" si="241"/>
        <v>0</v>
      </c>
      <c r="AB360" s="1034">
        <f t="shared" si="242"/>
        <v>0</v>
      </c>
      <c r="AC360" s="1033">
        <f t="shared" si="258"/>
        <v>0</v>
      </c>
      <c r="AD360" s="1266">
        <f t="shared" si="243"/>
        <v>0</v>
      </c>
      <c r="AE360" s="1093">
        <f t="shared" si="259"/>
        <v>0</v>
      </c>
      <c r="AF360" s="1093">
        <f t="shared" si="260"/>
        <v>0</v>
      </c>
      <c r="AG360" s="1093">
        <f t="shared" si="244"/>
        <v>0</v>
      </c>
      <c r="AH360" s="1033" t="e">
        <f t="shared" si="245"/>
        <v>#DIV/0!</v>
      </c>
      <c r="AI360" s="1091">
        <f t="shared" si="246"/>
        <v>0</v>
      </c>
      <c r="AJ360" s="1094">
        <f t="shared" si="247"/>
        <v>0</v>
      </c>
      <c r="AK360" s="1053" t="str">
        <f t="shared" si="248"/>
        <v/>
      </c>
      <c r="AL360" s="1053"/>
      <c r="AM360" s="1290">
        <f>_xlfn.XLOOKUP(F360,Proveedores!A:A,Proveedores!G:G)</f>
        <v>0</v>
      </c>
      <c r="AN360" s="1095" t="str">
        <f t="shared" si="261"/>
        <v>OK</v>
      </c>
    </row>
    <row r="361" spans="1:40" ht="15.95">
      <c r="A361" s="1090" t="b">
        <f t="shared" si="236"/>
        <v>1</v>
      </c>
      <c r="B361" s="1091" t="b">
        <f t="shared" si="249"/>
        <v>1</v>
      </c>
      <c r="C361" s="1092" t="str">
        <f t="shared" si="250"/>
        <v>Dólares</v>
      </c>
      <c r="D361" s="14"/>
      <c r="E361" s="743"/>
      <c r="F361" s="17"/>
      <c r="G361" s="17" t="str">
        <f t="shared" si="237"/>
        <v xml:space="preserve"> </v>
      </c>
      <c r="H361" s="12">
        <v>0</v>
      </c>
      <c r="I361" s="16" t="str">
        <f>IFERROR(VLOOKUP(G361,Proveedores!B:C,2,0)," ")</f>
        <v xml:space="preserve"> </v>
      </c>
      <c r="J361" s="745">
        <v>0</v>
      </c>
      <c r="K361" s="745" t="str">
        <f t="shared" si="238"/>
        <v>Not Found</v>
      </c>
      <c r="L361" s="16">
        <f>IF(K361="Importado",Fletes!$B$66,0%)</f>
        <v>0</v>
      </c>
      <c r="M361" s="745">
        <f t="shared" si="251"/>
        <v>0</v>
      </c>
      <c r="N361" s="16">
        <f>IF(K361&lt;&gt;"Importado",0%,IF(Fletes!$B$67&lt;10,15%,IF(Fletes!$B$67&lt;20,10%,5%)))</f>
        <v>0</v>
      </c>
      <c r="O361" s="745" t="str">
        <f>IFERROR(IF(OR(F361="Offiho",F361="Lauco Sofas",F361="Requiez",F361="Labenze",F361="Sunon Mty",F361="Sonara"),(M361*(1-_xlfn.XLOOKUP(F361,Proveedores!A:A,Proveedores!I:I)))*(1+N361),((M361*(1-_xlfn.XLOOKUP(F361,Proveedores!A:A,Proveedores!I:I)))*(1+N361))+U361),"")</f>
        <v/>
      </c>
      <c r="P361" s="1031"/>
      <c r="Q361" s="1133">
        <f>IF(K361&lt;&gt;"Importado",0,IF(P361&gt;0,P361*H361,IFERROR(_xlfn.XLOOKUP(F361,Proveedores!A:A,Proveedores!F:F,0)*H361,0)))</f>
        <v>0</v>
      </c>
      <c r="R361" s="1134" t="e">
        <f t="shared" si="252"/>
        <v>#VALUE!</v>
      </c>
      <c r="S361" s="743"/>
      <c r="T361" s="1034" t="e">
        <f t="shared" si="239"/>
        <v>#N/A</v>
      </c>
      <c r="U361" s="1034" t="e">
        <f t="shared" si="253"/>
        <v>#N/A</v>
      </c>
      <c r="V361" s="1165" t="e">
        <f t="shared" si="240"/>
        <v>#N/A</v>
      </c>
      <c r="W361" s="1034" t="e">
        <f t="shared" si="254"/>
        <v>#N/A</v>
      </c>
      <c r="X361" s="1034" t="b">
        <f t="shared" si="255"/>
        <v>0</v>
      </c>
      <c r="Y361" s="1034">
        <f t="shared" si="256"/>
        <v>0</v>
      </c>
      <c r="Z361" s="1034">
        <f t="shared" si="257"/>
        <v>0</v>
      </c>
      <c r="AA361" s="1034">
        <f t="shared" si="241"/>
        <v>0</v>
      </c>
      <c r="AB361" s="1034">
        <f t="shared" si="242"/>
        <v>0</v>
      </c>
      <c r="AC361" s="1033">
        <f t="shared" si="258"/>
        <v>0</v>
      </c>
      <c r="AD361" s="1266">
        <f t="shared" si="243"/>
        <v>0</v>
      </c>
      <c r="AE361" s="1093">
        <f t="shared" si="259"/>
        <v>0</v>
      </c>
      <c r="AF361" s="1093">
        <f t="shared" si="260"/>
        <v>0</v>
      </c>
      <c r="AG361" s="1093">
        <f t="shared" si="244"/>
        <v>0</v>
      </c>
      <c r="AH361" s="1033" t="e">
        <f t="shared" si="245"/>
        <v>#DIV/0!</v>
      </c>
      <c r="AI361" s="1091">
        <f t="shared" si="246"/>
        <v>0</v>
      </c>
      <c r="AJ361" s="1094">
        <f t="shared" si="247"/>
        <v>0</v>
      </c>
      <c r="AK361" s="1053" t="str">
        <f t="shared" si="248"/>
        <v/>
      </c>
      <c r="AL361" s="1053"/>
      <c r="AM361" s="1290">
        <f>_xlfn.XLOOKUP(F361,Proveedores!A:A,Proveedores!G:G)</f>
        <v>0</v>
      </c>
      <c r="AN361" s="1095" t="str">
        <f t="shared" si="261"/>
        <v>OK</v>
      </c>
    </row>
    <row r="362" spans="1:40" ht="15.95">
      <c r="A362" s="1090" t="b">
        <f t="shared" si="236"/>
        <v>1</v>
      </c>
      <c r="B362" s="1091" t="b">
        <f t="shared" si="249"/>
        <v>1</v>
      </c>
      <c r="C362" s="1092" t="str">
        <f t="shared" si="250"/>
        <v>Dólares</v>
      </c>
      <c r="D362" s="14"/>
      <c r="E362" s="743"/>
      <c r="F362" s="17"/>
      <c r="G362" s="17" t="str">
        <f t="shared" si="237"/>
        <v xml:space="preserve"> </v>
      </c>
      <c r="H362" s="12">
        <v>0</v>
      </c>
      <c r="I362" s="16" t="str">
        <f>IFERROR(VLOOKUP(G362,Proveedores!B:C,2,0)," ")</f>
        <v xml:space="preserve"> </v>
      </c>
      <c r="J362" s="745">
        <v>0</v>
      </c>
      <c r="K362" s="745" t="str">
        <f t="shared" si="238"/>
        <v>Not Found</v>
      </c>
      <c r="L362" s="16">
        <f>IF(K362="Importado",Fletes!$B$66,0%)</f>
        <v>0</v>
      </c>
      <c r="M362" s="745">
        <f t="shared" si="251"/>
        <v>0</v>
      </c>
      <c r="N362" s="16">
        <f>IF(K362&lt;&gt;"Importado",0%,IF(Fletes!$B$67&lt;10,15%,IF(Fletes!$B$67&lt;20,10%,5%)))</f>
        <v>0</v>
      </c>
      <c r="O362" s="745" t="str">
        <f>IFERROR(IF(OR(F362="Offiho",F362="Lauco Sofas",F362="Requiez",F362="Labenze",F362="Sunon Mty",F362="Sonara"),(M362*(1-_xlfn.XLOOKUP(F362,Proveedores!A:A,Proveedores!I:I)))*(1+N362),((M362*(1-_xlfn.XLOOKUP(F362,Proveedores!A:A,Proveedores!I:I)))*(1+N362))+U362),"")</f>
        <v/>
      </c>
      <c r="P362" s="1031"/>
      <c r="Q362" s="1133">
        <f>IF(K362&lt;&gt;"Importado",0,IF(P362&gt;0,P362*H362,IFERROR(_xlfn.XLOOKUP(F362,Proveedores!A:A,Proveedores!F:F,0)*H362,0)))</f>
        <v>0</v>
      </c>
      <c r="R362" s="1134" t="e">
        <f t="shared" si="252"/>
        <v>#VALUE!</v>
      </c>
      <c r="S362" s="743"/>
      <c r="T362" s="1034" t="e">
        <f t="shared" si="239"/>
        <v>#N/A</v>
      </c>
      <c r="U362" s="1034" t="e">
        <f t="shared" si="253"/>
        <v>#N/A</v>
      </c>
      <c r="V362" s="1165" t="e">
        <f t="shared" si="240"/>
        <v>#N/A</v>
      </c>
      <c r="W362" s="1034" t="e">
        <f t="shared" si="254"/>
        <v>#N/A</v>
      </c>
      <c r="X362" s="1034" t="b">
        <f t="shared" si="255"/>
        <v>0</v>
      </c>
      <c r="Y362" s="1034">
        <f t="shared" si="256"/>
        <v>0</v>
      </c>
      <c r="Z362" s="1034">
        <f t="shared" si="257"/>
        <v>0</v>
      </c>
      <c r="AA362" s="1034">
        <f t="shared" si="241"/>
        <v>0</v>
      </c>
      <c r="AB362" s="1034">
        <f t="shared" si="242"/>
        <v>0</v>
      </c>
      <c r="AC362" s="1033">
        <f t="shared" si="258"/>
        <v>0</v>
      </c>
      <c r="AD362" s="1266">
        <f t="shared" si="243"/>
        <v>0</v>
      </c>
      <c r="AE362" s="1093">
        <f t="shared" si="259"/>
        <v>0</v>
      </c>
      <c r="AF362" s="1093">
        <f t="shared" si="260"/>
        <v>0</v>
      </c>
      <c r="AG362" s="1093">
        <f t="shared" si="244"/>
        <v>0</v>
      </c>
      <c r="AH362" s="1033" t="str">
        <f t="shared" si="245"/>
        <v>NA</v>
      </c>
      <c r="AI362" s="1091">
        <f t="shared" si="246"/>
        <v>0</v>
      </c>
      <c r="AJ362" s="1094">
        <f t="shared" si="247"/>
        <v>0</v>
      </c>
      <c r="AK362" s="1053" t="str">
        <f t="shared" si="248"/>
        <v/>
      </c>
      <c r="AL362" s="1053"/>
      <c r="AM362" s="1290">
        <f>_xlfn.XLOOKUP(F362,Proveedores!A:A,Proveedores!G:G)</f>
        <v>0</v>
      </c>
      <c r="AN362" s="1095" t="str">
        <f t="shared" si="261"/>
        <v>OK</v>
      </c>
    </row>
    <row r="363" spans="1:40" ht="24" customHeight="1">
      <c r="A363" s="1375" t="s">
        <v>145</v>
      </c>
      <c r="B363" s="1375"/>
      <c r="C363" s="1375"/>
      <c r="D363" s="1375"/>
      <c r="E363" s="1375"/>
      <c r="F363" s="1375"/>
      <c r="G363" s="1099"/>
      <c r="H363" s="1100" cm="1">
        <f t="array" ref="H363">SUM(IFERROR(H330:H362,0))</f>
        <v>0</v>
      </c>
      <c r="I363" s="1099"/>
      <c r="J363" s="1101"/>
      <c r="K363" s="1101"/>
      <c r="L363" s="1101"/>
      <c r="M363" s="1101"/>
      <c r="N363" s="1101"/>
      <c r="O363" s="1101"/>
      <c r="P363" s="1102"/>
      <c r="Q363" s="1100" cm="1">
        <f t="array" ref="Q363">SUM(IFERROR(Q330:Q362,0))</f>
        <v>0</v>
      </c>
      <c r="R363" s="1103" cm="1">
        <f t="array" ref="R363">SUM(IFERROR(R330:R362,0))</f>
        <v>0</v>
      </c>
      <c r="S363" s="1104"/>
      <c r="T363" s="1104"/>
      <c r="U363" s="1104"/>
      <c r="V363" s="1104"/>
      <c r="W363" s="1104"/>
      <c r="X363" s="1104"/>
      <c r="Y363" s="1102"/>
      <c r="Z363" s="1102"/>
      <c r="AA363" s="1102"/>
      <c r="AB363" s="1103" cm="1">
        <f t="array" ref="AB363">SUM(IFERROR(AB330:AB362,0))</f>
        <v>0</v>
      </c>
      <c r="AC363" s="1104" t="s">
        <v>127</v>
      </c>
      <c r="AD363" s="1104"/>
      <c r="AE363" s="1104"/>
      <c r="AF363" s="1104"/>
      <c r="AG363" s="1103" cm="1">
        <f t="array" ref="AG363">SUM(IFERROR(AG330:AG362,0))</f>
        <v>0</v>
      </c>
      <c r="AH363" s="1103"/>
      <c r="AI363" s="1103"/>
      <c r="AJ363" s="1103" cm="1">
        <f t="array" ref="AJ363">SUM(IFERROR(AJ330:AJ362,0))</f>
        <v>0</v>
      </c>
      <c r="AK363" s="1054" cm="1">
        <f t="array" ref="AK363">IFERROR(SUMPRODUCT(IFERROR(AG330:AG362,0),IFERROR(AK330:AK362,0))/SUMPRODUCT(IFERROR(AG330:AG362,0)),0)</f>
        <v>0</v>
      </c>
      <c r="AL363" s="1288"/>
      <c r="AM363" s="1288"/>
      <c r="AN363"/>
    </row>
    <row r="364" spans="1:40" ht="26.1" customHeight="1">
      <c r="A364" s="1397" t="s">
        <v>146</v>
      </c>
      <c r="B364" s="1397"/>
      <c r="C364" s="1397"/>
      <c r="D364" s="1397"/>
      <c r="E364" s="1397"/>
      <c r="F364" s="1397"/>
      <c r="G364" s="1397"/>
      <c r="H364" s="1397"/>
      <c r="I364" s="1397"/>
      <c r="J364" s="1398"/>
      <c r="K364" s="1160"/>
      <c r="L364" s="1160"/>
      <c r="M364" s="1160"/>
      <c r="N364" s="1160"/>
      <c r="O364" s="1160"/>
      <c r="P364" s="1088"/>
      <c r="Q364" s="1088"/>
      <c r="R364" s="1088"/>
      <c r="S364" s="1087"/>
      <c r="T364" s="1087"/>
      <c r="U364" s="1087"/>
      <c r="V364" s="1087"/>
      <c r="W364" s="1087"/>
      <c r="X364" s="1087"/>
      <c r="Y364" s="1055"/>
      <c r="Z364" s="1055"/>
      <c r="AA364" s="1055"/>
      <c r="AB364" s="1055"/>
      <c r="AC364" s="1055"/>
      <c r="AD364" s="1087"/>
      <c r="AE364" s="1087"/>
      <c r="AF364" s="1087"/>
      <c r="AG364" s="1087"/>
      <c r="AH364" s="1087"/>
      <c r="AI364" s="1087"/>
      <c r="AJ364" s="1087"/>
      <c r="AK364" s="1089"/>
      <c r="AL364" s="1287"/>
      <c r="AM364" s="1287"/>
      <c r="AN364"/>
    </row>
    <row r="365" spans="1:40" ht="15.95">
      <c r="A365" s="1090" t="b">
        <f t="shared" ref="A365:A397" si="262">$A$14</f>
        <v>1</v>
      </c>
      <c r="B365" s="1091" t="b">
        <f>A365</f>
        <v>1</v>
      </c>
      <c r="C365" s="1092" t="str">
        <f>$C$14</f>
        <v>Dólares</v>
      </c>
      <c r="D365" s="11"/>
      <c r="E365" s="743"/>
      <c r="F365" s="17"/>
      <c r="G365" t="str">
        <f t="shared" ref="G365:G397" si="263">IFERROR(VLOOKUP(F365,Tabla_Proveedores_1,2,0)," ")</f>
        <v xml:space="preserve"> </v>
      </c>
      <c r="H365" s="12">
        <v>0</v>
      </c>
      <c r="I365" s="16" t="str">
        <f>IFERROR(VLOOKUP(G365,Proveedores!B:C,2,0)," ")</f>
        <v xml:space="preserve"> </v>
      </c>
      <c r="J365" s="745">
        <v>0</v>
      </c>
      <c r="K365" s="745" t="str">
        <f t="shared" ref="K365:K397" si="264">IFERROR(VLOOKUP(TRIM(F365), ProveedoreS_TC, 5, FALSE), "Not Found")</f>
        <v>Not Found</v>
      </c>
      <c r="L365" s="16">
        <f>IF(K365="Importado",Fletes!$B$66,0%)</f>
        <v>0</v>
      </c>
      <c r="M365" s="745">
        <f>IF(K365="Importado",J365*(1+L365),J365*(1+L365))</f>
        <v>0</v>
      </c>
      <c r="N365" s="16">
        <f>IF(K365&lt;&gt;"Importado",0%,IF(Fletes!$B$67&lt;10,15%,IF(Fletes!$B$67&lt;20,10%,5%)))</f>
        <v>0</v>
      </c>
      <c r="O365" s="745" t="str">
        <f>IFERROR(IF(OR(F365="Offiho",F365="Lauco Sofas",F365="Requiez",F365="Labenze",F365="Sunon Mty",F365="Sonara"),(M365*(1-_xlfn.XLOOKUP(F365,Proveedores!A:A,Proveedores!I:I)))*(1+N365),((M365*(1-_xlfn.XLOOKUP(F365,Proveedores!A:A,Proveedores!I:I)))*(1+N365))+U365),"")</f>
        <v/>
      </c>
      <c r="P365" s="1031"/>
      <c r="Q365" s="1133">
        <f>IF(K365&lt;&gt;"Importado",0,IF(P365&gt;0,P365*H365,IFERROR(_xlfn.XLOOKUP(F365,Proveedores!A:A,Proveedores!F:F,0)*H365,0)))</f>
        <v>0</v>
      </c>
      <c r="R365" s="1134" t="e">
        <f>O365*H365</f>
        <v>#VALUE!</v>
      </c>
      <c r="S365" s="743"/>
      <c r="T365" s="1034" t="e">
        <f t="shared" ref="T365:T397" si="265">IF(H365&gt;15,0,VLOOKUP(E365,Tabla_Instalacion,2,FALSE))</f>
        <v>#N/A</v>
      </c>
      <c r="U365" s="1034" t="e">
        <f>X365/V365</f>
        <v>#N/A</v>
      </c>
      <c r="V365" s="1165" t="e">
        <f t="shared" ref="V365:V397" si="266">VLOOKUP(E365,Tabla_Factor,2,FALSE)</f>
        <v>#N/A</v>
      </c>
      <c r="W365" s="1034" t="e">
        <f>T365*V365</f>
        <v>#N/A</v>
      </c>
      <c r="X365" s="1034" t="b">
        <f>IF(S365="Occidente",W365,IF(S365="Norte",W365*1.5,IF(S365="Centro",W365*1.2,IF(S365="Sur",W365*1.7))))</f>
        <v>0</v>
      </c>
      <c r="Y365" s="1034">
        <f>ROUNDUP(IF(OR(F365="Offiho",F365="Lauco Sofas",F365="Requiez",F365="Labenze",F365="Sunon Mty",F365="Sonara",F365="Santeco"),J365,IF(K365="Nacional",O365/(1-30%),IF(K365="Importado",O365/(1-40%),IF(OR(F365="Lumbro",F365="Idelika"),O365/(1-20%))))),0)</f>
        <v>0</v>
      </c>
      <c r="Z365" s="1034">
        <f>ROUNDUP(IF(OR(F365="Offiho",F365="Lauco Sofas",F365="Requiez",F365="Labenze",F365="Sunon Mty",F365="Sonara",F365="Sonara"),Y365,IF($P$10="MIXTO",IF(K365="Nacional",Y365/(1-50%),Y365/(1-50%)),IF($P$10="IMPORTADO",Y365/(1-50%),IF($P$10="NACIONAL",Y365/(1-20%),Y365/(1-20%))))),0)</f>
        <v>0</v>
      </c>
      <c r="AA365" s="1034">
        <f t="shared" ref="AA365:AA397" si="267">IF(Z365&gt;=Y365,_xlfn.MINIFS($Z$15:$Z$572,$D$15:$D$572,D365),"NO SE ESTA RESPETANDO EL MARGEN")</f>
        <v>0</v>
      </c>
      <c r="AB365" s="1034">
        <f t="shared" ref="AB365:AB397" si="268">IFERROR(AA365*H365,0)</f>
        <v>0</v>
      </c>
      <c r="AC365" s="1033">
        <f>IF($P$10="IMPORTADO",50%,IF($P$10="NACIONAL",20%,IF($P$10="MIXTO",50%,0%)))</f>
        <v>0</v>
      </c>
      <c r="AD365" s="1266">
        <f t="shared" ref="AD365:AD397" si="269">IF(H365&gt;0,$E$5,0)</f>
        <v>0</v>
      </c>
      <c r="AE365" s="1093">
        <f>IFERROR(AA365*AD365,0)</f>
        <v>0</v>
      </c>
      <c r="AF365" s="1093">
        <f>IF($E$5&gt;$E$6,"ERROR",AA365-AE365)</f>
        <v>0</v>
      </c>
      <c r="AG365" s="1093">
        <f t="shared" ref="AG365:AG397" si="270">AF365*H365</f>
        <v>0</v>
      </c>
      <c r="AH365" s="1033" t="e">
        <f t="shared" ref="AH365:AH397" si="271">IF(A366=TRUE,MAX(0,1-(AI365/Z365)),"NA")</f>
        <v>#DIV/0!</v>
      </c>
      <c r="AI365" s="1091">
        <f t="shared" ref="AI365:AI397" si="272">IF(A364=FALSE,"NO APLICA",AF365*(1+$AI$8))</f>
        <v>0</v>
      </c>
      <c r="AJ365" s="1094">
        <f t="shared" ref="AJ365:AJ397" si="273">AI365*H365</f>
        <v>0</v>
      </c>
      <c r="AK365" s="1053" t="str">
        <f t="shared" ref="AK365:AK397" si="274">IFERROR(IF(OR(F365="Offiho",F365="Vandesk",F365="Requiez",F365="Labenze",F365="Idelika",F365="Sunon Mty"),(AG365-(J365*(1-I365)*H365))/AG365,(AG365-R365)/AG365),"")</f>
        <v/>
      </c>
      <c r="AL365" s="1053"/>
      <c r="AM365" s="1290">
        <f>_xlfn.XLOOKUP(F365,Proveedores!A:A,Proveedores!G:G)</f>
        <v>0</v>
      </c>
      <c r="AN365" s="1095" t="str">
        <f>IF(AK365&lt;AM365,"ERROR","OK")</f>
        <v>OK</v>
      </c>
    </row>
    <row r="366" spans="1:40" ht="15.95">
      <c r="A366" s="1090" t="b">
        <f t="shared" si="262"/>
        <v>1</v>
      </c>
      <c r="B366" s="1091" t="b">
        <f t="shared" ref="B366:B397" si="275">A366</f>
        <v>1</v>
      </c>
      <c r="C366" s="1092" t="str">
        <f t="shared" ref="C366:C397" si="276">$C$14</f>
        <v>Dólares</v>
      </c>
      <c r="D366" s="13"/>
      <c r="E366" s="743"/>
      <c r="F366" s="17"/>
      <c r="G366" t="str">
        <f t="shared" si="263"/>
        <v xml:space="preserve"> </v>
      </c>
      <c r="H366" s="12">
        <v>0</v>
      </c>
      <c r="I366" s="16" t="str">
        <f>IFERROR(VLOOKUP(G366,Proveedores!B:C,2,0)," ")</f>
        <v xml:space="preserve"> </v>
      </c>
      <c r="J366" s="745">
        <v>0</v>
      </c>
      <c r="K366" s="745" t="str">
        <f t="shared" si="264"/>
        <v>Not Found</v>
      </c>
      <c r="L366" s="16">
        <f>IF(K366="Importado",Fletes!$B$66,0%)</f>
        <v>0</v>
      </c>
      <c r="M366" s="745">
        <f t="shared" ref="M366:M397" si="277">IF(K366="Importado",J366*(1+L366),J366*(1+L366))</f>
        <v>0</v>
      </c>
      <c r="N366" s="16">
        <f>IF(K366&lt;&gt;"Importado",0%,IF(Fletes!$B$67&lt;10,15%,IF(Fletes!$B$67&lt;20,10%,5%)))</f>
        <v>0</v>
      </c>
      <c r="O366" s="745" t="str">
        <f>IFERROR(IF(OR(F366="Offiho",F366="Lauco Sofas",F366="Requiez",F366="Labenze",F366="Sunon Mty",F366="Sonara"),(M366*(1-_xlfn.XLOOKUP(F366,Proveedores!A:A,Proveedores!I:I)))*(1+N366),((M366*(1-_xlfn.XLOOKUP(F366,Proveedores!A:A,Proveedores!I:I)))*(1+N366))+U366),"")</f>
        <v/>
      </c>
      <c r="P366" s="1031"/>
      <c r="Q366" s="1133">
        <f>IF(K366&lt;&gt;"Importado",0,IF(P366&gt;0,P366*H366,IFERROR(_xlfn.XLOOKUP(F366,Proveedores!A:A,Proveedores!F:F,0)*H366,0)))</f>
        <v>0</v>
      </c>
      <c r="R366" s="1134" t="e">
        <f t="shared" ref="R366:R397" si="278">O366*H366</f>
        <v>#VALUE!</v>
      </c>
      <c r="S366" s="743"/>
      <c r="T366" s="1034" t="e">
        <f t="shared" si="265"/>
        <v>#N/A</v>
      </c>
      <c r="U366" s="1034" t="e">
        <f t="shared" ref="U366:U397" si="279">X366/V366</f>
        <v>#N/A</v>
      </c>
      <c r="V366" s="1165" t="e">
        <f t="shared" si="266"/>
        <v>#N/A</v>
      </c>
      <c r="W366" s="1034" t="e">
        <f t="shared" ref="W366:W397" si="280">T366*V366</f>
        <v>#N/A</v>
      </c>
      <c r="X366" s="1034" t="b">
        <f t="shared" ref="X366:X397" si="281">IF(S366="Occidente",W366,IF(S366="Norte",W366*1.5,IF(S366="Centro",W366*1.2,IF(S366="Sur",W366*1.7))))</f>
        <v>0</v>
      </c>
      <c r="Y366" s="1034">
        <f t="shared" ref="Y366:Y397" si="282">ROUNDUP(IF(OR(F366="Offiho",F366="Lauco Sofas",F366="Requiez",F366="Labenze",F366="Sunon Mty",F366="Sonara",F366="Santeco"),J366,IF(K366="Nacional",O366/(1-30%),IF(K366="Importado",O366/(1-40%),IF(OR(F366="Lumbro",F366="Idelika"),O366/(1-20%))))),0)</f>
        <v>0</v>
      </c>
      <c r="Z366" s="1034">
        <f t="shared" ref="Z366:Z397" si="283">ROUNDUP(IF(OR(F366="Offiho",F366="Lauco Sofas",F366="Requiez",F366="Labenze",F366="Sunon Mty",F366="Sonara",F366="Sonara"),Y366,IF($P$10="MIXTO",IF(K366="Nacional",Y366/(1-50%),Y366/(1-50%)),IF($P$10="IMPORTADO",Y366/(1-50%),IF($P$10="NACIONAL",Y366/(1-20%),Y366/(1-20%))))),0)</f>
        <v>0</v>
      </c>
      <c r="AA366" s="1034">
        <f t="shared" si="267"/>
        <v>0</v>
      </c>
      <c r="AB366" s="1034">
        <f t="shared" si="268"/>
        <v>0</v>
      </c>
      <c r="AC366" s="1033">
        <f t="shared" ref="AC366:AC397" si="284">IF($P$10="IMPORTADO",50%,IF($P$10="NACIONAL",20%,IF($P$10="MIXTO",50%,0%)))</f>
        <v>0</v>
      </c>
      <c r="AD366" s="1266">
        <f t="shared" si="269"/>
        <v>0</v>
      </c>
      <c r="AE366" s="1093">
        <f t="shared" ref="AE366:AE397" si="285">IFERROR(AA366*AD366,0)</f>
        <v>0</v>
      </c>
      <c r="AF366" s="1093">
        <f t="shared" ref="AF366:AF397" si="286">IF($E$5&gt;$E$6,"ERROR",AA366-AE366)</f>
        <v>0</v>
      </c>
      <c r="AG366" s="1093">
        <f t="shared" si="270"/>
        <v>0</v>
      </c>
      <c r="AH366" s="1033" t="e">
        <f t="shared" si="271"/>
        <v>#DIV/0!</v>
      </c>
      <c r="AI366" s="1091">
        <f t="shared" si="272"/>
        <v>0</v>
      </c>
      <c r="AJ366" s="1094">
        <f t="shared" si="273"/>
        <v>0</v>
      </c>
      <c r="AK366" s="1053" t="str">
        <f t="shared" si="274"/>
        <v/>
      </c>
      <c r="AL366" s="1053"/>
      <c r="AM366" s="1290">
        <f>_xlfn.XLOOKUP(F366,Proveedores!A:A,Proveedores!G:G)</f>
        <v>0</v>
      </c>
      <c r="AN366" s="1095" t="str">
        <f t="shared" ref="AN366:AN397" si="287">IF(AK366&lt;AM366,"ERROR","OK")</f>
        <v>OK</v>
      </c>
    </row>
    <row r="367" spans="1:40" ht="15.95">
      <c r="A367" s="1090" t="b">
        <f t="shared" si="262"/>
        <v>1</v>
      </c>
      <c r="B367" s="1091" t="b">
        <f t="shared" si="275"/>
        <v>1</v>
      </c>
      <c r="C367" s="1092" t="str">
        <f t="shared" si="276"/>
        <v>Dólares</v>
      </c>
      <c r="D367" s="13"/>
      <c r="E367" s="743"/>
      <c r="F367" s="17"/>
      <c r="G367" t="str">
        <f t="shared" si="263"/>
        <v xml:space="preserve"> </v>
      </c>
      <c r="H367" s="12">
        <v>0</v>
      </c>
      <c r="I367" s="16" t="str">
        <f>IFERROR(VLOOKUP(G367,Proveedores!B:C,2,0)," ")</f>
        <v xml:space="preserve"> </v>
      </c>
      <c r="J367" s="745">
        <v>0</v>
      </c>
      <c r="K367" s="745" t="str">
        <f t="shared" si="264"/>
        <v>Not Found</v>
      </c>
      <c r="L367" s="16">
        <f>IF(K367="Importado",Fletes!$B$66,0%)</f>
        <v>0</v>
      </c>
      <c r="M367" s="745">
        <f t="shared" si="277"/>
        <v>0</v>
      </c>
      <c r="N367" s="16">
        <f>IF(K367&lt;&gt;"Importado",0%,IF(Fletes!$B$67&lt;10,15%,IF(Fletes!$B$67&lt;20,10%,5%)))</f>
        <v>0</v>
      </c>
      <c r="O367" s="745" t="str">
        <f>IFERROR(IF(OR(F367="Offiho",F367="Lauco Sofas",F367="Requiez",F367="Labenze",F367="Sunon Mty",F367="Sonara"),(M367*(1-_xlfn.XLOOKUP(F367,Proveedores!A:A,Proveedores!I:I)))*(1+N367),((M367*(1-_xlfn.XLOOKUP(F367,Proveedores!A:A,Proveedores!I:I)))*(1+N367))+U367),"")</f>
        <v/>
      </c>
      <c r="P367" s="1031"/>
      <c r="Q367" s="1133">
        <f>IF(K367&lt;&gt;"Importado",0,IF(P367&gt;0,P367*H367,IFERROR(_xlfn.XLOOKUP(F367,Proveedores!A:A,Proveedores!F:F,0)*H367,0)))</f>
        <v>0</v>
      </c>
      <c r="R367" s="1134" t="e">
        <f t="shared" si="278"/>
        <v>#VALUE!</v>
      </c>
      <c r="S367" s="743"/>
      <c r="T367" s="1034" t="e">
        <f t="shared" si="265"/>
        <v>#N/A</v>
      </c>
      <c r="U367" s="1034" t="e">
        <f t="shared" si="279"/>
        <v>#N/A</v>
      </c>
      <c r="V367" s="1165" t="e">
        <f t="shared" si="266"/>
        <v>#N/A</v>
      </c>
      <c r="W367" s="1034" t="e">
        <f t="shared" si="280"/>
        <v>#N/A</v>
      </c>
      <c r="X367" s="1034" t="b">
        <f t="shared" si="281"/>
        <v>0</v>
      </c>
      <c r="Y367" s="1034">
        <f t="shared" si="282"/>
        <v>0</v>
      </c>
      <c r="Z367" s="1034">
        <f t="shared" si="283"/>
        <v>0</v>
      </c>
      <c r="AA367" s="1034">
        <f t="shared" si="267"/>
        <v>0</v>
      </c>
      <c r="AB367" s="1034">
        <f t="shared" si="268"/>
        <v>0</v>
      </c>
      <c r="AC367" s="1033">
        <f t="shared" si="284"/>
        <v>0</v>
      </c>
      <c r="AD367" s="1266">
        <f t="shared" si="269"/>
        <v>0</v>
      </c>
      <c r="AE367" s="1093">
        <f t="shared" si="285"/>
        <v>0</v>
      </c>
      <c r="AF367" s="1093">
        <f t="shared" si="286"/>
        <v>0</v>
      </c>
      <c r="AG367" s="1093">
        <f t="shared" si="270"/>
        <v>0</v>
      </c>
      <c r="AH367" s="1033" t="e">
        <f t="shared" si="271"/>
        <v>#DIV/0!</v>
      </c>
      <c r="AI367" s="1091">
        <f t="shared" si="272"/>
        <v>0</v>
      </c>
      <c r="AJ367" s="1094">
        <f t="shared" si="273"/>
        <v>0</v>
      </c>
      <c r="AK367" s="1053" t="str">
        <f t="shared" si="274"/>
        <v/>
      </c>
      <c r="AL367" s="1053"/>
      <c r="AM367" s="1290">
        <f>_xlfn.XLOOKUP(F367,Proveedores!A:A,Proveedores!G:G)</f>
        <v>0</v>
      </c>
      <c r="AN367" s="1095" t="str">
        <f t="shared" si="287"/>
        <v>OK</v>
      </c>
    </row>
    <row r="368" spans="1:40" ht="15.95">
      <c r="A368" s="1090" t="b">
        <f t="shared" si="262"/>
        <v>1</v>
      </c>
      <c r="B368" s="1091" t="b">
        <f t="shared" si="275"/>
        <v>1</v>
      </c>
      <c r="C368" s="1092" t="str">
        <f t="shared" si="276"/>
        <v>Dólares</v>
      </c>
      <c r="D368" s="13"/>
      <c r="E368" s="743"/>
      <c r="F368" s="17"/>
      <c r="G368" t="str">
        <f t="shared" si="263"/>
        <v xml:space="preserve"> </v>
      </c>
      <c r="H368" s="12">
        <v>0</v>
      </c>
      <c r="I368" s="16" t="str">
        <f>IFERROR(VLOOKUP(G368,Proveedores!B:C,2,0)," ")</f>
        <v xml:space="preserve"> </v>
      </c>
      <c r="J368" s="745">
        <v>0</v>
      </c>
      <c r="K368" s="745" t="str">
        <f t="shared" si="264"/>
        <v>Not Found</v>
      </c>
      <c r="L368" s="16">
        <f>IF(K368="Importado",Fletes!$B$66,0%)</f>
        <v>0</v>
      </c>
      <c r="M368" s="745">
        <f t="shared" si="277"/>
        <v>0</v>
      </c>
      <c r="N368" s="16">
        <f>IF(K368&lt;&gt;"Importado",0%,IF(Fletes!$B$67&lt;10,15%,IF(Fletes!$B$67&lt;20,10%,5%)))</f>
        <v>0</v>
      </c>
      <c r="O368" s="745" t="str">
        <f>IFERROR(IF(OR(F368="Offiho",F368="Lauco Sofas",F368="Requiez",F368="Labenze",F368="Sunon Mty",F368="Sonara"),(M368*(1-_xlfn.XLOOKUP(F368,Proveedores!A:A,Proveedores!I:I)))*(1+N368),((M368*(1-_xlfn.XLOOKUP(F368,Proveedores!A:A,Proveedores!I:I)))*(1+N368))+U368),"")</f>
        <v/>
      </c>
      <c r="P368" s="1031"/>
      <c r="Q368" s="1133">
        <f>IF(K368&lt;&gt;"Importado",0,IF(P368&gt;0,P368*H368,IFERROR(_xlfn.XLOOKUP(F368,Proveedores!A:A,Proveedores!F:F,0)*H368,0)))</f>
        <v>0</v>
      </c>
      <c r="R368" s="1134" t="e">
        <f t="shared" si="278"/>
        <v>#VALUE!</v>
      </c>
      <c r="S368" s="743"/>
      <c r="T368" s="1034" t="e">
        <f t="shared" si="265"/>
        <v>#N/A</v>
      </c>
      <c r="U368" s="1034" t="e">
        <f t="shared" si="279"/>
        <v>#N/A</v>
      </c>
      <c r="V368" s="1165" t="e">
        <f t="shared" si="266"/>
        <v>#N/A</v>
      </c>
      <c r="W368" s="1034" t="e">
        <f t="shared" si="280"/>
        <v>#N/A</v>
      </c>
      <c r="X368" s="1034" t="b">
        <f t="shared" si="281"/>
        <v>0</v>
      </c>
      <c r="Y368" s="1034">
        <f t="shared" si="282"/>
        <v>0</v>
      </c>
      <c r="Z368" s="1034">
        <f t="shared" si="283"/>
        <v>0</v>
      </c>
      <c r="AA368" s="1034">
        <f t="shared" si="267"/>
        <v>0</v>
      </c>
      <c r="AB368" s="1034">
        <f t="shared" si="268"/>
        <v>0</v>
      </c>
      <c r="AC368" s="1033">
        <f t="shared" si="284"/>
        <v>0</v>
      </c>
      <c r="AD368" s="1266">
        <f t="shared" si="269"/>
        <v>0</v>
      </c>
      <c r="AE368" s="1093">
        <f t="shared" si="285"/>
        <v>0</v>
      </c>
      <c r="AF368" s="1093">
        <f t="shared" si="286"/>
        <v>0</v>
      </c>
      <c r="AG368" s="1093">
        <f t="shared" si="270"/>
        <v>0</v>
      </c>
      <c r="AH368" s="1033" t="e">
        <f t="shared" si="271"/>
        <v>#DIV/0!</v>
      </c>
      <c r="AI368" s="1091">
        <f t="shared" si="272"/>
        <v>0</v>
      </c>
      <c r="AJ368" s="1094">
        <f t="shared" si="273"/>
        <v>0</v>
      </c>
      <c r="AK368" s="1053" t="str">
        <f t="shared" si="274"/>
        <v/>
      </c>
      <c r="AL368" s="1053"/>
      <c r="AM368" s="1290">
        <f>_xlfn.XLOOKUP(F368,Proveedores!A:A,Proveedores!G:G)</f>
        <v>0</v>
      </c>
      <c r="AN368" s="1095" t="str">
        <f t="shared" si="287"/>
        <v>OK</v>
      </c>
    </row>
    <row r="369" spans="1:40" ht="15.95">
      <c r="A369" s="1090" t="b">
        <f t="shared" si="262"/>
        <v>1</v>
      </c>
      <c r="B369" s="1091" t="b">
        <f t="shared" si="275"/>
        <v>1</v>
      </c>
      <c r="C369" s="1092" t="str">
        <f t="shared" si="276"/>
        <v>Dólares</v>
      </c>
      <c r="D369" s="13"/>
      <c r="E369" s="743"/>
      <c r="F369" s="17"/>
      <c r="G369" t="str">
        <f t="shared" si="263"/>
        <v xml:space="preserve"> </v>
      </c>
      <c r="H369" s="12">
        <v>0</v>
      </c>
      <c r="I369" s="16" t="str">
        <f>IFERROR(VLOOKUP(G369,Proveedores!B:C,2,0)," ")</f>
        <v xml:space="preserve"> </v>
      </c>
      <c r="J369" s="745">
        <v>0</v>
      </c>
      <c r="K369" s="745" t="str">
        <f t="shared" si="264"/>
        <v>Not Found</v>
      </c>
      <c r="L369" s="16">
        <f>IF(K369="Importado",Fletes!$B$66,0%)</f>
        <v>0</v>
      </c>
      <c r="M369" s="745">
        <f t="shared" si="277"/>
        <v>0</v>
      </c>
      <c r="N369" s="16">
        <f>IF(K369&lt;&gt;"Importado",0%,IF(Fletes!$B$67&lt;10,15%,IF(Fletes!$B$67&lt;20,10%,5%)))</f>
        <v>0</v>
      </c>
      <c r="O369" s="745" t="str">
        <f>IFERROR(IF(OR(F369="Offiho",F369="Lauco Sofas",F369="Requiez",F369="Labenze",F369="Sunon Mty",F369="Sonara"),(M369*(1-_xlfn.XLOOKUP(F369,Proveedores!A:A,Proveedores!I:I)))*(1+N369),((M369*(1-_xlfn.XLOOKUP(F369,Proveedores!A:A,Proveedores!I:I)))*(1+N369))+U369),"")</f>
        <v/>
      </c>
      <c r="P369" s="1031"/>
      <c r="Q369" s="1133">
        <f>IF(K369&lt;&gt;"Importado",0,IF(P369&gt;0,P369*H369,IFERROR(_xlfn.XLOOKUP(F369,Proveedores!A:A,Proveedores!F:F,0)*H369,0)))</f>
        <v>0</v>
      </c>
      <c r="R369" s="1134" t="e">
        <f t="shared" si="278"/>
        <v>#VALUE!</v>
      </c>
      <c r="S369" s="743"/>
      <c r="T369" s="1034" t="e">
        <f t="shared" si="265"/>
        <v>#N/A</v>
      </c>
      <c r="U369" s="1034" t="e">
        <f t="shared" si="279"/>
        <v>#N/A</v>
      </c>
      <c r="V369" s="1165" t="e">
        <f t="shared" si="266"/>
        <v>#N/A</v>
      </c>
      <c r="W369" s="1034" t="e">
        <f t="shared" si="280"/>
        <v>#N/A</v>
      </c>
      <c r="X369" s="1034" t="b">
        <f t="shared" si="281"/>
        <v>0</v>
      </c>
      <c r="Y369" s="1034">
        <f t="shared" si="282"/>
        <v>0</v>
      </c>
      <c r="Z369" s="1034">
        <f t="shared" si="283"/>
        <v>0</v>
      </c>
      <c r="AA369" s="1034">
        <f t="shared" si="267"/>
        <v>0</v>
      </c>
      <c r="AB369" s="1034">
        <f t="shared" si="268"/>
        <v>0</v>
      </c>
      <c r="AC369" s="1033">
        <f t="shared" si="284"/>
        <v>0</v>
      </c>
      <c r="AD369" s="1266">
        <f t="shared" si="269"/>
        <v>0</v>
      </c>
      <c r="AE369" s="1093">
        <f t="shared" si="285"/>
        <v>0</v>
      </c>
      <c r="AF369" s="1093">
        <f t="shared" si="286"/>
        <v>0</v>
      </c>
      <c r="AG369" s="1093">
        <f t="shared" si="270"/>
        <v>0</v>
      </c>
      <c r="AH369" s="1033" t="e">
        <f t="shared" si="271"/>
        <v>#DIV/0!</v>
      </c>
      <c r="AI369" s="1091">
        <f t="shared" si="272"/>
        <v>0</v>
      </c>
      <c r="AJ369" s="1094">
        <f t="shared" si="273"/>
        <v>0</v>
      </c>
      <c r="AK369" s="1053" t="str">
        <f t="shared" si="274"/>
        <v/>
      </c>
      <c r="AL369" s="1053"/>
      <c r="AM369" s="1290">
        <f>_xlfn.XLOOKUP(F369,Proveedores!A:A,Proveedores!G:G)</f>
        <v>0</v>
      </c>
      <c r="AN369" s="1095" t="str">
        <f t="shared" si="287"/>
        <v>OK</v>
      </c>
    </row>
    <row r="370" spans="1:40" ht="15.95">
      <c r="A370" s="1090" t="b">
        <f t="shared" si="262"/>
        <v>1</v>
      </c>
      <c r="B370" s="1091" t="b">
        <f t="shared" si="275"/>
        <v>1</v>
      </c>
      <c r="C370" s="1092" t="str">
        <f t="shared" si="276"/>
        <v>Dólares</v>
      </c>
      <c r="D370" s="13"/>
      <c r="E370" s="743"/>
      <c r="F370" s="17"/>
      <c r="G370" t="str">
        <f t="shared" si="263"/>
        <v xml:space="preserve"> </v>
      </c>
      <c r="H370" s="12">
        <v>0</v>
      </c>
      <c r="I370" s="16" t="str">
        <f>IFERROR(VLOOKUP(G370,Proveedores!B:C,2,0)," ")</f>
        <v xml:space="preserve"> </v>
      </c>
      <c r="J370" s="745">
        <v>0</v>
      </c>
      <c r="K370" s="745" t="str">
        <f t="shared" si="264"/>
        <v>Not Found</v>
      </c>
      <c r="L370" s="16">
        <f>IF(K370="Importado",Fletes!$B$66,0%)</f>
        <v>0</v>
      </c>
      <c r="M370" s="745">
        <f t="shared" si="277"/>
        <v>0</v>
      </c>
      <c r="N370" s="16">
        <f>IF(K370&lt;&gt;"Importado",0%,IF(Fletes!$B$67&lt;10,15%,IF(Fletes!$B$67&lt;20,10%,5%)))</f>
        <v>0</v>
      </c>
      <c r="O370" s="745" t="str">
        <f>IFERROR(IF(OR(F370="Offiho",F370="Lauco Sofas",F370="Requiez",F370="Labenze",F370="Sunon Mty",F370="Sonara"),(M370*(1-_xlfn.XLOOKUP(F370,Proveedores!A:A,Proveedores!I:I)))*(1+N370),((M370*(1-_xlfn.XLOOKUP(F370,Proveedores!A:A,Proveedores!I:I)))*(1+N370))+U370),"")</f>
        <v/>
      </c>
      <c r="P370" s="1031"/>
      <c r="Q370" s="1133">
        <f>IF(K370&lt;&gt;"Importado",0,IF(P370&gt;0,P370*H370,IFERROR(_xlfn.XLOOKUP(F370,Proveedores!A:A,Proveedores!F:F,0)*H370,0)))</f>
        <v>0</v>
      </c>
      <c r="R370" s="1134" t="e">
        <f t="shared" si="278"/>
        <v>#VALUE!</v>
      </c>
      <c r="S370" s="743"/>
      <c r="T370" s="1034" t="e">
        <f t="shared" si="265"/>
        <v>#N/A</v>
      </c>
      <c r="U370" s="1034" t="e">
        <f t="shared" si="279"/>
        <v>#N/A</v>
      </c>
      <c r="V370" s="1165" t="e">
        <f t="shared" si="266"/>
        <v>#N/A</v>
      </c>
      <c r="W370" s="1034" t="e">
        <f t="shared" si="280"/>
        <v>#N/A</v>
      </c>
      <c r="X370" s="1034" t="b">
        <f t="shared" si="281"/>
        <v>0</v>
      </c>
      <c r="Y370" s="1034">
        <f t="shared" si="282"/>
        <v>0</v>
      </c>
      <c r="Z370" s="1034">
        <f t="shared" si="283"/>
        <v>0</v>
      </c>
      <c r="AA370" s="1034">
        <f t="shared" si="267"/>
        <v>0</v>
      </c>
      <c r="AB370" s="1034">
        <f t="shared" si="268"/>
        <v>0</v>
      </c>
      <c r="AC370" s="1033">
        <f t="shared" si="284"/>
        <v>0</v>
      </c>
      <c r="AD370" s="1266">
        <f t="shared" si="269"/>
        <v>0</v>
      </c>
      <c r="AE370" s="1093">
        <f t="shared" si="285"/>
        <v>0</v>
      </c>
      <c r="AF370" s="1093">
        <f t="shared" si="286"/>
        <v>0</v>
      </c>
      <c r="AG370" s="1093">
        <f t="shared" si="270"/>
        <v>0</v>
      </c>
      <c r="AH370" s="1033" t="e">
        <f t="shared" si="271"/>
        <v>#DIV/0!</v>
      </c>
      <c r="AI370" s="1091">
        <f t="shared" si="272"/>
        <v>0</v>
      </c>
      <c r="AJ370" s="1094">
        <f t="shared" si="273"/>
        <v>0</v>
      </c>
      <c r="AK370" s="1053" t="str">
        <f t="shared" si="274"/>
        <v/>
      </c>
      <c r="AL370" s="1053"/>
      <c r="AM370" s="1290">
        <f>_xlfn.XLOOKUP(F370,Proveedores!A:A,Proveedores!G:G)</f>
        <v>0</v>
      </c>
      <c r="AN370" s="1095" t="str">
        <f t="shared" si="287"/>
        <v>OK</v>
      </c>
    </row>
    <row r="371" spans="1:40" ht="15.95">
      <c r="A371" s="1090" t="b">
        <f t="shared" si="262"/>
        <v>1</v>
      </c>
      <c r="B371" s="1091" t="b">
        <f t="shared" si="275"/>
        <v>1</v>
      </c>
      <c r="C371" s="1092" t="str">
        <f t="shared" si="276"/>
        <v>Dólares</v>
      </c>
      <c r="D371" s="11"/>
      <c r="E371" s="743"/>
      <c r="F371" s="17"/>
      <c r="G371" t="str">
        <f t="shared" si="263"/>
        <v xml:space="preserve"> </v>
      </c>
      <c r="H371" s="12">
        <v>0</v>
      </c>
      <c r="I371" s="16" t="str">
        <f>IFERROR(VLOOKUP(G371,Proveedores!B:C,2,0)," ")</f>
        <v xml:space="preserve"> </v>
      </c>
      <c r="J371" s="745">
        <v>0</v>
      </c>
      <c r="K371" s="745" t="str">
        <f t="shared" si="264"/>
        <v>Not Found</v>
      </c>
      <c r="L371" s="16">
        <f>IF(K371="Importado",Fletes!$B$66,0%)</f>
        <v>0</v>
      </c>
      <c r="M371" s="745">
        <f t="shared" si="277"/>
        <v>0</v>
      </c>
      <c r="N371" s="16">
        <f>IF(K371&lt;&gt;"Importado",0%,IF(Fletes!$B$67&lt;10,15%,IF(Fletes!$B$67&lt;20,10%,5%)))</f>
        <v>0</v>
      </c>
      <c r="O371" s="745" t="str">
        <f>IFERROR(IF(OR(F371="Offiho",F371="Lauco Sofas",F371="Requiez",F371="Labenze",F371="Sunon Mty",F371="Sonara"),(M371*(1-_xlfn.XLOOKUP(F371,Proveedores!A:A,Proveedores!I:I)))*(1+N371),((M371*(1-_xlfn.XLOOKUP(F371,Proveedores!A:A,Proveedores!I:I)))*(1+N371))+U371),"")</f>
        <v/>
      </c>
      <c r="P371" s="1031"/>
      <c r="Q371" s="1133">
        <f>IF(K371&lt;&gt;"Importado",0,IF(P371&gt;0,P371*H371,IFERROR(_xlfn.XLOOKUP(F371,Proveedores!A:A,Proveedores!F:F,0)*H371,0)))</f>
        <v>0</v>
      </c>
      <c r="R371" s="1134" t="e">
        <f t="shared" si="278"/>
        <v>#VALUE!</v>
      </c>
      <c r="S371" s="743"/>
      <c r="T371" s="1034" t="e">
        <f t="shared" si="265"/>
        <v>#N/A</v>
      </c>
      <c r="U371" s="1034" t="e">
        <f t="shared" si="279"/>
        <v>#N/A</v>
      </c>
      <c r="V371" s="1165" t="e">
        <f t="shared" si="266"/>
        <v>#N/A</v>
      </c>
      <c r="W371" s="1034" t="e">
        <f t="shared" si="280"/>
        <v>#N/A</v>
      </c>
      <c r="X371" s="1034" t="b">
        <f t="shared" si="281"/>
        <v>0</v>
      </c>
      <c r="Y371" s="1034">
        <f t="shared" si="282"/>
        <v>0</v>
      </c>
      <c r="Z371" s="1034">
        <f t="shared" si="283"/>
        <v>0</v>
      </c>
      <c r="AA371" s="1034">
        <f t="shared" si="267"/>
        <v>0</v>
      </c>
      <c r="AB371" s="1034">
        <f t="shared" si="268"/>
        <v>0</v>
      </c>
      <c r="AC371" s="1033">
        <f t="shared" si="284"/>
        <v>0</v>
      </c>
      <c r="AD371" s="1266">
        <f t="shared" si="269"/>
        <v>0</v>
      </c>
      <c r="AE371" s="1093">
        <f t="shared" si="285"/>
        <v>0</v>
      </c>
      <c r="AF371" s="1093">
        <f t="shared" si="286"/>
        <v>0</v>
      </c>
      <c r="AG371" s="1093">
        <f t="shared" si="270"/>
        <v>0</v>
      </c>
      <c r="AH371" s="1033" t="e">
        <f t="shared" si="271"/>
        <v>#DIV/0!</v>
      </c>
      <c r="AI371" s="1091">
        <f t="shared" si="272"/>
        <v>0</v>
      </c>
      <c r="AJ371" s="1094">
        <f t="shared" si="273"/>
        <v>0</v>
      </c>
      <c r="AK371" s="1053" t="str">
        <f t="shared" si="274"/>
        <v/>
      </c>
      <c r="AL371" s="1053"/>
      <c r="AM371" s="1290">
        <f>_xlfn.XLOOKUP(F371,Proveedores!A:A,Proveedores!G:G)</f>
        <v>0</v>
      </c>
      <c r="AN371" s="1095" t="str">
        <f t="shared" si="287"/>
        <v>OK</v>
      </c>
    </row>
    <row r="372" spans="1:40" ht="15.95">
      <c r="A372" s="1090" t="b">
        <f t="shared" si="262"/>
        <v>1</v>
      </c>
      <c r="B372" s="1091" t="b">
        <f t="shared" si="275"/>
        <v>1</v>
      </c>
      <c r="C372" s="1092" t="str">
        <f t="shared" si="276"/>
        <v>Dólares</v>
      </c>
      <c r="D372" s="11"/>
      <c r="E372" s="743"/>
      <c r="F372" s="17"/>
      <c r="G372" t="str">
        <f t="shared" si="263"/>
        <v xml:space="preserve"> </v>
      </c>
      <c r="H372" s="12">
        <v>0</v>
      </c>
      <c r="I372" s="16" t="str">
        <f>IFERROR(VLOOKUP(G372,Proveedores!B:C,2,0)," ")</f>
        <v xml:space="preserve"> </v>
      </c>
      <c r="J372" s="745">
        <v>0</v>
      </c>
      <c r="K372" s="745" t="str">
        <f t="shared" si="264"/>
        <v>Not Found</v>
      </c>
      <c r="L372" s="16">
        <f>IF(K372="Importado",Fletes!$B$66,0%)</f>
        <v>0</v>
      </c>
      <c r="M372" s="745">
        <f t="shared" si="277"/>
        <v>0</v>
      </c>
      <c r="N372" s="16">
        <f>IF(K372&lt;&gt;"Importado",0%,IF(Fletes!$B$67&lt;10,15%,IF(Fletes!$B$67&lt;20,10%,5%)))</f>
        <v>0</v>
      </c>
      <c r="O372" s="745" t="str">
        <f>IFERROR(IF(OR(F372="Offiho",F372="Lauco Sofas",F372="Requiez",F372="Labenze",F372="Sunon Mty",F372="Sonara"),(M372*(1-_xlfn.XLOOKUP(F372,Proveedores!A:A,Proveedores!I:I)))*(1+N372),((M372*(1-_xlfn.XLOOKUP(F372,Proveedores!A:A,Proveedores!I:I)))*(1+N372))+U372),"")</f>
        <v/>
      </c>
      <c r="P372" s="1031"/>
      <c r="Q372" s="1133">
        <f>IF(K372&lt;&gt;"Importado",0,IF(P372&gt;0,P372*H372,IFERROR(_xlfn.XLOOKUP(F372,Proveedores!A:A,Proveedores!F:F,0)*H372,0)))</f>
        <v>0</v>
      </c>
      <c r="R372" s="1134" t="e">
        <f t="shared" si="278"/>
        <v>#VALUE!</v>
      </c>
      <c r="S372" s="743"/>
      <c r="T372" s="1034" t="e">
        <f t="shared" si="265"/>
        <v>#N/A</v>
      </c>
      <c r="U372" s="1034" t="e">
        <f t="shared" si="279"/>
        <v>#N/A</v>
      </c>
      <c r="V372" s="1165" t="e">
        <f t="shared" si="266"/>
        <v>#N/A</v>
      </c>
      <c r="W372" s="1034" t="e">
        <f t="shared" si="280"/>
        <v>#N/A</v>
      </c>
      <c r="X372" s="1034" t="b">
        <f t="shared" si="281"/>
        <v>0</v>
      </c>
      <c r="Y372" s="1034">
        <f t="shared" si="282"/>
        <v>0</v>
      </c>
      <c r="Z372" s="1034">
        <f t="shared" si="283"/>
        <v>0</v>
      </c>
      <c r="AA372" s="1034">
        <f t="shared" si="267"/>
        <v>0</v>
      </c>
      <c r="AB372" s="1034">
        <f t="shared" si="268"/>
        <v>0</v>
      </c>
      <c r="AC372" s="1033">
        <f t="shared" si="284"/>
        <v>0</v>
      </c>
      <c r="AD372" s="1266">
        <f t="shared" si="269"/>
        <v>0</v>
      </c>
      <c r="AE372" s="1093">
        <f t="shared" si="285"/>
        <v>0</v>
      </c>
      <c r="AF372" s="1093">
        <f t="shared" si="286"/>
        <v>0</v>
      </c>
      <c r="AG372" s="1093">
        <f t="shared" si="270"/>
        <v>0</v>
      </c>
      <c r="AH372" s="1033" t="e">
        <f t="shared" si="271"/>
        <v>#DIV/0!</v>
      </c>
      <c r="AI372" s="1091">
        <f t="shared" si="272"/>
        <v>0</v>
      </c>
      <c r="AJ372" s="1094">
        <f t="shared" si="273"/>
        <v>0</v>
      </c>
      <c r="AK372" s="1053" t="str">
        <f t="shared" si="274"/>
        <v/>
      </c>
      <c r="AL372" s="1053"/>
      <c r="AM372" s="1290">
        <f>_xlfn.XLOOKUP(F372,Proveedores!A:A,Proveedores!G:G)</f>
        <v>0</v>
      </c>
      <c r="AN372" s="1095" t="str">
        <f t="shared" si="287"/>
        <v>OK</v>
      </c>
    </row>
    <row r="373" spans="1:40" ht="15.95">
      <c r="A373" s="1090" t="b">
        <f t="shared" si="262"/>
        <v>1</v>
      </c>
      <c r="B373" s="1091" t="b">
        <f t="shared" si="275"/>
        <v>1</v>
      </c>
      <c r="C373" s="1092" t="str">
        <f t="shared" si="276"/>
        <v>Dólares</v>
      </c>
      <c r="D373" s="11"/>
      <c r="E373" s="743"/>
      <c r="F373" s="17"/>
      <c r="G373" t="str">
        <f t="shared" si="263"/>
        <v xml:space="preserve"> </v>
      </c>
      <c r="H373" s="12">
        <v>0</v>
      </c>
      <c r="I373" s="16" t="str">
        <f>IFERROR(VLOOKUP(G373,Proveedores!B:C,2,0)," ")</f>
        <v xml:space="preserve"> </v>
      </c>
      <c r="J373" s="745">
        <v>0</v>
      </c>
      <c r="K373" s="745" t="str">
        <f t="shared" si="264"/>
        <v>Not Found</v>
      </c>
      <c r="L373" s="16">
        <f>IF(K373="Importado",Fletes!$B$66,0%)</f>
        <v>0</v>
      </c>
      <c r="M373" s="745">
        <f t="shared" si="277"/>
        <v>0</v>
      </c>
      <c r="N373" s="16">
        <f>IF(K373&lt;&gt;"Importado",0%,IF(Fletes!$B$67&lt;10,15%,IF(Fletes!$B$67&lt;20,10%,5%)))</f>
        <v>0</v>
      </c>
      <c r="O373" s="745" t="str">
        <f>IFERROR(IF(OR(F373="Offiho",F373="Lauco Sofas",F373="Requiez",F373="Labenze",F373="Sunon Mty",F373="Sonara"),(M373*(1-_xlfn.XLOOKUP(F373,Proveedores!A:A,Proveedores!I:I)))*(1+N373),((M373*(1-_xlfn.XLOOKUP(F373,Proveedores!A:A,Proveedores!I:I)))*(1+N373))+U373),"")</f>
        <v/>
      </c>
      <c r="P373" s="1031"/>
      <c r="Q373" s="1133">
        <f>IF(K373&lt;&gt;"Importado",0,IF(P373&gt;0,P373*H373,IFERROR(_xlfn.XLOOKUP(F373,Proveedores!A:A,Proveedores!F:F,0)*H373,0)))</f>
        <v>0</v>
      </c>
      <c r="R373" s="1134" t="e">
        <f t="shared" si="278"/>
        <v>#VALUE!</v>
      </c>
      <c r="S373" s="743"/>
      <c r="T373" s="1034" t="e">
        <f t="shared" si="265"/>
        <v>#N/A</v>
      </c>
      <c r="U373" s="1034" t="e">
        <f t="shared" si="279"/>
        <v>#N/A</v>
      </c>
      <c r="V373" s="1165" t="e">
        <f t="shared" si="266"/>
        <v>#N/A</v>
      </c>
      <c r="W373" s="1034" t="e">
        <f t="shared" si="280"/>
        <v>#N/A</v>
      </c>
      <c r="X373" s="1034" t="b">
        <f t="shared" si="281"/>
        <v>0</v>
      </c>
      <c r="Y373" s="1034">
        <f t="shared" si="282"/>
        <v>0</v>
      </c>
      <c r="Z373" s="1034">
        <f t="shared" si="283"/>
        <v>0</v>
      </c>
      <c r="AA373" s="1034">
        <f t="shared" si="267"/>
        <v>0</v>
      </c>
      <c r="AB373" s="1034">
        <f t="shared" si="268"/>
        <v>0</v>
      </c>
      <c r="AC373" s="1033">
        <f t="shared" si="284"/>
        <v>0</v>
      </c>
      <c r="AD373" s="1266">
        <f t="shared" si="269"/>
        <v>0</v>
      </c>
      <c r="AE373" s="1093">
        <f t="shared" si="285"/>
        <v>0</v>
      </c>
      <c r="AF373" s="1093">
        <f t="shared" si="286"/>
        <v>0</v>
      </c>
      <c r="AG373" s="1093">
        <f t="shared" si="270"/>
        <v>0</v>
      </c>
      <c r="AH373" s="1033" t="e">
        <f t="shared" si="271"/>
        <v>#DIV/0!</v>
      </c>
      <c r="AI373" s="1091">
        <f t="shared" si="272"/>
        <v>0</v>
      </c>
      <c r="AJ373" s="1094">
        <f t="shared" si="273"/>
        <v>0</v>
      </c>
      <c r="AK373" s="1053" t="str">
        <f t="shared" si="274"/>
        <v/>
      </c>
      <c r="AL373" s="1053"/>
      <c r="AM373" s="1290">
        <f>_xlfn.XLOOKUP(F373,Proveedores!A:A,Proveedores!G:G)</f>
        <v>0</v>
      </c>
      <c r="AN373" s="1095" t="str">
        <f t="shared" si="287"/>
        <v>OK</v>
      </c>
    </row>
    <row r="374" spans="1:40" ht="15.95">
      <c r="A374" s="1090" t="b">
        <f t="shared" si="262"/>
        <v>1</v>
      </c>
      <c r="B374" s="1091" t="b">
        <f t="shared" si="275"/>
        <v>1</v>
      </c>
      <c r="C374" s="1092" t="str">
        <f t="shared" si="276"/>
        <v>Dólares</v>
      </c>
      <c r="D374" s="11"/>
      <c r="E374" s="743"/>
      <c r="F374" s="17"/>
      <c r="G374" t="str">
        <f t="shared" si="263"/>
        <v xml:space="preserve"> </v>
      </c>
      <c r="H374" s="12">
        <v>0</v>
      </c>
      <c r="I374" s="16" t="str">
        <f>IFERROR(VLOOKUP(G374,Proveedores!B:C,2,0)," ")</f>
        <v xml:space="preserve"> </v>
      </c>
      <c r="J374" s="745">
        <v>0</v>
      </c>
      <c r="K374" s="745" t="str">
        <f t="shared" si="264"/>
        <v>Not Found</v>
      </c>
      <c r="L374" s="16">
        <f>IF(K374="Importado",Fletes!$B$66,0%)</f>
        <v>0</v>
      </c>
      <c r="M374" s="745">
        <f t="shared" si="277"/>
        <v>0</v>
      </c>
      <c r="N374" s="16">
        <f>IF(K374&lt;&gt;"Importado",0%,IF(Fletes!$B$67&lt;10,15%,IF(Fletes!$B$67&lt;20,10%,5%)))</f>
        <v>0</v>
      </c>
      <c r="O374" s="745" t="str">
        <f>IFERROR(IF(OR(F374="Offiho",F374="Lauco Sofas",F374="Requiez",F374="Labenze",F374="Sunon Mty",F374="Sonara"),(M374*(1-_xlfn.XLOOKUP(F374,Proveedores!A:A,Proveedores!I:I)))*(1+N374),((M374*(1-_xlfn.XLOOKUP(F374,Proveedores!A:A,Proveedores!I:I)))*(1+N374))+U374),"")</f>
        <v/>
      </c>
      <c r="P374" s="1031"/>
      <c r="Q374" s="1133">
        <f>IF(K374&lt;&gt;"Importado",0,IF(P374&gt;0,P374*H374,IFERROR(_xlfn.XLOOKUP(F374,Proveedores!A:A,Proveedores!F:F,0)*H374,0)))</f>
        <v>0</v>
      </c>
      <c r="R374" s="1134" t="e">
        <f t="shared" si="278"/>
        <v>#VALUE!</v>
      </c>
      <c r="S374" s="743"/>
      <c r="T374" s="1034" t="e">
        <f t="shared" si="265"/>
        <v>#N/A</v>
      </c>
      <c r="U374" s="1034" t="e">
        <f t="shared" si="279"/>
        <v>#N/A</v>
      </c>
      <c r="V374" s="1165" t="e">
        <f t="shared" si="266"/>
        <v>#N/A</v>
      </c>
      <c r="W374" s="1034" t="e">
        <f t="shared" si="280"/>
        <v>#N/A</v>
      </c>
      <c r="X374" s="1034" t="b">
        <f t="shared" si="281"/>
        <v>0</v>
      </c>
      <c r="Y374" s="1034">
        <f t="shared" si="282"/>
        <v>0</v>
      </c>
      <c r="Z374" s="1034">
        <f t="shared" si="283"/>
        <v>0</v>
      </c>
      <c r="AA374" s="1034">
        <f t="shared" si="267"/>
        <v>0</v>
      </c>
      <c r="AB374" s="1034">
        <f t="shared" si="268"/>
        <v>0</v>
      </c>
      <c r="AC374" s="1033">
        <f t="shared" si="284"/>
        <v>0</v>
      </c>
      <c r="AD374" s="1266">
        <f t="shared" si="269"/>
        <v>0</v>
      </c>
      <c r="AE374" s="1093">
        <f t="shared" si="285"/>
        <v>0</v>
      </c>
      <c r="AF374" s="1093">
        <f t="shared" si="286"/>
        <v>0</v>
      </c>
      <c r="AG374" s="1093">
        <f t="shared" si="270"/>
        <v>0</v>
      </c>
      <c r="AH374" s="1033" t="e">
        <f t="shared" si="271"/>
        <v>#DIV/0!</v>
      </c>
      <c r="AI374" s="1091">
        <f t="shared" si="272"/>
        <v>0</v>
      </c>
      <c r="AJ374" s="1094">
        <f t="shared" si="273"/>
        <v>0</v>
      </c>
      <c r="AK374" s="1053" t="str">
        <f t="shared" si="274"/>
        <v/>
      </c>
      <c r="AL374" s="1053"/>
      <c r="AM374" s="1290">
        <f>_xlfn.XLOOKUP(F374,Proveedores!A:A,Proveedores!G:G)</f>
        <v>0</v>
      </c>
      <c r="AN374" s="1095" t="str">
        <f t="shared" si="287"/>
        <v>OK</v>
      </c>
    </row>
    <row r="375" spans="1:40" ht="15.95">
      <c r="A375" s="1090" t="b">
        <f t="shared" si="262"/>
        <v>1</v>
      </c>
      <c r="B375" s="1091" t="b">
        <f t="shared" si="275"/>
        <v>1</v>
      </c>
      <c r="C375" s="1092" t="str">
        <f t="shared" si="276"/>
        <v>Dólares</v>
      </c>
      <c r="D375" s="13"/>
      <c r="E375" s="743"/>
      <c r="F375" s="17"/>
      <c r="G375" t="str">
        <f t="shared" si="263"/>
        <v xml:space="preserve"> </v>
      </c>
      <c r="H375" s="12">
        <v>0</v>
      </c>
      <c r="I375" s="16" t="str">
        <f>IFERROR(VLOOKUP(G375,Proveedores!B:C,2,0)," ")</f>
        <v xml:space="preserve"> </v>
      </c>
      <c r="J375" s="745">
        <v>0</v>
      </c>
      <c r="K375" s="745" t="str">
        <f t="shared" si="264"/>
        <v>Not Found</v>
      </c>
      <c r="L375" s="16">
        <f>IF(K375="Importado",Fletes!$B$66,0%)</f>
        <v>0</v>
      </c>
      <c r="M375" s="745">
        <f t="shared" si="277"/>
        <v>0</v>
      </c>
      <c r="N375" s="16">
        <f>IF(K375&lt;&gt;"Importado",0%,IF(Fletes!$B$67&lt;10,15%,IF(Fletes!$B$67&lt;20,10%,5%)))</f>
        <v>0</v>
      </c>
      <c r="O375" s="745" t="str">
        <f>IFERROR(IF(OR(F375="Offiho",F375="Lauco Sofas",F375="Requiez",F375="Labenze",F375="Sunon Mty",F375="Sonara"),(M375*(1-_xlfn.XLOOKUP(F375,Proveedores!A:A,Proveedores!I:I)))*(1+N375),((M375*(1-_xlfn.XLOOKUP(F375,Proveedores!A:A,Proveedores!I:I)))*(1+N375))+U375),"")</f>
        <v/>
      </c>
      <c r="P375" s="1031"/>
      <c r="Q375" s="1133">
        <f>IF(K375&lt;&gt;"Importado",0,IF(P375&gt;0,P375*H375,IFERROR(_xlfn.XLOOKUP(F375,Proveedores!A:A,Proveedores!F:F,0)*H375,0)))</f>
        <v>0</v>
      </c>
      <c r="R375" s="1134" t="e">
        <f t="shared" si="278"/>
        <v>#VALUE!</v>
      </c>
      <c r="S375" s="743"/>
      <c r="T375" s="1034" t="e">
        <f t="shared" si="265"/>
        <v>#N/A</v>
      </c>
      <c r="U375" s="1034" t="e">
        <f t="shared" si="279"/>
        <v>#N/A</v>
      </c>
      <c r="V375" s="1165" t="e">
        <f t="shared" si="266"/>
        <v>#N/A</v>
      </c>
      <c r="W375" s="1034" t="e">
        <f t="shared" si="280"/>
        <v>#N/A</v>
      </c>
      <c r="X375" s="1034" t="b">
        <f t="shared" si="281"/>
        <v>0</v>
      </c>
      <c r="Y375" s="1034">
        <f t="shared" si="282"/>
        <v>0</v>
      </c>
      <c r="Z375" s="1034">
        <f t="shared" si="283"/>
        <v>0</v>
      </c>
      <c r="AA375" s="1034">
        <f t="shared" si="267"/>
        <v>0</v>
      </c>
      <c r="AB375" s="1034">
        <f t="shared" si="268"/>
        <v>0</v>
      </c>
      <c r="AC375" s="1033">
        <f t="shared" si="284"/>
        <v>0</v>
      </c>
      <c r="AD375" s="1266">
        <f t="shared" si="269"/>
        <v>0</v>
      </c>
      <c r="AE375" s="1093">
        <f t="shared" si="285"/>
        <v>0</v>
      </c>
      <c r="AF375" s="1093">
        <f t="shared" si="286"/>
        <v>0</v>
      </c>
      <c r="AG375" s="1093">
        <f t="shared" si="270"/>
        <v>0</v>
      </c>
      <c r="AH375" s="1033" t="e">
        <f t="shared" si="271"/>
        <v>#DIV/0!</v>
      </c>
      <c r="AI375" s="1091">
        <f t="shared" si="272"/>
        <v>0</v>
      </c>
      <c r="AJ375" s="1094">
        <f t="shared" si="273"/>
        <v>0</v>
      </c>
      <c r="AK375" s="1053" t="str">
        <f t="shared" si="274"/>
        <v/>
      </c>
      <c r="AL375" s="1053"/>
      <c r="AM375" s="1290">
        <f>_xlfn.XLOOKUP(F375,Proveedores!A:A,Proveedores!G:G)</f>
        <v>0</v>
      </c>
      <c r="AN375" s="1095" t="str">
        <f t="shared" si="287"/>
        <v>OK</v>
      </c>
    </row>
    <row r="376" spans="1:40" ht="15.95">
      <c r="A376" s="1090" t="b">
        <f t="shared" si="262"/>
        <v>1</v>
      </c>
      <c r="B376" s="1091" t="b">
        <f t="shared" si="275"/>
        <v>1</v>
      </c>
      <c r="C376" s="1092" t="str">
        <f t="shared" si="276"/>
        <v>Dólares</v>
      </c>
      <c r="D376" s="13"/>
      <c r="E376" s="743"/>
      <c r="F376" s="17"/>
      <c r="G376" t="str">
        <f t="shared" si="263"/>
        <v xml:space="preserve"> </v>
      </c>
      <c r="H376" s="12">
        <v>0</v>
      </c>
      <c r="I376" s="16" t="str">
        <f>IFERROR(VLOOKUP(G376,Proveedores!B:C,2,0)," ")</f>
        <v xml:space="preserve"> </v>
      </c>
      <c r="J376" s="745">
        <v>0</v>
      </c>
      <c r="K376" s="745" t="str">
        <f t="shared" si="264"/>
        <v>Not Found</v>
      </c>
      <c r="L376" s="16">
        <f>IF(K376="Importado",Fletes!$B$66,0%)</f>
        <v>0</v>
      </c>
      <c r="M376" s="745">
        <f t="shared" si="277"/>
        <v>0</v>
      </c>
      <c r="N376" s="16">
        <f>IF(K376&lt;&gt;"Importado",0%,IF(Fletes!$B$67&lt;10,15%,IF(Fletes!$B$67&lt;20,10%,5%)))</f>
        <v>0</v>
      </c>
      <c r="O376" s="745" t="str">
        <f>IFERROR(IF(OR(F376="Offiho",F376="Lauco Sofas",F376="Requiez",F376="Labenze",F376="Sunon Mty",F376="Sonara"),(M376*(1-_xlfn.XLOOKUP(F376,Proveedores!A:A,Proveedores!I:I)))*(1+N376),((M376*(1-_xlfn.XLOOKUP(F376,Proveedores!A:A,Proveedores!I:I)))*(1+N376))+U376),"")</f>
        <v/>
      </c>
      <c r="P376" s="1031"/>
      <c r="Q376" s="1133">
        <f>IF(K376&lt;&gt;"Importado",0,IF(P376&gt;0,P376*H376,IFERROR(_xlfn.XLOOKUP(F376,Proveedores!A:A,Proveedores!F:F,0)*H376,0)))</f>
        <v>0</v>
      </c>
      <c r="R376" s="1134" t="e">
        <f t="shared" si="278"/>
        <v>#VALUE!</v>
      </c>
      <c r="S376" s="743"/>
      <c r="T376" s="1034" t="e">
        <f t="shared" si="265"/>
        <v>#N/A</v>
      </c>
      <c r="U376" s="1034" t="e">
        <f t="shared" si="279"/>
        <v>#N/A</v>
      </c>
      <c r="V376" s="1165" t="e">
        <f t="shared" si="266"/>
        <v>#N/A</v>
      </c>
      <c r="W376" s="1034" t="e">
        <f t="shared" si="280"/>
        <v>#N/A</v>
      </c>
      <c r="X376" s="1034" t="b">
        <f t="shared" si="281"/>
        <v>0</v>
      </c>
      <c r="Y376" s="1034">
        <f t="shared" si="282"/>
        <v>0</v>
      </c>
      <c r="Z376" s="1034">
        <f t="shared" si="283"/>
        <v>0</v>
      </c>
      <c r="AA376" s="1034">
        <f t="shared" si="267"/>
        <v>0</v>
      </c>
      <c r="AB376" s="1034">
        <f t="shared" si="268"/>
        <v>0</v>
      </c>
      <c r="AC376" s="1033">
        <f t="shared" si="284"/>
        <v>0</v>
      </c>
      <c r="AD376" s="1266">
        <f t="shared" si="269"/>
        <v>0</v>
      </c>
      <c r="AE376" s="1093">
        <f t="shared" si="285"/>
        <v>0</v>
      </c>
      <c r="AF376" s="1093">
        <f t="shared" si="286"/>
        <v>0</v>
      </c>
      <c r="AG376" s="1093">
        <f t="shared" si="270"/>
        <v>0</v>
      </c>
      <c r="AH376" s="1033" t="e">
        <f t="shared" si="271"/>
        <v>#DIV/0!</v>
      </c>
      <c r="AI376" s="1091">
        <f t="shared" si="272"/>
        <v>0</v>
      </c>
      <c r="AJ376" s="1094">
        <f t="shared" si="273"/>
        <v>0</v>
      </c>
      <c r="AK376" s="1053" t="str">
        <f t="shared" si="274"/>
        <v/>
      </c>
      <c r="AL376" s="1053"/>
      <c r="AM376" s="1290">
        <f>_xlfn.XLOOKUP(F376,Proveedores!A:A,Proveedores!G:G)</f>
        <v>0</v>
      </c>
      <c r="AN376" s="1095" t="str">
        <f t="shared" si="287"/>
        <v>OK</v>
      </c>
    </row>
    <row r="377" spans="1:40" ht="15.95">
      <c r="A377" s="1090" t="b">
        <f t="shared" si="262"/>
        <v>1</v>
      </c>
      <c r="B377" s="1091" t="b">
        <f t="shared" si="275"/>
        <v>1</v>
      </c>
      <c r="C377" s="1092" t="str">
        <f t="shared" si="276"/>
        <v>Dólares</v>
      </c>
      <c r="D377" s="13"/>
      <c r="E377" s="743"/>
      <c r="F377" s="17"/>
      <c r="G377" t="str">
        <f t="shared" si="263"/>
        <v xml:space="preserve"> </v>
      </c>
      <c r="H377" s="12">
        <v>0</v>
      </c>
      <c r="I377" s="16" t="str">
        <f>IFERROR(VLOOKUP(G377,Proveedores!B:C,2,0)," ")</f>
        <v xml:space="preserve"> </v>
      </c>
      <c r="J377" s="745">
        <v>0</v>
      </c>
      <c r="K377" s="745" t="str">
        <f t="shared" si="264"/>
        <v>Not Found</v>
      </c>
      <c r="L377" s="16">
        <f>IF(K377="Importado",Fletes!$B$66,0%)</f>
        <v>0</v>
      </c>
      <c r="M377" s="745">
        <f t="shared" si="277"/>
        <v>0</v>
      </c>
      <c r="N377" s="16">
        <f>IF(K377&lt;&gt;"Importado",0%,IF(Fletes!$B$67&lt;10,15%,IF(Fletes!$B$67&lt;20,10%,5%)))</f>
        <v>0</v>
      </c>
      <c r="O377" s="745" t="str">
        <f>IFERROR(IF(OR(F377="Offiho",F377="Lauco Sofas",F377="Requiez",F377="Labenze",F377="Sunon Mty",F377="Sonara"),(M377*(1-_xlfn.XLOOKUP(F377,Proveedores!A:A,Proveedores!I:I)))*(1+N377),((M377*(1-_xlfn.XLOOKUP(F377,Proveedores!A:A,Proveedores!I:I)))*(1+N377))+U377),"")</f>
        <v/>
      </c>
      <c r="P377" s="1031"/>
      <c r="Q377" s="1133">
        <f>IF(K377&lt;&gt;"Importado",0,IF(P377&gt;0,P377*H377,IFERROR(_xlfn.XLOOKUP(F377,Proveedores!A:A,Proveedores!F:F,0)*H377,0)))</f>
        <v>0</v>
      </c>
      <c r="R377" s="1134" t="e">
        <f t="shared" si="278"/>
        <v>#VALUE!</v>
      </c>
      <c r="S377" s="743"/>
      <c r="T377" s="1034" t="e">
        <f t="shared" si="265"/>
        <v>#N/A</v>
      </c>
      <c r="U377" s="1034" t="e">
        <f t="shared" si="279"/>
        <v>#N/A</v>
      </c>
      <c r="V377" s="1165" t="e">
        <f t="shared" si="266"/>
        <v>#N/A</v>
      </c>
      <c r="W377" s="1034" t="e">
        <f t="shared" si="280"/>
        <v>#N/A</v>
      </c>
      <c r="X377" s="1034" t="b">
        <f t="shared" si="281"/>
        <v>0</v>
      </c>
      <c r="Y377" s="1034">
        <f t="shared" si="282"/>
        <v>0</v>
      </c>
      <c r="Z377" s="1034">
        <f t="shared" si="283"/>
        <v>0</v>
      </c>
      <c r="AA377" s="1034">
        <f t="shared" si="267"/>
        <v>0</v>
      </c>
      <c r="AB377" s="1034">
        <f t="shared" si="268"/>
        <v>0</v>
      </c>
      <c r="AC377" s="1033">
        <f t="shared" si="284"/>
        <v>0</v>
      </c>
      <c r="AD377" s="1266">
        <f t="shared" si="269"/>
        <v>0</v>
      </c>
      <c r="AE377" s="1093">
        <f t="shared" si="285"/>
        <v>0</v>
      </c>
      <c r="AF377" s="1093">
        <f t="shared" si="286"/>
        <v>0</v>
      </c>
      <c r="AG377" s="1093">
        <f t="shared" si="270"/>
        <v>0</v>
      </c>
      <c r="AH377" s="1033" t="e">
        <f t="shared" si="271"/>
        <v>#DIV/0!</v>
      </c>
      <c r="AI377" s="1091">
        <f t="shared" si="272"/>
        <v>0</v>
      </c>
      <c r="AJ377" s="1094">
        <f t="shared" si="273"/>
        <v>0</v>
      </c>
      <c r="AK377" s="1053" t="str">
        <f t="shared" si="274"/>
        <v/>
      </c>
      <c r="AL377" s="1053"/>
      <c r="AM377" s="1290">
        <f>_xlfn.XLOOKUP(F377,Proveedores!A:A,Proveedores!G:G)</f>
        <v>0</v>
      </c>
      <c r="AN377" s="1095" t="str">
        <f t="shared" si="287"/>
        <v>OK</v>
      </c>
    </row>
    <row r="378" spans="1:40" ht="15.95">
      <c r="A378" s="1090" t="b">
        <f t="shared" si="262"/>
        <v>1</v>
      </c>
      <c r="B378" s="1091" t="b">
        <f t="shared" si="275"/>
        <v>1</v>
      </c>
      <c r="C378" s="1092" t="str">
        <f t="shared" si="276"/>
        <v>Dólares</v>
      </c>
      <c r="D378" s="13"/>
      <c r="E378" s="743"/>
      <c r="F378" s="17"/>
      <c r="G378" t="str">
        <f t="shared" si="263"/>
        <v xml:space="preserve"> </v>
      </c>
      <c r="H378" s="12">
        <v>0</v>
      </c>
      <c r="I378" s="16" t="str">
        <f>IFERROR(VLOOKUP(G378,Proveedores!B:C,2,0)," ")</f>
        <v xml:space="preserve"> </v>
      </c>
      <c r="J378" s="745">
        <v>0</v>
      </c>
      <c r="K378" s="745" t="str">
        <f t="shared" si="264"/>
        <v>Not Found</v>
      </c>
      <c r="L378" s="16">
        <f>IF(K378="Importado",Fletes!$B$66,0%)</f>
        <v>0</v>
      </c>
      <c r="M378" s="745">
        <f t="shared" si="277"/>
        <v>0</v>
      </c>
      <c r="N378" s="16">
        <f>IF(K378&lt;&gt;"Importado",0%,IF(Fletes!$B$67&lt;10,15%,IF(Fletes!$B$67&lt;20,10%,5%)))</f>
        <v>0</v>
      </c>
      <c r="O378" s="745" t="str">
        <f>IFERROR(IF(OR(F378="Offiho",F378="Lauco Sofas",F378="Requiez",F378="Labenze",F378="Sunon Mty",F378="Sonara"),(M378*(1-_xlfn.XLOOKUP(F378,Proveedores!A:A,Proveedores!I:I)))*(1+N378),((M378*(1-_xlfn.XLOOKUP(F378,Proveedores!A:A,Proveedores!I:I)))*(1+N378))+U378),"")</f>
        <v/>
      </c>
      <c r="P378" s="1031"/>
      <c r="Q378" s="1133">
        <f>IF(K378&lt;&gt;"Importado",0,IF(P378&gt;0,P378*H378,IFERROR(_xlfn.XLOOKUP(F378,Proveedores!A:A,Proveedores!F:F,0)*H378,0)))</f>
        <v>0</v>
      </c>
      <c r="R378" s="1134" t="e">
        <f t="shared" si="278"/>
        <v>#VALUE!</v>
      </c>
      <c r="S378" s="743"/>
      <c r="T378" s="1034" t="e">
        <f t="shared" si="265"/>
        <v>#N/A</v>
      </c>
      <c r="U378" s="1034" t="e">
        <f t="shared" si="279"/>
        <v>#N/A</v>
      </c>
      <c r="V378" s="1165" t="e">
        <f t="shared" si="266"/>
        <v>#N/A</v>
      </c>
      <c r="W378" s="1034" t="e">
        <f t="shared" si="280"/>
        <v>#N/A</v>
      </c>
      <c r="X378" s="1034" t="b">
        <f t="shared" si="281"/>
        <v>0</v>
      </c>
      <c r="Y378" s="1034">
        <f t="shared" si="282"/>
        <v>0</v>
      </c>
      <c r="Z378" s="1034">
        <f t="shared" si="283"/>
        <v>0</v>
      </c>
      <c r="AA378" s="1034">
        <f t="shared" si="267"/>
        <v>0</v>
      </c>
      <c r="AB378" s="1034">
        <f t="shared" si="268"/>
        <v>0</v>
      </c>
      <c r="AC378" s="1033">
        <f t="shared" si="284"/>
        <v>0</v>
      </c>
      <c r="AD378" s="1266">
        <f t="shared" si="269"/>
        <v>0</v>
      </c>
      <c r="AE378" s="1093">
        <f t="shared" si="285"/>
        <v>0</v>
      </c>
      <c r="AF378" s="1093">
        <f t="shared" si="286"/>
        <v>0</v>
      </c>
      <c r="AG378" s="1093">
        <f t="shared" si="270"/>
        <v>0</v>
      </c>
      <c r="AH378" s="1033" t="e">
        <f t="shared" si="271"/>
        <v>#DIV/0!</v>
      </c>
      <c r="AI378" s="1091">
        <f t="shared" si="272"/>
        <v>0</v>
      </c>
      <c r="AJ378" s="1094">
        <f t="shared" si="273"/>
        <v>0</v>
      </c>
      <c r="AK378" s="1053" t="str">
        <f t="shared" si="274"/>
        <v/>
      </c>
      <c r="AL378" s="1053"/>
      <c r="AM378" s="1290">
        <f>_xlfn.XLOOKUP(F378,Proveedores!A:A,Proveedores!G:G)</f>
        <v>0</v>
      </c>
      <c r="AN378" s="1095" t="str">
        <f t="shared" si="287"/>
        <v>OK</v>
      </c>
    </row>
    <row r="379" spans="1:40" ht="15.95">
      <c r="A379" s="1090" t="b">
        <f t="shared" si="262"/>
        <v>1</v>
      </c>
      <c r="B379" s="1091" t="b">
        <f t="shared" si="275"/>
        <v>1</v>
      </c>
      <c r="C379" s="1092" t="str">
        <f t="shared" si="276"/>
        <v>Dólares</v>
      </c>
      <c r="D379" s="13"/>
      <c r="E379" s="743"/>
      <c r="F379" s="17"/>
      <c r="G379" t="str">
        <f t="shared" si="263"/>
        <v xml:space="preserve"> </v>
      </c>
      <c r="H379" s="12">
        <v>0</v>
      </c>
      <c r="I379" s="16" t="str">
        <f>IFERROR(VLOOKUP(G379,Proveedores!B:C,2,0)," ")</f>
        <v xml:space="preserve"> </v>
      </c>
      <c r="J379" s="745">
        <v>0</v>
      </c>
      <c r="K379" s="745" t="str">
        <f t="shared" si="264"/>
        <v>Not Found</v>
      </c>
      <c r="L379" s="16">
        <f>IF(K379="Importado",Fletes!$B$66,0%)</f>
        <v>0</v>
      </c>
      <c r="M379" s="745">
        <f t="shared" si="277"/>
        <v>0</v>
      </c>
      <c r="N379" s="16">
        <f>IF(K379&lt;&gt;"Importado",0%,IF(Fletes!$B$67&lt;10,15%,IF(Fletes!$B$67&lt;20,10%,5%)))</f>
        <v>0</v>
      </c>
      <c r="O379" s="745" t="str">
        <f>IFERROR(IF(OR(F379="Offiho",F379="Lauco Sofas",F379="Requiez",F379="Labenze",F379="Sunon Mty",F379="Sonara"),(M379*(1-_xlfn.XLOOKUP(F379,Proveedores!A:A,Proveedores!I:I)))*(1+N379),((M379*(1-_xlfn.XLOOKUP(F379,Proveedores!A:A,Proveedores!I:I)))*(1+N379))+U379),"")</f>
        <v/>
      </c>
      <c r="P379" s="1031"/>
      <c r="Q379" s="1133">
        <f>IF(K379&lt;&gt;"Importado",0,IF(P379&gt;0,P379*H379,IFERROR(_xlfn.XLOOKUP(F379,Proveedores!A:A,Proveedores!F:F,0)*H379,0)))</f>
        <v>0</v>
      </c>
      <c r="R379" s="1134" t="e">
        <f t="shared" si="278"/>
        <v>#VALUE!</v>
      </c>
      <c r="S379" s="743"/>
      <c r="T379" s="1034" t="e">
        <f t="shared" si="265"/>
        <v>#N/A</v>
      </c>
      <c r="U379" s="1034" t="e">
        <f t="shared" si="279"/>
        <v>#N/A</v>
      </c>
      <c r="V379" s="1165" t="e">
        <f t="shared" si="266"/>
        <v>#N/A</v>
      </c>
      <c r="W379" s="1034" t="e">
        <f t="shared" si="280"/>
        <v>#N/A</v>
      </c>
      <c r="X379" s="1034" t="b">
        <f t="shared" si="281"/>
        <v>0</v>
      </c>
      <c r="Y379" s="1034">
        <f t="shared" si="282"/>
        <v>0</v>
      </c>
      <c r="Z379" s="1034">
        <f t="shared" si="283"/>
        <v>0</v>
      </c>
      <c r="AA379" s="1034">
        <f t="shared" si="267"/>
        <v>0</v>
      </c>
      <c r="AB379" s="1034">
        <f t="shared" si="268"/>
        <v>0</v>
      </c>
      <c r="AC379" s="1033">
        <f t="shared" si="284"/>
        <v>0</v>
      </c>
      <c r="AD379" s="1266">
        <f t="shared" si="269"/>
        <v>0</v>
      </c>
      <c r="AE379" s="1093">
        <f t="shared" si="285"/>
        <v>0</v>
      </c>
      <c r="AF379" s="1093">
        <f t="shared" si="286"/>
        <v>0</v>
      </c>
      <c r="AG379" s="1093">
        <f t="shared" si="270"/>
        <v>0</v>
      </c>
      <c r="AH379" s="1033" t="e">
        <f t="shared" si="271"/>
        <v>#DIV/0!</v>
      </c>
      <c r="AI379" s="1091">
        <f t="shared" si="272"/>
        <v>0</v>
      </c>
      <c r="AJ379" s="1094">
        <f t="shared" si="273"/>
        <v>0</v>
      </c>
      <c r="AK379" s="1053" t="str">
        <f t="shared" si="274"/>
        <v/>
      </c>
      <c r="AL379" s="1053"/>
      <c r="AM379" s="1290">
        <f>_xlfn.XLOOKUP(F379,Proveedores!A:A,Proveedores!G:G)</f>
        <v>0</v>
      </c>
      <c r="AN379" s="1095" t="str">
        <f t="shared" si="287"/>
        <v>OK</v>
      </c>
    </row>
    <row r="380" spans="1:40" ht="15.95">
      <c r="A380" s="1090" t="b">
        <f t="shared" si="262"/>
        <v>1</v>
      </c>
      <c r="B380" s="1091" t="b">
        <f t="shared" si="275"/>
        <v>1</v>
      </c>
      <c r="C380" s="1092" t="str">
        <f t="shared" si="276"/>
        <v>Dólares</v>
      </c>
      <c r="D380" s="13"/>
      <c r="E380" s="743"/>
      <c r="F380" s="17"/>
      <c r="G380" t="str">
        <f t="shared" si="263"/>
        <v xml:space="preserve"> </v>
      </c>
      <c r="H380" s="12">
        <v>0</v>
      </c>
      <c r="I380" s="16" t="str">
        <f>IFERROR(VLOOKUP(G380,Proveedores!B:C,2,0)," ")</f>
        <v xml:space="preserve"> </v>
      </c>
      <c r="J380" s="745">
        <v>0</v>
      </c>
      <c r="K380" s="745" t="str">
        <f t="shared" si="264"/>
        <v>Not Found</v>
      </c>
      <c r="L380" s="16">
        <f>IF(K380="Importado",Fletes!$B$66,0%)</f>
        <v>0</v>
      </c>
      <c r="M380" s="745">
        <f t="shared" si="277"/>
        <v>0</v>
      </c>
      <c r="N380" s="16">
        <f>IF(K380&lt;&gt;"Importado",0%,IF(Fletes!$B$67&lt;10,15%,IF(Fletes!$B$67&lt;20,10%,5%)))</f>
        <v>0</v>
      </c>
      <c r="O380" s="745" t="str">
        <f>IFERROR(IF(OR(F380="Offiho",F380="Lauco Sofas",F380="Requiez",F380="Labenze",F380="Sunon Mty",F380="Sonara"),(M380*(1-_xlfn.XLOOKUP(F380,Proveedores!A:A,Proveedores!I:I)))*(1+N380),((M380*(1-_xlfn.XLOOKUP(F380,Proveedores!A:A,Proveedores!I:I)))*(1+N380))+U380),"")</f>
        <v/>
      </c>
      <c r="P380" s="1031"/>
      <c r="Q380" s="1133">
        <f>IF(K380&lt;&gt;"Importado",0,IF(P380&gt;0,P380*H380,IFERROR(_xlfn.XLOOKUP(F380,Proveedores!A:A,Proveedores!F:F,0)*H380,0)))</f>
        <v>0</v>
      </c>
      <c r="R380" s="1134" t="e">
        <f t="shared" si="278"/>
        <v>#VALUE!</v>
      </c>
      <c r="S380" s="743"/>
      <c r="T380" s="1034" t="e">
        <f t="shared" si="265"/>
        <v>#N/A</v>
      </c>
      <c r="U380" s="1034" t="e">
        <f t="shared" si="279"/>
        <v>#N/A</v>
      </c>
      <c r="V380" s="1165" t="e">
        <f t="shared" si="266"/>
        <v>#N/A</v>
      </c>
      <c r="W380" s="1034" t="e">
        <f t="shared" si="280"/>
        <v>#N/A</v>
      </c>
      <c r="X380" s="1034" t="b">
        <f t="shared" si="281"/>
        <v>0</v>
      </c>
      <c r="Y380" s="1034">
        <f t="shared" si="282"/>
        <v>0</v>
      </c>
      <c r="Z380" s="1034">
        <f t="shared" si="283"/>
        <v>0</v>
      </c>
      <c r="AA380" s="1034">
        <f t="shared" si="267"/>
        <v>0</v>
      </c>
      <c r="AB380" s="1034">
        <f t="shared" si="268"/>
        <v>0</v>
      </c>
      <c r="AC380" s="1033">
        <f t="shared" si="284"/>
        <v>0</v>
      </c>
      <c r="AD380" s="1266">
        <f t="shared" si="269"/>
        <v>0</v>
      </c>
      <c r="AE380" s="1093">
        <f t="shared" si="285"/>
        <v>0</v>
      </c>
      <c r="AF380" s="1093">
        <f t="shared" si="286"/>
        <v>0</v>
      </c>
      <c r="AG380" s="1093">
        <f t="shared" si="270"/>
        <v>0</v>
      </c>
      <c r="AH380" s="1033" t="e">
        <f t="shared" si="271"/>
        <v>#DIV/0!</v>
      </c>
      <c r="AI380" s="1091">
        <f t="shared" si="272"/>
        <v>0</v>
      </c>
      <c r="AJ380" s="1094">
        <f t="shared" si="273"/>
        <v>0</v>
      </c>
      <c r="AK380" s="1053" t="str">
        <f t="shared" si="274"/>
        <v/>
      </c>
      <c r="AL380" s="1053"/>
      <c r="AM380" s="1290">
        <f>_xlfn.XLOOKUP(F380,Proveedores!A:A,Proveedores!G:G)</f>
        <v>0</v>
      </c>
      <c r="AN380" s="1095" t="str">
        <f t="shared" si="287"/>
        <v>OK</v>
      </c>
    </row>
    <row r="381" spans="1:40" ht="15.95">
      <c r="A381" s="1090" t="b">
        <f t="shared" si="262"/>
        <v>1</v>
      </c>
      <c r="B381" s="1091" t="b">
        <f t="shared" si="275"/>
        <v>1</v>
      </c>
      <c r="C381" s="1092" t="str">
        <f t="shared" si="276"/>
        <v>Dólares</v>
      </c>
      <c r="D381" s="13"/>
      <c r="E381" s="743"/>
      <c r="F381" s="17"/>
      <c r="G381" t="str">
        <f t="shared" si="263"/>
        <v xml:space="preserve"> </v>
      </c>
      <c r="H381" s="12">
        <v>0</v>
      </c>
      <c r="I381" s="16" t="str">
        <f>IFERROR(VLOOKUP(G381,Proveedores!B:C,2,0)," ")</f>
        <v xml:space="preserve"> </v>
      </c>
      <c r="J381" s="745">
        <v>0</v>
      </c>
      <c r="K381" s="745" t="str">
        <f t="shared" si="264"/>
        <v>Not Found</v>
      </c>
      <c r="L381" s="16">
        <f>IF(K381="Importado",Fletes!$B$66,0%)</f>
        <v>0</v>
      </c>
      <c r="M381" s="745">
        <f t="shared" si="277"/>
        <v>0</v>
      </c>
      <c r="N381" s="16">
        <f>IF(K381&lt;&gt;"Importado",0%,IF(Fletes!$B$67&lt;10,15%,IF(Fletes!$B$67&lt;20,10%,5%)))</f>
        <v>0</v>
      </c>
      <c r="O381" s="745" t="str">
        <f>IFERROR(IF(OR(F381="Offiho",F381="Lauco Sofas",F381="Requiez",F381="Labenze",F381="Sunon Mty",F381="Sonara"),(M381*(1-_xlfn.XLOOKUP(F381,Proveedores!A:A,Proveedores!I:I)))*(1+N381),((M381*(1-_xlfn.XLOOKUP(F381,Proveedores!A:A,Proveedores!I:I)))*(1+N381))+U381),"")</f>
        <v/>
      </c>
      <c r="P381" s="1031"/>
      <c r="Q381" s="1133">
        <f>IF(K381&lt;&gt;"Importado",0,IF(P381&gt;0,P381*H381,IFERROR(_xlfn.XLOOKUP(F381,Proveedores!A:A,Proveedores!F:F,0)*H381,0)))</f>
        <v>0</v>
      </c>
      <c r="R381" s="1134" t="e">
        <f t="shared" si="278"/>
        <v>#VALUE!</v>
      </c>
      <c r="S381" s="743"/>
      <c r="T381" s="1034" t="e">
        <f t="shared" si="265"/>
        <v>#N/A</v>
      </c>
      <c r="U381" s="1034" t="e">
        <f t="shared" si="279"/>
        <v>#N/A</v>
      </c>
      <c r="V381" s="1165" t="e">
        <f t="shared" si="266"/>
        <v>#N/A</v>
      </c>
      <c r="W381" s="1034" t="e">
        <f t="shared" si="280"/>
        <v>#N/A</v>
      </c>
      <c r="X381" s="1034" t="b">
        <f t="shared" si="281"/>
        <v>0</v>
      </c>
      <c r="Y381" s="1034">
        <f t="shared" si="282"/>
        <v>0</v>
      </c>
      <c r="Z381" s="1034">
        <f t="shared" si="283"/>
        <v>0</v>
      </c>
      <c r="AA381" s="1034">
        <f t="shared" si="267"/>
        <v>0</v>
      </c>
      <c r="AB381" s="1034">
        <f t="shared" si="268"/>
        <v>0</v>
      </c>
      <c r="AC381" s="1033">
        <f t="shared" si="284"/>
        <v>0</v>
      </c>
      <c r="AD381" s="1266">
        <f t="shared" si="269"/>
        <v>0</v>
      </c>
      <c r="AE381" s="1093">
        <f t="shared" si="285"/>
        <v>0</v>
      </c>
      <c r="AF381" s="1093">
        <f t="shared" si="286"/>
        <v>0</v>
      </c>
      <c r="AG381" s="1093">
        <f t="shared" si="270"/>
        <v>0</v>
      </c>
      <c r="AH381" s="1033" t="e">
        <f t="shared" si="271"/>
        <v>#DIV/0!</v>
      </c>
      <c r="AI381" s="1091">
        <f t="shared" si="272"/>
        <v>0</v>
      </c>
      <c r="AJ381" s="1094">
        <f t="shared" si="273"/>
        <v>0</v>
      </c>
      <c r="AK381" s="1053" t="str">
        <f t="shared" si="274"/>
        <v/>
      </c>
      <c r="AL381" s="1053"/>
      <c r="AM381" s="1290">
        <f>_xlfn.XLOOKUP(F381,Proveedores!A:A,Proveedores!G:G)</f>
        <v>0</v>
      </c>
      <c r="AN381" s="1095" t="str">
        <f t="shared" si="287"/>
        <v>OK</v>
      </c>
    </row>
    <row r="382" spans="1:40" ht="15.95">
      <c r="A382" s="1090" t="b">
        <f t="shared" si="262"/>
        <v>1</v>
      </c>
      <c r="B382" s="1091" t="b">
        <f t="shared" si="275"/>
        <v>1</v>
      </c>
      <c r="C382" s="1092" t="str">
        <f t="shared" si="276"/>
        <v>Dólares</v>
      </c>
      <c r="D382" s="14"/>
      <c r="E382" s="743"/>
      <c r="F382" s="17"/>
      <c r="G382" t="str">
        <f t="shared" si="263"/>
        <v xml:space="preserve"> </v>
      </c>
      <c r="H382" s="12">
        <v>0</v>
      </c>
      <c r="I382" s="16" t="str">
        <f>IFERROR(VLOOKUP(G382,Proveedores!B:C,2,0)," ")</f>
        <v xml:space="preserve"> </v>
      </c>
      <c r="J382" s="745">
        <v>0</v>
      </c>
      <c r="K382" s="745" t="str">
        <f t="shared" si="264"/>
        <v>Not Found</v>
      </c>
      <c r="L382" s="16">
        <f>IF(K382="Importado",Fletes!$B$66,0%)</f>
        <v>0</v>
      </c>
      <c r="M382" s="745">
        <f t="shared" si="277"/>
        <v>0</v>
      </c>
      <c r="N382" s="16">
        <f>IF(K382&lt;&gt;"Importado",0%,IF(Fletes!$B$67&lt;10,15%,IF(Fletes!$B$67&lt;20,10%,5%)))</f>
        <v>0</v>
      </c>
      <c r="O382" s="745" t="str">
        <f>IFERROR(IF(OR(F382="Offiho",F382="Lauco Sofas",F382="Requiez",F382="Labenze",F382="Sunon Mty",F382="Sonara"),(M382*(1-_xlfn.XLOOKUP(F382,Proveedores!A:A,Proveedores!I:I)))*(1+N382),((M382*(1-_xlfn.XLOOKUP(F382,Proveedores!A:A,Proveedores!I:I)))*(1+N382))+U382),"")</f>
        <v/>
      </c>
      <c r="P382" s="1031"/>
      <c r="Q382" s="1133">
        <f>IF(K382&lt;&gt;"Importado",0,IF(P382&gt;0,P382*H382,IFERROR(_xlfn.XLOOKUP(F382,Proveedores!A:A,Proveedores!F:F,0)*H382,0)))</f>
        <v>0</v>
      </c>
      <c r="R382" s="1134" t="e">
        <f t="shared" si="278"/>
        <v>#VALUE!</v>
      </c>
      <c r="S382" s="743"/>
      <c r="T382" s="1034" t="e">
        <f t="shared" si="265"/>
        <v>#N/A</v>
      </c>
      <c r="U382" s="1034" t="e">
        <f t="shared" si="279"/>
        <v>#N/A</v>
      </c>
      <c r="V382" s="1165" t="e">
        <f t="shared" si="266"/>
        <v>#N/A</v>
      </c>
      <c r="W382" s="1034" t="e">
        <f t="shared" si="280"/>
        <v>#N/A</v>
      </c>
      <c r="X382" s="1034" t="b">
        <f t="shared" si="281"/>
        <v>0</v>
      </c>
      <c r="Y382" s="1034">
        <f t="shared" si="282"/>
        <v>0</v>
      </c>
      <c r="Z382" s="1034">
        <f t="shared" si="283"/>
        <v>0</v>
      </c>
      <c r="AA382" s="1034">
        <f t="shared" si="267"/>
        <v>0</v>
      </c>
      <c r="AB382" s="1034">
        <f t="shared" si="268"/>
        <v>0</v>
      </c>
      <c r="AC382" s="1033">
        <f t="shared" si="284"/>
        <v>0</v>
      </c>
      <c r="AD382" s="1266">
        <f t="shared" si="269"/>
        <v>0</v>
      </c>
      <c r="AE382" s="1093">
        <f t="shared" si="285"/>
        <v>0</v>
      </c>
      <c r="AF382" s="1093">
        <f t="shared" si="286"/>
        <v>0</v>
      </c>
      <c r="AG382" s="1093">
        <f t="shared" si="270"/>
        <v>0</v>
      </c>
      <c r="AH382" s="1033" t="e">
        <f t="shared" si="271"/>
        <v>#DIV/0!</v>
      </c>
      <c r="AI382" s="1091">
        <f t="shared" si="272"/>
        <v>0</v>
      </c>
      <c r="AJ382" s="1094">
        <f t="shared" si="273"/>
        <v>0</v>
      </c>
      <c r="AK382" s="1053" t="str">
        <f t="shared" si="274"/>
        <v/>
      </c>
      <c r="AL382" s="1053"/>
      <c r="AM382" s="1290">
        <f>_xlfn.XLOOKUP(F382,Proveedores!A:A,Proveedores!G:G)</f>
        <v>0</v>
      </c>
      <c r="AN382" s="1095" t="str">
        <f t="shared" si="287"/>
        <v>OK</v>
      </c>
    </row>
    <row r="383" spans="1:40" ht="15.95">
      <c r="A383" s="1090" t="b">
        <f t="shared" si="262"/>
        <v>1</v>
      </c>
      <c r="B383" s="1091" t="b">
        <f t="shared" si="275"/>
        <v>1</v>
      </c>
      <c r="C383" s="1092" t="str">
        <f t="shared" si="276"/>
        <v>Dólares</v>
      </c>
      <c r="D383" s="15"/>
      <c r="E383" s="743"/>
      <c r="F383" s="17"/>
      <c r="G383" t="str">
        <f t="shared" si="263"/>
        <v xml:space="preserve"> </v>
      </c>
      <c r="H383" s="12">
        <v>0</v>
      </c>
      <c r="I383" s="16" t="str">
        <f>IFERROR(VLOOKUP(G383,Proveedores!B:C,2,0)," ")</f>
        <v xml:space="preserve"> </v>
      </c>
      <c r="J383" s="745">
        <v>0</v>
      </c>
      <c r="K383" s="745" t="str">
        <f t="shared" si="264"/>
        <v>Not Found</v>
      </c>
      <c r="L383" s="16">
        <f>IF(K383="Importado",Fletes!$B$66,0%)</f>
        <v>0</v>
      </c>
      <c r="M383" s="745">
        <f t="shared" si="277"/>
        <v>0</v>
      </c>
      <c r="N383" s="16">
        <f>IF(K383&lt;&gt;"Importado",0%,IF(Fletes!$B$67&lt;10,15%,IF(Fletes!$B$67&lt;20,10%,5%)))</f>
        <v>0</v>
      </c>
      <c r="O383" s="745" t="str">
        <f>IFERROR(IF(OR(F383="Offiho",F383="Lauco Sofas",F383="Requiez",F383="Labenze",F383="Sunon Mty",F383="Sonara"),(M383*(1-_xlfn.XLOOKUP(F383,Proveedores!A:A,Proveedores!I:I)))*(1+N383),((M383*(1-_xlfn.XLOOKUP(F383,Proveedores!A:A,Proveedores!I:I)))*(1+N383))+U383),"")</f>
        <v/>
      </c>
      <c r="P383" s="1031"/>
      <c r="Q383" s="1133">
        <f>IF(K383&lt;&gt;"Importado",0,IF(P383&gt;0,P383*H383,IFERROR(_xlfn.XLOOKUP(F383,Proveedores!A:A,Proveedores!F:F,0)*H383,0)))</f>
        <v>0</v>
      </c>
      <c r="R383" s="1134" t="e">
        <f t="shared" si="278"/>
        <v>#VALUE!</v>
      </c>
      <c r="S383" s="743"/>
      <c r="T383" s="1034" t="e">
        <f t="shared" si="265"/>
        <v>#N/A</v>
      </c>
      <c r="U383" s="1034" t="e">
        <f t="shared" si="279"/>
        <v>#N/A</v>
      </c>
      <c r="V383" s="1165" t="e">
        <f t="shared" si="266"/>
        <v>#N/A</v>
      </c>
      <c r="W383" s="1034" t="e">
        <f t="shared" si="280"/>
        <v>#N/A</v>
      </c>
      <c r="X383" s="1034" t="b">
        <f t="shared" si="281"/>
        <v>0</v>
      </c>
      <c r="Y383" s="1034">
        <f t="shared" si="282"/>
        <v>0</v>
      </c>
      <c r="Z383" s="1034">
        <f t="shared" si="283"/>
        <v>0</v>
      </c>
      <c r="AA383" s="1034">
        <f t="shared" si="267"/>
        <v>0</v>
      </c>
      <c r="AB383" s="1034">
        <f t="shared" si="268"/>
        <v>0</v>
      </c>
      <c r="AC383" s="1033">
        <f t="shared" si="284"/>
        <v>0</v>
      </c>
      <c r="AD383" s="1266">
        <f t="shared" si="269"/>
        <v>0</v>
      </c>
      <c r="AE383" s="1093">
        <f t="shared" si="285"/>
        <v>0</v>
      </c>
      <c r="AF383" s="1093">
        <f t="shared" si="286"/>
        <v>0</v>
      </c>
      <c r="AG383" s="1093">
        <f t="shared" si="270"/>
        <v>0</v>
      </c>
      <c r="AH383" s="1033" t="e">
        <f t="shared" si="271"/>
        <v>#DIV/0!</v>
      </c>
      <c r="AI383" s="1091">
        <f t="shared" si="272"/>
        <v>0</v>
      </c>
      <c r="AJ383" s="1094">
        <f t="shared" si="273"/>
        <v>0</v>
      </c>
      <c r="AK383" s="1053" t="str">
        <f t="shared" si="274"/>
        <v/>
      </c>
      <c r="AL383" s="1053"/>
      <c r="AM383" s="1290">
        <f>_xlfn.XLOOKUP(F383,Proveedores!A:A,Proveedores!G:G)</f>
        <v>0</v>
      </c>
      <c r="AN383" s="1095" t="str">
        <f t="shared" si="287"/>
        <v>OK</v>
      </c>
    </row>
    <row r="384" spans="1:40" ht="15.95">
      <c r="A384" s="1090" t="b">
        <f t="shared" si="262"/>
        <v>1</v>
      </c>
      <c r="B384" s="1091" t="b">
        <f t="shared" si="275"/>
        <v>1</v>
      </c>
      <c r="C384" s="1092" t="str">
        <f t="shared" si="276"/>
        <v>Dólares</v>
      </c>
      <c r="D384" s="15"/>
      <c r="E384" s="743"/>
      <c r="F384" s="17"/>
      <c r="G384" t="str">
        <f t="shared" si="263"/>
        <v xml:space="preserve"> </v>
      </c>
      <c r="H384" s="12">
        <v>0</v>
      </c>
      <c r="I384" s="16" t="str">
        <f>IFERROR(VLOOKUP(G384,Proveedores!B:C,2,0)," ")</f>
        <v xml:space="preserve"> </v>
      </c>
      <c r="J384" s="745">
        <v>0</v>
      </c>
      <c r="K384" s="745" t="str">
        <f t="shared" si="264"/>
        <v>Not Found</v>
      </c>
      <c r="L384" s="16">
        <f>IF(K384="Importado",Fletes!$B$66,0%)</f>
        <v>0</v>
      </c>
      <c r="M384" s="745">
        <f t="shared" si="277"/>
        <v>0</v>
      </c>
      <c r="N384" s="16">
        <f>IF(K384&lt;&gt;"Importado",0%,IF(Fletes!$B$67&lt;10,15%,IF(Fletes!$B$67&lt;20,10%,5%)))</f>
        <v>0</v>
      </c>
      <c r="O384" s="745" t="str">
        <f>IFERROR(IF(OR(F384="Offiho",F384="Lauco Sofas",F384="Requiez",F384="Labenze",F384="Sunon Mty",F384="Sonara"),(M384*(1-_xlfn.XLOOKUP(F384,Proveedores!A:A,Proveedores!I:I)))*(1+N384),((M384*(1-_xlfn.XLOOKUP(F384,Proveedores!A:A,Proveedores!I:I)))*(1+N384))+U384),"")</f>
        <v/>
      </c>
      <c r="P384" s="1031"/>
      <c r="Q384" s="1133">
        <f>IF(K384&lt;&gt;"Importado",0,IF(P384&gt;0,P384*H384,IFERROR(_xlfn.XLOOKUP(F384,Proveedores!A:A,Proveedores!F:F,0)*H384,0)))</f>
        <v>0</v>
      </c>
      <c r="R384" s="1134" t="e">
        <f t="shared" si="278"/>
        <v>#VALUE!</v>
      </c>
      <c r="S384" s="743"/>
      <c r="T384" s="1034" t="e">
        <f t="shared" si="265"/>
        <v>#N/A</v>
      </c>
      <c r="U384" s="1034" t="e">
        <f t="shared" si="279"/>
        <v>#N/A</v>
      </c>
      <c r="V384" s="1165" t="e">
        <f t="shared" si="266"/>
        <v>#N/A</v>
      </c>
      <c r="W384" s="1034" t="e">
        <f t="shared" si="280"/>
        <v>#N/A</v>
      </c>
      <c r="X384" s="1034" t="b">
        <f t="shared" si="281"/>
        <v>0</v>
      </c>
      <c r="Y384" s="1034">
        <f t="shared" si="282"/>
        <v>0</v>
      </c>
      <c r="Z384" s="1034">
        <f t="shared" si="283"/>
        <v>0</v>
      </c>
      <c r="AA384" s="1034">
        <f t="shared" si="267"/>
        <v>0</v>
      </c>
      <c r="AB384" s="1034">
        <f t="shared" si="268"/>
        <v>0</v>
      </c>
      <c r="AC384" s="1033">
        <f t="shared" si="284"/>
        <v>0</v>
      </c>
      <c r="AD384" s="1266">
        <f t="shared" si="269"/>
        <v>0</v>
      </c>
      <c r="AE384" s="1093">
        <f t="shared" si="285"/>
        <v>0</v>
      </c>
      <c r="AF384" s="1093">
        <f t="shared" si="286"/>
        <v>0</v>
      </c>
      <c r="AG384" s="1093">
        <f t="shared" si="270"/>
        <v>0</v>
      </c>
      <c r="AH384" s="1033" t="e">
        <f t="shared" si="271"/>
        <v>#DIV/0!</v>
      </c>
      <c r="AI384" s="1091">
        <f t="shared" si="272"/>
        <v>0</v>
      </c>
      <c r="AJ384" s="1094">
        <f t="shared" si="273"/>
        <v>0</v>
      </c>
      <c r="AK384" s="1053" t="str">
        <f t="shared" si="274"/>
        <v/>
      </c>
      <c r="AL384" s="1053"/>
      <c r="AM384" s="1290">
        <f>_xlfn.XLOOKUP(F384,Proveedores!A:A,Proveedores!G:G)</f>
        <v>0</v>
      </c>
      <c r="AN384" s="1095" t="str">
        <f t="shared" si="287"/>
        <v>OK</v>
      </c>
    </row>
    <row r="385" spans="1:40" ht="15.95">
      <c r="A385" s="1090" t="b">
        <f t="shared" si="262"/>
        <v>1</v>
      </c>
      <c r="B385" s="1091" t="b">
        <f t="shared" si="275"/>
        <v>1</v>
      </c>
      <c r="C385" s="1092" t="str">
        <f t="shared" si="276"/>
        <v>Dólares</v>
      </c>
      <c r="D385" s="15"/>
      <c r="E385" s="743"/>
      <c r="F385" s="17"/>
      <c r="G385" t="str">
        <f t="shared" si="263"/>
        <v xml:space="preserve"> </v>
      </c>
      <c r="H385" s="12">
        <v>0</v>
      </c>
      <c r="I385" s="16" t="str">
        <f>IFERROR(VLOOKUP(G385,Proveedores!B:C,2,0)," ")</f>
        <v xml:space="preserve"> </v>
      </c>
      <c r="J385" s="745">
        <v>0</v>
      </c>
      <c r="K385" s="745" t="str">
        <f t="shared" si="264"/>
        <v>Not Found</v>
      </c>
      <c r="L385" s="16">
        <f>IF(K385="Importado",Fletes!$B$66,0%)</f>
        <v>0</v>
      </c>
      <c r="M385" s="745">
        <f t="shared" si="277"/>
        <v>0</v>
      </c>
      <c r="N385" s="16">
        <f>IF(K385&lt;&gt;"Importado",0%,IF(Fletes!$B$67&lt;10,15%,IF(Fletes!$B$67&lt;20,10%,5%)))</f>
        <v>0</v>
      </c>
      <c r="O385" s="745" t="str">
        <f>IFERROR(IF(OR(F385="Offiho",F385="Lauco Sofas",F385="Requiez",F385="Labenze",F385="Sunon Mty",F385="Sonara"),(M385*(1-_xlfn.XLOOKUP(F385,Proveedores!A:A,Proveedores!I:I)))*(1+N385),((M385*(1-_xlfn.XLOOKUP(F385,Proveedores!A:A,Proveedores!I:I)))*(1+N385))+U385),"")</f>
        <v/>
      </c>
      <c r="P385" s="1031"/>
      <c r="Q385" s="1133">
        <f>IF(K385&lt;&gt;"Importado",0,IF(P385&gt;0,P385*H385,IFERROR(_xlfn.XLOOKUP(F385,Proveedores!A:A,Proveedores!F:F,0)*H385,0)))</f>
        <v>0</v>
      </c>
      <c r="R385" s="1134" t="e">
        <f t="shared" si="278"/>
        <v>#VALUE!</v>
      </c>
      <c r="S385" s="743"/>
      <c r="T385" s="1034" t="e">
        <f t="shared" si="265"/>
        <v>#N/A</v>
      </c>
      <c r="U385" s="1034" t="e">
        <f t="shared" si="279"/>
        <v>#N/A</v>
      </c>
      <c r="V385" s="1165" t="e">
        <f t="shared" si="266"/>
        <v>#N/A</v>
      </c>
      <c r="W385" s="1034" t="e">
        <f t="shared" si="280"/>
        <v>#N/A</v>
      </c>
      <c r="X385" s="1034" t="b">
        <f t="shared" si="281"/>
        <v>0</v>
      </c>
      <c r="Y385" s="1034">
        <f t="shared" si="282"/>
        <v>0</v>
      </c>
      <c r="Z385" s="1034">
        <f t="shared" si="283"/>
        <v>0</v>
      </c>
      <c r="AA385" s="1034">
        <f t="shared" si="267"/>
        <v>0</v>
      </c>
      <c r="AB385" s="1034">
        <f t="shared" si="268"/>
        <v>0</v>
      </c>
      <c r="AC385" s="1033">
        <f t="shared" si="284"/>
        <v>0</v>
      </c>
      <c r="AD385" s="1266">
        <f t="shared" si="269"/>
        <v>0</v>
      </c>
      <c r="AE385" s="1093">
        <f t="shared" si="285"/>
        <v>0</v>
      </c>
      <c r="AF385" s="1093">
        <f t="shared" si="286"/>
        <v>0</v>
      </c>
      <c r="AG385" s="1093">
        <f t="shared" si="270"/>
        <v>0</v>
      </c>
      <c r="AH385" s="1033" t="e">
        <f t="shared" si="271"/>
        <v>#DIV/0!</v>
      </c>
      <c r="AI385" s="1091">
        <f t="shared" si="272"/>
        <v>0</v>
      </c>
      <c r="AJ385" s="1094">
        <f t="shared" si="273"/>
        <v>0</v>
      </c>
      <c r="AK385" s="1053" t="str">
        <f t="shared" si="274"/>
        <v/>
      </c>
      <c r="AL385" s="1053"/>
      <c r="AM385" s="1290">
        <f>_xlfn.XLOOKUP(F385,Proveedores!A:A,Proveedores!G:G)</f>
        <v>0</v>
      </c>
      <c r="AN385" s="1095" t="str">
        <f t="shared" si="287"/>
        <v>OK</v>
      </c>
    </row>
    <row r="386" spans="1:40" ht="15.95">
      <c r="A386" s="1090" t="b">
        <f t="shared" si="262"/>
        <v>1</v>
      </c>
      <c r="B386" s="1091" t="b">
        <f t="shared" si="275"/>
        <v>1</v>
      </c>
      <c r="C386" s="1092" t="str">
        <f t="shared" si="276"/>
        <v>Dólares</v>
      </c>
      <c r="D386" s="15"/>
      <c r="E386" s="743"/>
      <c r="F386" s="17"/>
      <c r="G386" t="str">
        <f t="shared" si="263"/>
        <v xml:space="preserve"> </v>
      </c>
      <c r="H386" s="12">
        <v>0</v>
      </c>
      <c r="I386" s="16" t="str">
        <f>IFERROR(VLOOKUP(G386,Proveedores!B:C,2,0)," ")</f>
        <v xml:space="preserve"> </v>
      </c>
      <c r="J386" s="745">
        <v>0</v>
      </c>
      <c r="K386" s="745" t="str">
        <f t="shared" si="264"/>
        <v>Not Found</v>
      </c>
      <c r="L386" s="16">
        <f>IF(K386="Importado",Fletes!$B$66,0%)</f>
        <v>0</v>
      </c>
      <c r="M386" s="745">
        <f t="shared" si="277"/>
        <v>0</v>
      </c>
      <c r="N386" s="16">
        <f>IF(K386&lt;&gt;"Importado",0%,IF(Fletes!$B$67&lt;10,15%,IF(Fletes!$B$67&lt;20,10%,5%)))</f>
        <v>0</v>
      </c>
      <c r="O386" s="745" t="str">
        <f>IFERROR(IF(OR(F386="Offiho",F386="Lauco Sofas",F386="Requiez",F386="Labenze",F386="Sunon Mty",F386="Sonara"),(M386*(1-_xlfn.XLOOKUP(F386,Proveedores!A:A,Proveedores!I:I)))*(1+N386),((M386*(1-_xlfn.XLOOKUP(F386,Proveedores!A:A,Proveedores!I:I)))*(1+N386))+U386),"")</f>
        <v/>
      </c>
      <c r="P386" s="1031"/>
      <c r="Q386" s="1133">
        <f>IF(K386&lt;&gt;"Importado",0,IF(P386&gt;0,P386*H386,IFERROR(_xlfn.XLOOKUP(F386,Proveedores!A:A,Proveedores!F:F,0)*H386,0)))</f>
        <v>0</v>
      </c>
      <c r="R386" s="1134" t="e">
        <f t="shared" si="278"/>
        <v>#VALUE!</v>
      </c>
      <c r="S386" s="743"/>
      <c r="T386" s="1034" t="e">
        <f t="shared" si="265"/>
        <v>#N/A</v>
      </c>
      <c r="U386" s="1034" t="e">
        <f t="shared" si="279"/>
        <v>#N/A</v>
      </c>
      <c r="V386" s="1165" t="e">
        <f t="shared" si="266"/>
        <v>#N/A</v>
      </c>
      <c r="W386" s="1034" t="e">
        <f t="shared" si="280"/>
        <v>#N/A</v>
      </c>
      <c r="X386" s="1034" t="b">
        <f t="shared" si="281"/>
        <v>0</v>
      </c>
      <c r="Y386" s="1034">
        <f t="shared" si="282"/>
        <v>0</v>
      </c>
      <c r="Z386" s="1034">
        <f t="shared" si="283"/>
        <v>0</v>
      </c>
      <c r="AA386" s="1034">
        <f t="shared" si="267"/>
        <v>0</v>
      </c>
      <c r="AB386" s="1034">
        <f t="shared" si="268"/>
        <v>0</v>
      </c>
      <c r="AC386" s="1033">
        <f t="shared" si="284"/>
        <v>0</v>
      </c>
      <c r="AD386" s="1266">
        <f t="shared" si="269"/>
        <v>0</v>
      </c>
      <c r="AE386" s="1093">
        <f t="shared" si="285"/>
        <v>0</v>
      </c>
      <c r="AF386" s="1093">
        <f t="shared" si="286"/>
        <v>0</v>
      </c>
      <c r="AG386" s="1093">
        <f t="shared" si="270"/>
        <v>0</v>
      </c>
      <c r="AH386" s="1033" t="e">
        <f t="shared" si="271"/>
        <v>#DIV/0!</v>
      </c>
      <c r="AI386" s="1091">
        <f t="shared" si="272"/>
        <v>0</v>
      </c>
      <c r="AJ386" s="1094">
        <f t="shared" si="273"/>
        <v>0</v>
      </c>
      <c r="AK386" s="1053" t="str">
        <f t="shared" si="274"/>
        <v/>
      </c>
      <c r="AL386" s="1053"/>
      <c r="AM386" s="1290">
        <f>_xlfn.XLOOKUP(F386,Proveedores!A:A,Proveedores!G:G)</f>
        <v>0</v>
      </c>
      <c r="AN386" s="1095" t="str">
        <f t="shared" si="287"/>
        <v>OK</v>
      </c>
    </row>
    <row r="387" spans="1:40" ht="15.95">
      <c r="A387" s="1090" t="b">
        <f t="shared" si="262"/>
        <v>1</v>
      </c>
      <c r="B387" s="1091" t="b">
        <f t="shared" si="275"/>
        <v>1</v>
      </c>
      <c r="C387" s="1092" t="str">
        <f t="shared" si="276"/>
        <v>Dólares</v>
      </c>
      <c r="D387" s="14"/>
      <c r="E387" s="743"/>
      <c r="F387" s="17"/>
      <c r="G387" t="str">
        <f t="shared" si="263"/>
        <v xml:space="preserve"> </v>
      </c>
      <c r="H387" s="12">
        <v>0</v>
      </c>
      <c r="I387" s="16" t="str">
        <f>IFERROR(VLOOKUP(G387,Proveedores!B:C,2,0)," ")</f>
        <v xml:space="preserve"> </v>
      </c>
      <c r="J387" s="745">
        <v>0</v>
      </c>
      <c r="K387" s="745" t="str">
        <f t="shared" si="264"/>
        <v>Not Found</v>
      </c>
      <c r="L387" s="16">
        <f>IF(K387="Importado",Fletes!$B$66,0%)</f>
        <v>0</v>
      </c>
      <c r="M387" s="745">
        <f t="shared" si="277"/>
        <v>0</v>
      </c>
      <c r="N387" s="16">
        <f>IF(K387&lt;&gt;"Importado",0%,IF(Fletes!$B$67&lt;10,15%,IF(Fletes!$B$67&lt;20,10%,5%)))</f>
        <v>0</v>
      </c>
      <c r="O387" s="745" t="str">
        <f>IFERROR(IF(OR(F387="Offiho",F387="Lauco Sofas",F387="Requiez",F387="Labenze",F387="Sunon Mty",F387="Sonara"),(M387*(1-_xlfn.XLOOKUP(F387,Proveedores!A:A,Proveedores!I:I)))*(1+N387),((M387*(1-_xlfn.XLOOKUP(F387,Proveedores!A:A,Proveedores!I:I)))*(1+N387))+U387),"")</f>
        <v/>
      </c>
      <c r="P387" s="1031"/>
      <c r="Q387" s="1133">
        <f>IF(K387&lt;&gt;"Importado",0,IF(P387&gt;0,P387*H387,IFERROR(_xlfn.XLOOKUP(F387,Proveedores!A:A,Proveedores!F:F,0)*H387,0)))</f>
        <v>0</v>
      </c>
      <c r="R387" s="1134" t="e">
        <f t="shared" si="278"/>
        <v>#VALUE!</v>
      </c>
      <c r="S387" s="743"/>
      <c r="T387" s="1034" t="e">
        <f t="shared" si="265"/>
        <v>#N/A</v>
      </c>
      <c r="U387" s="1034" t="e">
        <f t="shared" si="279"/>
        <v>#N/A</v>
      </c>
      <c r="V387" s="1165" t="e">
        <f t="shared" si="266"/>
        <v>#N/A</v>
      </c>
      <c r="W387" s="1034" t="e">
        <f t="shared" si="280"/>
        <v>#N/A</v>
      </c>
      <c r="X387" s="1034" t="b">
        <f t="shared" si="281"/>
        <v>0</v>
      </c>
      <c r="Y387" s="1034">
        <f t="shared" si="282"/>
        <v>0</v>
      </c>
      <c r="Z387" s="1034">
        <f t="shared" si="283"/>
        <v>0</v>
      </c>
      <c r="AA387" s="1034">
        <f t="shared" si="267"/>
        <v>0</v>
      </c>
      <c r="AB387" s="1034">
        <f t="shared" si="268"/>
        <v>0</v>
      </c>
      <c r="AC387" s="1033">
        <f t="shared" si="284"/>
        <v>0</v>
      </c>
      <c r="AD387" s="1266">
        <f t="shared" si="269"/>
        <v>0</v>
      </c>
      <c r="AE387" s="1093">
        <f t="shared" si="285"/>
        <v>0</v>
      </c>
      <c r="AF387" s="1093">
        <f t="shared" si="286"/>
        <v>0</v>
      </c>
      <c r="AG387" s="1093">
        <f t="shared" si="270"/>
        <v>0</v>
      </c>
      <c r="AH387" s="1033" t="e">
        <f t="shared" si="271"/>
        <v>#DIV/0!</v>
      </c>
      <c r="AI387" s="1091">
        <f t="shared" si="272"/>
        <v>0</v>
      </c>
      <c r="AJ387" s="1094">
        <f t="shared" si="273"/>
        <v>0</v>
      </c>
      <c r="AK387" s="1053" t="str">
        <f t="shared" si="274"/>
        <v/>
      </c>
      <c r="AL387" s="1053"/>
      <c r="AM387" s="1290">
        <f>_xlfn.XLOOKUP(F387,Proveedores!A:A,Proveedores!G:G)</f>
        <v>0</v>
      </c>
      <c r="AN387" s="1095" t="str">
        <f t="shared" si="287"/>
        <v>OK</v>
      </c>
    </row>
    <row r="388" spans="1:40" ht="15.95">
      <c r="A388" s="1090" t="b">
        <f t="shared" si="262"/>
        <v>1</v>
      </c>
      <c r="B388" s="1091" t="b">
        <f t="shared" si="275"/>
        <v>1</v>
      </c>
      <c r="C388" s="1092" t="str">
        <f t="shared" si="276"/>
        <v>Dólares</v>
      </c>
      <c r="D388" s="14"/>
      <c r="E388" s="743"/>
      <c r="F388" s="17"/>
      <c r="G388" t="str">
        <f t="shared" si="263"/>
        <v xml:space="preserve"> </v>
      </c>
      <c r="H388" s="12">
        <v>0</v>
      </c>
      <c r="I388" s="16" t="str">
        <f>IFERROR(VLOOKUP(G388,Proveedores!B:C,2,0)," ")</f>
        <v xml:space="preserve"> </v>
      </c>
      <c r="J388" s="745">
        <v>0</v>
      </c>
      <c r="K388" s="745" t="str">
        <f t="shared" si="264"/>
        <v>Not Found</v>
      </c>
      <c r="L388" s="16">
        <f>IF(K388="Importado",Fletes!$B$66,0%)</f>
        <v>0</v>
      </c>
      <c r="M388" s="745">
        <f t="shared" si="277"/>
        <v>0</v>
      </c>
      <c r="N388" s="16">
        <f>IF(K388&lt;&gt;"Importado",0%,IF(Fletes!$B$67&lt;10,15%,IF(Fletes!$B$67&lt;20,10%,5%)))</f>
        <v>0</v>
      </c>
      <c r="O388" s="745" t="str">
        <f>IFERROR(IF(OR(F388="Offiho",F388="Lauco Sofas",F388="Requiez",F388="Labenze",F388="Sunon Mty",F388="Sonara"),(M388*(1-_xlfn.XLOOKUP(F388,Proveedores!A:A,Proveedores!I:I)))*(1+N388),((M388*(1-_xlfn.XLOOKUP(F388,Proveedores!A:A,Proveedores!I:I)))*(1+N388))+U388),"")</f>
        <v/>
      </c>
      <c r="P388" s="1031"/>
      <c r="Q388" s="1133">
        <f>IF(K388&lt;&gt;"Importado",0,IF(P388&gt;0,P388*H388,IFERROR(_xlfn.XLOOKUP(F388,Proveedores!A:A,Proveedores!F:F,0)*H388,0)))</f>
        <v>0</v>
      </c>
      <c r="R388" s="1134" t="e">
        <f t="shared" si="278"/>
        <v>#VALUE!</v>
      </c>
      <c r="S388" s="743"/>
      <c r="T388" s="1034" t="e">
        <f t="shared" si="265"/>
        <v>#N/A</v>
      </c>
      <c r="U388" s="1034" t="e">
        <f t="shared" si="279"/>
        <v>#N/A</v>
      </c>
      <c r="V388" s="1165" t="e">
        <f t="shared" si="266"/>
        <v>#N/A</v>
      </c>
      <c r="W388" s="1034" t="e">
        <f t="shared" si="280"/>
        <v>#N/A</v>
      </c>
      <c r="X388" s="1034" t="b">
        <f t="shared" si="281"/>
        <v>0</v>
      </c>
      <c r="Y388" s="1034">
        <f t="shared" si="282"/>
        <v>0</v>
      </c>
      <c r="Z388" s="1034">
        <f t="shared" si="283"/>
        <v>0</v>
      </c>
      <c r="AA388" s="1034">
        <f t="shared" si="267"/>
        <v>0</v>
      </c>
      <c r="AB388" s="1034">
        <f t="shared" si="268"/>
        <v>0</v>
      </c>
      <c r="AC388" s="1033">
        <f t="shared" si="284"/>
        <v>0</v>
      </c>
      <c r="AD388" s="1266">
        <f t="shared" si="269"/>
        <v>0</v>
      </c>
      <c r="AE388" s="1093">
        <f t="shared" si="285"/>
        <v>0</v>
      </c>
      <c r="AF388" s="1093">
        <f t="shared" si="286"/>
        <v>0</v>
      </c>
      <c r="AG388" s="1093">
        <f t="shared" si="270"/>
        <v>0</v>
      </c>
      <c r="AH388" s="1033" t="e">
        <f t="shared" si="271"/>
        <v>#DIV/0!</v>
      </c>
      <c r="AI388" s="1091">
        <f t="shared" si="272"/>
        <v>0</v>
      </c>
      <c r="AJ388" s="1094">
        <f t="shared" si="273"/>
        <v>0</v>
      </c>
      <c r="AK388" s="1053" t="str">
        <f t="shared" si="274"/>
        <v/>
      </c>
      <c r="AL388" s="1053"/>
      <c r="AM388" s="1290">
        <f>_xlfn.XLOOKUP(F388,Proveedores!A:A,Proveedores!G:G)</f>
        <v>0</v>
      </c>
      <c r="AN388" s="1095" t="str">
        <f t="shared" si="287"/>
        <v>OK</v>
      </c>
    </row>
    <row r="389" spans="1:40" ht="15.95">
      <c r="A389" s="1090" t="b">
        <f t="shared" si="262"/>
        <v>1</v>
      </c>
      <c r="B389" s="1091" t="b">
        <f t="shared" si="275"/>
        <v>1</v>
      </c>
      <c r="C389" s="1092" t="str">
        <f t="shared" si="276"/>
        <v>Dólares</v>
      </c>
      <c r="D389" s="14"/>
      <c r="E389" s="743"/>
      <c r="F389" s="17"/>
      <c r="G389" t="str">
        <f t="shared" si="263"/>
        <v xml:space="preserve"> </v>
      </c>
      <c r="H389" s="12">
        <v>0</v>
      </c>
      <c r="I389" s="16" t="str">
        <f>IFERROR(VLOOKUP(G389,Proveedores!B:C,2,0)," ")</f>
        <v xml:space="preserve"> </v>
      </c>
      <c r="J389" s="745">
        <v>0</v>
      </c>
      <c r="K389" s="745" t="str">
        <f t="shared" si="264"/>
        <v>Not Found</v>
      </c>
      <c r="L389" s="16">
        <f>IF(K389="Importado",Fletes!$B$66,0%)</f>
        <v>0</v>
      </c>
      <c r="M389" s="745">
        <f t="shared" si="277"/>
        <v>0</v>
      </c>
      <c r="N389" s="16">
        <f>IF(K389&lt;&gt;"Importado",0%,IF(Fletes!$B$67&lt;10,15%,IF(Fletes!$B$67&lt;20,10%,5%)))</f>
        <v>0</v>
      </c>
      <c r="O389" s="745" t="str">
        <f>IFERROR(IF(OR(F389="Offiho",F389="Lauco Sofas",F389="Requiez",F389="Labenze",F389="Sunon Mty",F389="Sonara"),(M389*(1-_xlfn.XLOOKUP(F389,Proveedores!A:A,Proveedores!I:I)))*(1+N389),((M389*(1-_xlfn.XLOOKUP(F389,Proveedores!A:A,Proveedores!I:I)))*(1+N389))+U389),"")</f>
        <v/>
      </c>
      <c r="P389" s="1031"/>
      <c r="Q389" s="1133">
        <f>IF(K389&lt;&gt;"Importado",0,IF(P389&gt;0,P389*H389,IFERROR(_xlfn.XLOOKUP(F389,Proveedores!A:A,Proveedores!F:F,0)*H389,0)))</f>
        <v>0</v>
      </c>
      <c r="R389" s="1134" t="e">
        <f t="shared" si="278"/>
        <v>#VALUE!</v>
      </c>
      <c r="S389" s="743"/>
      <c r="T389" s="1034" t="e">
        <f t="shared" si="265"/>
        <v>#N/A</v>
      </c>
      <c r="U389" s="1034" t="e">
        <f t="shared" si="279"/>
        <v>#N/A</v>
      </c>
      <c r="V389" s="1165" t="e">
        <f t="shared" si="266"/>
        <v>#N/A</v>
      </c>
      <c r="W389" s="1034" t="e">
        <f t="shared" si="280"/>
        <v>#N/A</v>
      </c>
      <c r="X389" s="1034" t="b">
        <f t="shared" si="281"/>
        <v>0</v>
      </c>
      <c r="Y389" s="1034">
        <f t="shared" si="282"/>
        <v>0</v>
      </c>
      <c r="Z389" s="1034">
        <f t="shared" si="283"/>
        <v>0</v>
      </c>
      <c r="AA389" s="1034">
        <f t="shared" si="267"/>
        <v>0</v>
      </c>
      <c r="AB389" s="1034">
        <f t="shared" si="268"/>
        <v>0</v>
      </c>
      <c r="AC389" s="1033">
        <f t="shared" si="284"/>
        <v>0</v>
      </c>
      <c r="AD389" s="1266">
        <f t="shared" si="269"/>
        <v>0</v>
      </c>
      <c r="AE389" s="1093">
        <f t="shared" si="285"/>
        <v>0</v>
      </c>
      <c r="AF389" s="1093">
        <f t="shared" si="286"/>
        <v>0</v>
      </c>
      <c r="AG389" s="1093">
        <f t="shared" si="270"/>
        <v>0</v>
      </c>
      <c r="AH389" s="1033" t="e">
        <f t="shared" si="271"/>
        <v>#DIV/0!</v>
      </c>
      <c r="AI389" s="1091">
        <f t="shared" si="272"/>
        <v>0</v>
      </c>
      <c r="AJ389" s="1094">
        <f t="shared" si="273"/>
        <v>0</v>
      </c>
      <c r="AK389" s="1053" t="str">
        <f t="shared" si="274"/>
        <v/>
      </c>
      <c r="AL389" s="1053"/>
      <c r="AM389" s="1290">
        <f>_xlfn.XLOOKUP(F389,Proveedores!A:A,Proveedores!G:G)</f>
        <v>0</v>
      </c>
      <c r="AN389" s="1095" t="str">
        <f t="shared" si="287"/>
        <v>OK</v>
      </c>
    </row>
    <row r="390" spans="1:40" ht="15.95">
      <c r="A390" s="1090" t="b">
        <f t="shared" si="262"/>
        <v>1</v>
      </c>
      <c r="B390" s="1091" t="b">
        <f t="shared" si="275"/>
        <v>1</v>
      </c>
      <c r="C390" s="1092" t="str">
        <f t="shared" si="276"/>
        <v>Dólares</v>
      </c>
      <c r="D390" s="15"/>
      <c r="E390" s="743"/>
      <c r="F390" s="17"/>
      <c r="G390" s="17" t="str">
        <f t="shared" si="263"/>
        <v xml:space="preserve"> </v>
      </c>
      <c r="H390" s="12">
        <v>0</v>
      </c>
      <c r="I390" s="16" t="str">
        <f>IFERROR(VLOOKUP(G390,Proveedores!B:C,2,0)," ")</f>
        <v xml:space="preserve"> </v>
      </c>
      <c r="J390" s="745">
        <v>0</v>
      </c>
      <c r="K390" s="745" t="str">
        <f t="shared" si="264"/>
        <v>Not Found</v>
      </c>
      <c r="L390" s="16">
        <f>IF(K390="Importado",Fletes!$B$66,0%)</f>
        <v>0</v>
      </c>
      <c r="M390" s="745">
        <f t="shared" si="277"/>
        <v>0</v>
      </c>
      <c r="N390" s="16">
        <f>IF(K390&lt;&gt;"Importado",0%,IF(Fletes!$B$67&lt;10,15%,IF(Fletes!$B$67&lt;20,10%,5%)))</f>
        <v>0</v>
      </c>
      <c r="O390" s="745" t="str">
        <f>IFERROR(IF(OR(F390="Offiho",F390="Lauco Sofas",F390="Requiez",F390="Labenze",F390="Sunon Mty",F390="Sonara"),(M390*(1-_xlfn.XLOOKUP(F390,Proveedores!A:A,Proveedores!I:I)))*(1+N390),((M390*(1-_xlfn.XLOOKUP(F390,Proveedores!A:A,Proveedores!I:I)))*(1+N390))+U390),"")</f>
        <v/>
      </c>
      <c r="P390" s="1031"/>
      <c r="Q390" s="1133">
        <f>IF(K390&lt;&gt;"Importado",0,IF(P390&gt;0,P390*H390,IFERROR(_xlfn.XLOOKUP(F390,Proveedores!A:A,Proveedores!F:F,0)*H390,0)))</f>
        <v>0</v>
      </c>
      <c r="R390" s="1134" t="e">
        <f t="shared" si="278"/>
        <v>#VALUE!</v>
      </c>
      <c r="S390" s="743"/>
      <c r="T390" s="1034" t="e">
        <f t="shared" si="265"/>
        <v>#N/A</v>
      </c>
      <c r="U390" s="1034" t="e">
        <f t="shared" si="279"/>
        <v>#N/A</v>
      </c>
      <c r="V390" s="1165" t="e">
        <f t="shared" si="266"/>
        <v>#N/A</v>
      </c>
      <c r="W390" s="1034" t="e">
        <f t="shared" si="280"/>
        <v>#N/A</v>
      </c>
      <c r="X390" s="1034" t="b">
        <f t="shared" si="281"/>
        <v>0</v>
      </c>
      <c r="Y390" s="1034">
        <f t="shared" si="282"/>
        <v>0</v>
      </c>
      <c r="Z390" s="1034">
        <f t="shared" si="283"/>
        <v>0</v>
      </c>
      <c r="AA390" s="1034">
        <f t="shared" si="267"/>
        <v>0</v>
      </c>
      <c r="AB390" s="1034">
        <f t="shared" si="268"/>
        <v>0</v>
      </c>
      <c r="AC390" s="1033">
        <f t="shared" si="284"/>
        <v>0</v>
      </c>
      <c r="AD390" s="1266">
        <f t="shared" si="269"/>
        <v>0</v>
      </c>
      <c r="AE390" s="1093">
        <f t="shared" si="285"/>
        <v>0</v>
      </c>
      <c r="AF390" s="1093">
        <f t="shared" si="286"/>
        <v>0</v>
      </c>
      <c r="AG390" s="1093">
        <f t="shared" si="270"/>
        <v>0</v>
      </c>
      <c r="AH390" s="1033" t="e">
        <f t="shared" si="271"/>
        <v>#DIV/0!</v>
      </c>
      <c r="AI390" s="1091">
        <f t="shared" si="272"/>
        <v>0</v>
      </c>
      <c r="AJ390" s="1094">
        <f t="shared" si="273"/>
        <v>0</v>
      </c>
      <c r="AK390" s="1053" t="str">
        <f t="shared" si="274"/>
        <v/>
      </c>
      <c r="AL390" s="1053"/>
      <c r="AM390" s="1290">
        <f>_xlfn.XLOOKUP(F390,Proveedores!A:A,Proveedores!G:G)</f>
        <v>0</v>
      </c>
      <c r="AN390" s="1095" t="str">
        <f t="shared" si="287"/>
        <v>OK</v>
      </c>
    </row>
    <row r="391" spans="1:40" ht="15.95">
      <c r="A391" s="1090" t="b">
        <f t="shared" si="262"/>
        <v>1</v>
      </c>
      <c r="B391" s="1091" t="b">
        <f t="shared" si="275"/>
        <v>1</v>
      </c>
      <c r="C391" s="1092" t="str">
        <f t="shared" si="276"/>
        <v>Dólares</v>
      </c>
      <c r="D391" s="15"/>
      <c r="E391" s="743"/>
      <c r="F391" s="17"/>
      <c r="G391" s="17" t="str">
        <f t="shared" si="263"/>
        <v xml:space="preserve"> </v>
      </c>
      <c r="H391" s="12">
        <v>0</v>
      </c>
      <c r="I391" s="16" t="str">
        <f>IFERROR(VLOOKUP(G391,Proveedores!B:C,2,0)," ")</f>
        <v xml:space="preserve"> </v>
      </c>
      <c r="J391" s="745">
        <v>0</v>
      </c>
      <c r="K391" s="745" t="str">
        <f t="shared" si="264"/>
        <v>Not Found</v>
      </c>
      <c r="L391" s="16">
        <f>IF(K391="Importado",Fletes!$B$66,0%)</f>
        <v>0</v>
      </c>
      <c r="M391" s="745">
        <f t="shared" si="277"/>
        <v>0</v>
      </c>
      <c r="N391" s="16">
        <f>IF(K391&lt;&gt;"Importado",0%,IF(Fletes!$B$67&lt;10,15%,IF(Fletes!$B$67&lt;20,10%,5%)))</f>
        <v>0</v>
      </c>
      <c r="O391" s="745" t="str">
        <f>IFERROR(IF(OR(F391="Offiho",F391="Lauco Sofas",F391="Requiez",F391="Labenze",F391="Sunon Mty",F391="Sonara"),(M391*(1-_xlfn.XLOOKUP(F391,Proveedores!A:A,Proveedores!I:I)))*(1+N391),((M391*(1-_xlfn.XLOOKUP(F391,Proveedores!A:A,Proveedores!I:I)))*(1+N391))+U391),"")</f>
        <v/>
      </c>
      <c r="P391" s="1031"/>
      <c r="Q391" s="1133">
        <f>IF(K391&lt;&gt;"Importado",0,IF(P391&gt;0,P391*H391,IFERROR(_xlfn.XLOOKUP(F391,Proveedores!A:A,Proveedores!F:F,0)*H391,0)))</f>
        <v>0</v>
      </c>
      <c r="R391" s="1134" t="e">
        <f t="shared" si="278"/>
        <v>#VALUE!</v>
      </c>
      <c r="S391" s="743"/>
      <c r="T391" s="1034" t="e">
        <f t="shared" si="265"/>
        <v>#N/A</v>
      </c>
      <c r="U391" s="1034" t="e">
        <f t="shared" si="279"/>
        <v>#N/A</v>
      </c>
      <c r="V391" s="1165" t="e">
        <f t="shared" si="266"/>
        <v>#N/A</v>
      </c>
      <c r="W391" s="1034" t="e">
        <f t="shared" si="280"/>
        <v>#N/A</v>
      </c>
      <c r="X391" s="1034" t="b">
        <f t="shared" si="281"/>
        <v>0</v>
      </c>
      <c r="Y391" s="1034">
        <f t="shared" si="282"/>
        <v>0</v>
      </c>
      <c r="Z391" s="1034">
        <f t="shared" si="283"/>
        <v>0</v>
      </c>
      <c r="AA391" s="1034">
        <f t="shared" si="267"/>
        <v>0</v>
      </c>
      <c r="AB391" s="1034">
        <f t="shared" si="268"/>
        <v>0</v>
      </c>
      <c r="AC391" s="1033">
        <f t="shared" si="284"/>
        <v>0</v>
      </c>
      <c r="AD391" s="1266">
        <f t="shared" si="269"/>
        <v>0</v>
      </c>
      <c r="AE391" s="1093">
        <f t="shared" si="285"/>
        <v>0</v>
      </c>
      <c r="AF391" s="1093">
        <f t="shared" si="286"/>
        <v>0</v>
      </c>
      <c r="AG391" s="1093">
        <f t="shared" si="270"/>
        <v>0</v>
      </c>
      <c r="AH391" s="1033" t="e">
        <f t="shared" si="271"/>
        <v>#DIV/0!</v>
      </c>
      <c r="AI391" s="1091">
        <f t="shared" si="272"/>
        <v>0</v>
      </c>
      <c r="AJ391" s="1094">
        <f t="shared" si="273"/>
        <v>0</v>
      </c>
      <c r="AK391" s="1053" t="str">
        <f t="shared" si="274"/>
        <v/>
      </c>
      <c r="AL391" s="1053"/>
      <c r="AM391" s="1290">
        <f>_xlfn.XLOOKUP(F391,Proveedores!A:A,Proveedores!G:G)</f>
        <v>0</v>
      </c>
      <c r="AN391" s="1095" t="str">
        <f t="shared" si="287"/>
        <v>OK</v>
      </c>
    </row>
    <row r="392" spans="1:40" ht="15.95">
      <c r="A392" s="1090" t="b">
        <f t="shared" si="262"/>
        <v>1</v>
      </c>
      <c r="B392" s="1091" t="b">
        <f t="shared" si="275"/>
        <v>1</v>
      </c>
      <c r="C392" s="1092" t="str">
        <f t="shared" si="276"/>
        <v>Dólares</v>
      </c>
      <c r="D392" s="14"/>
      <c r="E392" s="743"/>
      <c r="F392" s="17"/>
      <c r="G392" s="17" t="str">
        <f t="shared" si="263"/>
        <v xml:space="preserve"> </v>
      </c>
      <c r="H392" s="12">
        <v>0</v>
      </c>
      <c r="I392" s="16" t="str">
        <f>IFERROR(VLOOKUP(G392,Proveedores!B:C,2,0)," ")</f>
        <v xml:space="preserve"> </v>
      </c>
      <c r="J392" s="745">
        <v>0</v>
      </c>
      <c r="K392" s="745" t="str">
        <f t="shared" si="264"/>
        <v>Not Found</v>
      </c>
      <c r="L392" s="16">
        <f>IF(K392="Importado",Fletes!$B$66,0%)</f>
        <v>0</v>
      </c>
      <c r="M392" s="745">
        <f t="shared" si="277"/>
        <v>0</v>
      </c>
      <c r="N392" s="16">
        <f>IF(K392&lt;&gt;"Importado",0%,IF(Fletes!$B$67&lt;10,15%,IF(Fletes!$B$67&lt;20,10%,5%)))</f>
        <v>0</v>
      </c>
      <c r="O392" s="745" t="str">
        <f>IFERROR(IF(OR(F392="Offiho",F392="Lauco Sofas",F392="Requiez",F392="Labenze",F392="Sunon Mty",F392="Sonara"),(M392*(1-_xlfn.XLOOKUP(F392,Proveedores!A:A,Proveedores!I:I)))*(1+N392),((M392*(1-_xlfn.XLOOKUP(F392,Proveedores!A:A,Proveedores!I:I)))*(1+N392))+U392),"")</f>
        <v/>
      </c>
      <c r="P392" s="1031"/>
      <c r="Q392" s="1133">
        <f>IF(K392&lt;&gt;"Importado",0,IF(P392&gt;0,P392*H392,IFERROR(_xlfn.XLOOKUP(F392,Proveedores!A:A,Proveedores!F:F,0)*H392,0)))</f>
        <v>0</v>
      </c>
      <c r="R392" s="1134" t="e">
        <f t="shared" si="278"/>
        <v>#VALUE!</v>
      </c>
      <c r="S392" s="743"/>
      <c r="T392" s="1034" t="e">
        <f t="shared" si="265"/>
        <v>#N/A</v>
      </c>
      <c r="U392" s="1034" t="e">
        <f t="shared" si="279"/>
        <v>#N/A</v>
      </c>
      <c r="V392" s="1165" t="e">
        <f t="shared" si="266"/>
        <v>#N/A</v>
      </c>
      <c r="W392" s="1034" t="e">
        <f t="shared" si="280"/>
        <v>#N/A</v>
      </c>
      <c r="X392" s="1034" t="b">
        <f t="shared" si="281"/>
        <v>0</v>
      </c>
      <c r="Y392" s="1034">
        <f t="shared" si="282"/>
        <v>0</v>
      </c>
      <c r="Z392" s="1034">
        <f t="shared" si="283"/>
        <v>0</v>
      </c>
      <c r="AA392" s="1034">
        <f t="shared" si="267"/>
        <v>0</v>
      </c>
      <c r="AB392" s="1034">
        <f t="shared" si="268"/>
        <v>0</v>
      </c>
      <c r="AC392" s="1033">
        <f t="shared" si="284"/>
        <v>0</v>
      </c>
      <c r="AD392" s="1266">
        <f t="shared" si="269"/>
        <v>0</v>
      </c>
      <c r="AE392" s="1093">
        <f t="shared" si="285"/>
        <v>0</v>
      </c>
      <c r="AF392" s="1093">
        <f t="shared" si="286"/>
        <v>0</v>
      </c>
      <c r="AG392" s="1093">
        <f t="shared" si="270"/>
        <v>0</v>
      </c>
      <c r="AH392" s="1033" t="e">
        <f t="shared" si="271"/>
        <v>#DIV/0!</v>
      </c>
      <c r="AI392" s="1091">
        <f t="shared" si="272"/>
        <v>0</v>
      </c>
      <c r="AJ392" s="1094">
        <f t="shared" si="273"/>
        <v>0</v>
      </c>
      <c r="AK392" s="1053" t="str">
        <f t="shared" si="274"/>
        <v/>
      </c>
      <c r="AL392" s="1053"/>
      <c r="AM392" s="1290">
        <f>_xlfn.XLOOKUP(F392,Proveedores!A:A,Proveedores!G:G)</f>
        <v>0</v>
      </c>
      <c r="AN392" s="1095" t="str">
        <f t="shared" si="287"/>
        <v>OK</v>
      </c>
    </row>
    <row r="393" spans="1:40" ht="15.95">
      <c r="A393" s="1090" t="b">
        <f t="shared" si="262"/>
        <v>1</v>
      </c>
      <c r="B393" s="1091" t="b">
        <f t="shared" si="275"/>
        <v>1</v>
      </c>
      <c r="C393" s="1092" t="str">
        <f t="shared" si="276"/>
        <v>Dólares</v>
      </c>
      <c r="D393" s="14"/>
      <c r="E393" s="743"/>
      <c r="F393" s="17"/>
      <c r="G393" s="17" t="str">
        <f t="shared" si="263"/>
        <v xml:space="preserve"> </v>
      </c>
      <c r="H393" s="12">
        <v>0</v>
      </c>
      <c r="I393" s="16" t="str">
        <f>IFERROR(VLOOKUP(G393,Proveedores!B:C,2,0)," ")</f>
        <v xml:space="preserve"> </v>
      </c>
      <c r="J393" s="745">
        <v>0</v>
      </c>
      <c r="K393" s="745" t="str">
        <f t="shared" si="264"/>
        <v>Not Found</v>
      </c>
      <c r="L393" s="16">
        <f>IF(K393="Importado",Fletes!$B$66,0%)</f>
        <v>0</v>
      </c>
      <c r="M393" s="745">
        <f t="shared" si="277"/>
        <v>0</v>
      </c>
      <c r="N393" s="16">
        <f>IF(K393&lt;&gt;"Importado",0%,IF(Fletes!$B$67&lt;10,15%,IF(Fletes!$B$67&lt;20,10%,5%)))</f>
        <v>0</v>
      </c>
      <c r="O393" s="745" t="str">
        <f>IFERROR(IF(OR(F393="Offiho",F393="Lauco Sofas",F393="Requiez",F393="Labenze",F393="Sunon Mty",F393="Sonara"),(M393*(1-_xlfn.XLOOKUP(F393,Proveedores!A:A,Proveedores!I:I)))*(1+N393),((M393*(1-_xlfn.XLOOKUP(F393,Proveedores!A:A,Proveedores!I:I)))*(1+N393))+U393),"")</f>
        <v/>
      </c>
      <c r="P393" s="1031"/>
      <c r="Q393" s="1133">
        <f>IF(K393&lt;&gt;"Importado",0,IF(P393&gt;0,P393*H393,IFERROR(_xlfn.XLOOKUP(F393,Proveedores!A:A,Proveedores!F:F,0)*H393,0)))</f>
        <v>0</v>
      </c>
      <c r="R393" s="1134" t="e">
        <f t="shared" si="278"/>
        <v>#VALUE!</v>
      </c>
      <c r="S393" s="743"/>
      <c r="T393" s="1034" t="e">
        <f t="shared" si="265"/>
        <v>#N/A</v>
      </c>
      <c r="U393" s="1034" t="e">
        <f t="shared" si="279"/>
        <v>#N/A</v>
      </c>
      <c r="V393" s="1165" t="e">
        <f t="shared" si="266"/>
        <v>#N/A</v>
      </c>
      <c r="W393" s="1034" t="e">
        <f t="shared" si="280"/>
        <v>#N/A</v>
      </c>
      <c r="X393" s="1034" t="b">
        <f t="shared" si="281"/>
        <v>0</v>
      </c>
      <c r="Y393" s="1034">
        <f t="shared" si="282"/>
        <v>0</v>
      </c>
      <c r="Z393" s="1034">
        <f t="shared" si="283"/>
        <v>0</v>
      </c>
      <c r="AA393" s="1034">
        <f t="shared" si="267"/>
        <v>0</v>
      </c>
      <c r="AB393" s="1034">
        <f t="shared" si="268"/>
        <v>0</v>
      </c>
      <c r="AC393" s="1033">
        <f t="shared" si="284"/>
        <v>0</v>
      </c>
      <c r="AD393" s="1266">
        <f t="shared" si="269"/>
        <v>0</v>
      </c>
      <c r="AE393" s="1093">
        <f t="shared" si="285"/>
        <v>0</v>
      </c>
      <c r="AF393" s="1093">
        <f t="shared" si="286"/>
        <v>0</v>
      </c>
      <c r="AG393" s="1093">
        <f t="shared" si="270"/>
        <v>0</v>
      </c>
      <c r="AH393" s="1033" t="e">
        <f t="shared" si="271"/>
        <v>#DIV/0!</v>
      </c>
      <c r="AI393" s="1091">
        <f t="shared" si="272"/>
        <v>0</v>
      </c>
      <c r="AJ393" s="1094">
        <f t="shared" si="273"/>
        <v>0</v>
      </c>
      <c r="AK393" s="1053" t="str">
        <f t="shared" si="274"/>
        <v/>
      </c>
      <c r="AL393" s="1053"/>
      <c r="AM393" s="1290">
        <f>_xlfn.XLOOKUP(F393,Proveedores!A:A,Proveedores!G:G)</f>
        <v>0</v>
      </c>
      <c r="AN393" s="1095" t="str">
        <f t="shared" si="287"/>
        <v>OK</v>
      </c>
    </row>
    <row r="394" spans="1:40" ht="15.95">
      <c r="A394" s="1090" t="b">
        <f t="shared" si="262"/>
        <v>1</v>
      </c>
      <c r="B394" s="1091" t="b">
        <f t="shared" si="275"/>
        <v>1</v>
      </c>
      <c r="C394" s="1092" t="str">
        <f t="shared" si="276"/>
        <v>Dólares</v>
      </c>
      <c r="D394" s="14"/>
      <c r="E394" s="743"/>
      <c r="F394" s="17"/>
      <c r="G394" s="17" t="str">
        <f t="shared" si="263"/>
        <v xml:space="preserve"> </v>
      </c>
      <c r="H394" s="12">
        <v>0</v>
      </c>
      <c r="I394" s="16" t="str">
        <f>IFERROR(VLOOKUP(G394,Proveedores!B:C,2,0)," ")</f>
        <v xml:space="preserve"> </v>
      </c>
      <c r="J394" s="745">
        <v>0</v>
      </c>
      <c r="K394" s="745" t="str">
        <f t="shared" si="264"/>
        <v>Not Found</v>
      </c>
      <c r="L394" s="16">
        <f>IF(K394="Importado",Fletes!$B$66,0%)</f>
        <v>0</v>
      </c>
      <c r="M394" s="745">
        <f t="shared" si="277"/>
        <v>0</v>
      </c>
      <c r="N394" s="16">
        <f>IF(K394&lt;&gt;"Importado",0%,IF(Fletes!$B$67&lt;10,15%,IF(Fletes!$B$67&lt;20,10%,5%)))</f>
        <v>0</v>
      </c>
      <c r="O394" s="745" t="str">
        <f>IFERROR(IF(OR(F394="Offiho",F394="Lauco Sofas",F394="Requiez",F394="Labenze",F394="Sunon Mty",F394="Sonara"),(M394*(1-_xlfn.XLOOKUP(F394,Proveedores!A:A,Proveedores!I:I)))*(1+N394),((M394*(1-_xlfn.XLOOKUP(F394,Proveedores!A:A,Proveedores!I:I)))*(1+N394))+U394),"")</f>
        <v/>
      </c>
      <c r="P394" s="1031"/>
      <c r="Q394" s="1133">
        <f>IF(K394&lt;&gt;"Importado",0,IF(P394&gt;0,P394*H394,IFERROR(_xlfn.XLOOKUP(F394,Proveedores!A:A,Proveedores!F:F,0)*H394,0)))</f>
        <v>0</v>
      </c>
      <c r="R394" s="1134" t="e">
        <f t="shared" si="278"/>
        <v>#VALUE!</v>
      </c>
      <c r="S394" s="743"/>
      <c r="T394" s="1034" t="e">
        <f t="shared" si="265"/>
        <v>#N/A</v>
      </c>
      <c r="U394" s="1034" t="e">
        <f t="shared" si="279"/>
        <v>#N/A</v>
      </c>
      <c r="V394" s="1165" t="e">
        <f t="shared" si="266"/>
        <v>#N/A</v>
      </c>
      <c r="W394" s="1034" t="e">
        <f t="shared" si="280"/>
        <v>#N/A</v>
      </c>
      <c r="X394" s="1034" t="b">
        <f t="shared" si="281"/>
        <v>0</v>
      </c>
      <c r="Y394" s="1034">
        <f t="shared" si="282"/>
        <v>0</v>
      </c>
      <c r="Z394" s="1034">
        <f t="shared" si="283"/>
        <v>0</v>
      </c>
      <c r="AA394" s="1034">
        <f t="shared" si="267"/>
        <v>0</v>
      </c>
      <c r="AB394" s="1034">
        <f t="shared" si="268"/>
        <v>0</v>
      </c>
      <c r="AC394" s="1033">
        <f t="shared" si="284"/>
        <v>0</v>
      </c>
      <c r="AD394" s="1266">
        <f t="shared" si="269"/>
        <v>0</v>
      </c>
      <c r="AE394" s="1093">
        <f t="shared" si="285"/>
        <v>0</v>
      </c>
      <c r="AF394" s="1093">
        <f t="shared" si="286"/>
        <v>0</v>
      </c>
      <c r="AG394" s="1093">
        <f t="shared" si="270"/>
        <v>0</v>
      </c>
      <c r="AH394" s="1033" t="e">
        <f t="shared" si="271"/>
        <v>#DIV/0!</v>
      </c>
      <c r="AI394" s="1091">
        <f t="shared" si="272"/>
        <v>0</v>
      </c>
      <c r="AJ394" s="1094">
        <f t="shared" si="273"/>
        <v>0</v>
      </c>
      <c r="AK394" s="1053" t="str">
        <f t="shared" si="274"/>
        <v/>
      </c>
      <c r="AL394" s="1053"/>
      <c r="AM394" s="1290">
        <f>_xlfn.XLOOKUP(F394,Proveedores!A:A,Proveedores!G:G)</f>
        <v>0</v>
      </c>
      <c r="AN394" s="1095" t="str">
        <f t="shared" si="287"/>
        <v>OK</v>
      </c>
    </row>
    <row r="395" spans="1:40" ht="15.95">
      <c r="A395" s="1090" t="b">
        <f t="shared" si="262"/>
        <v>1</v>
      </c>
      <c r="B395" s="1091" t="b">
        <f t="shared" si="275"/>
        <v>1</v>
      </c>
      <c r="C395" s="1092" t="str">
        <f t="shared" si="276"/>
        <v>Dólares</v>
      </c>
      <c r="D395" s="14"/>
      <c r="E395" s="743"/>
      <c r="F395" s="17"/>
      <c r="G395" s="17" t="str">
        <f t="shared" si="263"/>
        <v xml:space="preserve"> </v>
      </c>
      <c r="H395" s="12">
        <v>0</v>
      </c>
      <c r="I395" s="16" t="str">
        <f>IFERROR(VLOOKUP(G395,Proveedores!B:C,2,0)," ")</f>
        <v xml:space="preserve"> </v>
      </c>
      <c r="J395" s="745">
        <v>0</v>
      </c>
      <c r="K395" s="745" t="str">
        <f t="shared" si="264"/>
        <v>Not Found</v>
      </c>
      <c r="L395" s="16">
        <f>IF(K395="Importado",Fletes!$B$66,0%)</f>
        <v>0</v>
      </c>
      <c r="M395" s="745">
        <f t="shared" si="277"/>
        <v>0</v>
      </c>
      <c r="N395" s="16">
        <f>IF(K395&lt;&gt;"Importado",0%,IF(Fletes!$B$67&lt;10,15%,IF(Fletes!$B$67&lt;20,10%,5%)))</f>
        <v>0</v>
      </c>
      <c r="O395" s="745" t="str">
        <f>IFERROR(IF(OR(F395="Offiho",F395="Lauco Sofas",F395="Requiez",F395="Labenze",F395="Sunon Mty",F395="Sonara"),(M395*(1-_xlfn.XLOOKUP(F395,Proveedores!A:A,Proveedores!I:I)))*(1+N395),((M395*(1-_xlfn.XLOOKUP(F395,Proveedores!A:A,Proveedores!I:I)))*(1+N395))+U395),"")</f>
        <v/>
      </c>
      <c r="P395" s="1031"/>
      <c r="Q395" s="1133">
        <f>IF(K395&lt;&gt;"Importado",0,IF(P395&gt;0,P395*H395,IFERROR(_xlfn.XLOOKUP(F395,Proveedores!A:A,Proveedores!F:F,0)*H395,0)))</f>
        <v>0</v>
      </c>
      <c r="R395" s="1134" t="e">
        <f t="shared" si="278"/>
        <v>#VALUE!</v>
      </c>
      <c r="S395" s="743"/>
      <c r="T395" s="1034" t="e">
        <f t="shared" si="265"/>
        <v>#N/A</v>
      </c>
      <c r="U395" s="1034" t="e">
        <f t="shared" si="279"/>
        <v>#N/A</v>
      </c>
      <c r="V395" s="1165" t="e">
        <f t="shared" si="266"/>
        <v>#N/A</v>
      </c>
      <c r="W395" s="1034" t="e">
        <f t="shared" si="280"/>
        <v>#N/A</v>
      </c>
      <c r="X395" s="1034" t="b">
        <f t="shared" si="281"/>
        <v>0</v>
      </c>
      <c r="Y395" s="1034">
        <f t="shared" si="282"/>
        <v>0</v>
      </c>
      <c r="Z395" s="1034">
        <f t="shared" si="283"/>
        <v>0</v>
      </c>
      <c r="AA395" s="1034">
        <f t="shared" si="267"/>
        <v>0</v>
      </c>
      <c r="AB395" s="1034">
        <f t="shared" si="268"/>
        <v>0</v>
      </c>
      <c r="AC395" s="1033">
        <f t="shared" si="284"/>
        <v>0</v>
      </c>
      <c r="AD395" s="1266">
        <f t="shared" si="269"/>
        <v>0</v>
      </c>
      <c r="AE395" s="1093">
        <f t="shared" si="285"/>
        <v>0</v>
      </c>
      <c r="AF395" s="1093">
        <f t="shared" si="286"/>
        <v>0</v>
      </c>
      <c r="AG395" s="1093">
        <f t="shared" si="270"/>
        <v>0</v>
      </c>
      <c r="AH395" s="1033" t="e">
        <f t="shared" si="271"/>
        <v>#DIV/0!</v>
      </c>
      <c r="AI395" s="1091">
        <f t="shared" si="272"/>
        <v>0</v>
      </c>
      <c r="AJ395" s="1094">
        <f t="shared" si="273"/>
        <v>0</v>
      </c>
      <c r="AK395" s="1053" t="str">
        <f t="shared" si="274"/>
        <v/>
      </c>
      <c r="AL395" s="1053"/>
      <c r="AM395" s="1290">
        <f>_xlfn.XLOOKUP(F395,Proveedores!A:A,Proveedores!G:G)</f>
        <v>0</v>
      </c>
      <c r="AN395" s="1095" t="str">
        <f t="shared" si="287"/>
        <v>OK</v>
      </c>
    </row>
    <row r="396" spans="1:40" ht="15.95">
      <c r="A396" s="1090" t="b">
        <f t="shared" si="262"/>
        <v>1</v>
      </c>
      <c r="B396" s="1091" t="b">
        <f t="shared" si="275"/>
        <v>1</v>
      </c>
      <c r="C396" s="1092" t="str">
        <f t="shared" si="276"/>
        <v>Dólares</v>
      </c>
      <c r="D396" s="14"/>
      <c r="E396" s="743"/>
      <c r="F396" s="17"/>
      <c r="G396" s="17" t="str">
        <f t="shared" si="263"/>
        <v xml:space="preserve"> </v>
      </c>
      <c r="H396" s="12">
        <v>0</v>
      </c>
      <c r="I396" s="16" t="str">
        <f>IFERROR(VLOOKUP(G396,Proveedores!B:C,2,0)," ")</f>
        <v xml:space="preserve"> </v>
      </c>
      <c r="J396" s="745">
        <v>0</v>
      </c>
      <c r="K396" s="745" t="str">
        <f t="shared" si="264"/>
        <v>Not Found</v>
      </c>
      <c r="L396" s="16">
        <f>IF(K396="Importado",Fletes!$B$66,0%)</f>
        <v>0</v>
      </c>
      <c r="M396" s="745">
        <f t="shared" si="277"/>
        <v>0</v>
      </c>
      <c r="N396" s="16">
        <f>IF(K396&lt;&gt;"Importado",0%,IF(Fletes!$B$67&lt;10,15%,IF(Fletes!$B$67&lt;20,10%,5%)))</f>
        <v>0</v>
      </c>
      <c r="O396" s="745" t="str">
        <f>IFERROR(IF(OR(F396="Offiho",F396="Lauco Sofas",F396="Requiez",F396="Labenze",F396="Sunon Mty",F396="Sonara"),(M396*(1-_xlfn.XLOOKUP(F396,Proveedores!A:A,Proveedores!I:I)))*(1+N396),((M396*(1-_xlfn.XLOOKUP(F396,Proveedores!A:A,Proveedores!I:I)))*(1+N396))+U396),"")</f>
        <v/>
      </c>
      <c r="P396" s="1031"/>
      <c r="Q396" s="1133">
        <f>IF(K396&lt;&gt;"Importado",0,IF(P396&gt;0,P396*H396,IFERROR(_xlfn.XLOOKUP(F396,Proveedores!A:A,Proveedores!F:F,0)*H396,0)))</f>
        <v>0</v>
      </c>
      <c r="R396" s="1134" t="e">
        <f t="shared" si="278"/>
        <v>#VALUE!</v>
      </c>
      <c r="S396" s="743"/>
      <c r="T396" s="1034" t="e">
        <f t="shared" si="265"/>
        <v>#N/A</v>
      </c>
      <c r="U396" s="1034" t="e">
        <f t="shared" si="279"/>
        <v>#N/A</v>
      </c>
      <c r="V396" s="1165" t="e">
        <f t="shared" si="266"/>
        <v>#N/A</v>
      </c>
      <c r="W396" s="1034" t="e">
        <f t="shared" si="280"/>
        <v>#N/A</v>
      </c>
      <c r="X396" s="1034" t="b">
        <f t="shared" si="281"/>
        <v>0</v>
      </c>
      <c r="Y396" s="1034">
        <f t="shared" si="282"/>
        <v>0</v>
      </c>
      <c r="Z396" s="1034">
        <f t="shared" si="283"/>
        <v>0</v>
      </c>
      <c r="AA396" s="1034">
        <f t="shared" si="267"/>
        <v>0</v>
      </c>
      <c r="AB396" s="1034">
        <f t="shared" si="268"/>
        <v>0</v>
      </c>
      <c r="AC396" s="1033">
        <f t="shared" si="284"/>
        <v>0</v>
      </c>
      <c r="AD396" s="1266">
        <f t="shared" si="269"/>
        <v>0</v>
      </c>
      <c r="AE396" s="1093">
        <f t="shared" si="285"/>
        <v>0</v>
      </c>
      <c r="AF396" s="1093">
        <f t="shared" si="286"/>
        <v>0</v>
      </c>
      <c r="AG396" s="1093">
        <f t="shared" si="270"/>
        <v>0</v>
      </c>
      <c r="AH396" s="1033" t="e">
        <f t="shared" si="271"/>
        <v>#DIV/0!</v>
      </c>
      <c r="AI396" s="1091">
        <f t="shared" si="272"/>
        <v>0</v>
      </c>
      <c r="AJ396" s="1094">
        <f t="shared" si="273"/>
        <v>0</v>
      </c>
      <c r="AK396" s="1053" t="str">
        <f t="shared" si="274"/>
        <v/>
      </c>
      <c r="AL396" s="1053"/>
      <c r="AM396" s="1290">
        <f>_xlfn.XLOOKUP(F396,Proveedores!A:A,Proveedores!G:G)</f>
        <v>0</v>
      </c>
      <c r="AN396" s="1095" t="str">
        <f t="shared" si="287"/>
        <v>OK</v>
      </c>
    </row>
    <row r="397" spans="1:40" ht="15.95">
      <c r="A397" s="1090" t="b">
        <f t="shared" si="262"/>
        <v>1</v>
      </c>
      <c r="B397" s="1091" t="b">
        <f t="shared" si="275"/>
        <v>1</v>
      </c>
      <c r="C397" s="1092" t="str">
        <f t="shared" si="276"/>
        <v>Dólares</v>
      </c>
      <c r="D397" s="14"/>
      <c r="E397" s="743"/>
      <c r="F397" s="17"/>
      <c r="G397" s="17" t="str">
        <f t="shared" si="263"/>
        <v xml:space="preserve"> </v>
      </c>
      <c r="H397" s="12">
        <v>0</v>
      </c>
      <c r="I397" s="16" t="str">
        <f>IFERROR(VLOOKUP(G397,Proveedores!B:C,2,0)," ")</f>
        <v xml:space="preserve"> </v>
      </c>
      <c r="J397" s="745">
        <v>0</v>
      </c>
      <c r="K397" s="745" t="str">
        <f t="shared" si="264"/>
        <v>Not Found</v>
      </c>
      <c r="L397" s="16">
        <f>IF(K397="Importado",Fletes!$B$66,0%)</f>
        <v>0</v>
      </c>
      <c r="M397" s="745">
        <f t="shared" si="277"/>
        <v>0</v>
      </c>
      <c r="N397" s="16">
        <f>IF(K397&lt;&gt;"Importado",0%,IF(Fletes!$B$67&lt;10,15%,IF(Fletes!$B$67&lt;20,10%,5%)))</f>
        <v>0</v>
      </c>
      <c r="O397" s="745" t="str">
        <f>IFERROR(IF(OR(F397="Offiho",F397="Lauco Sofas",F397="Requiez",F397="Labenze",F397="Sunon Mty",F397="Sonara"),(M397*(1-_xlfn.XLOOKUP(F397,Proveedores!A:A,Proveedores!I:I)))*(1+N397),((M397*(1-_xlfn.XLOOKUP(F397,Proveedores!A:A,Proveedores!I:I)))*(1+N397))+U397),"")</f>
        <v/>
      </c>
      <c r="P397" s="1031"/>
      <c r="Q397" s="1133">
        <f>IF(K397&lt;&gt;"Importado",0,IF(P397&gt;0,P397*H397,IFERROR(_xlfn.XLOOKUP(F397,Proveedores!A:A,Proveedores!F:F,0)*H397,0)))</f>
        <v>0</v>
      </c>
      <c r="R397" s="1134" t="e">
        <f t="shared" si="278"/>
        <v>#VALUE!</v>
      </c>
      <c r="S397" s="743"/>
      <c r="T397" s="1034" t="e">
        <f t="shared" si="265"/>
        <v>#N/A</v>
      </c>
      <c r="U397" s="1034" t="e">
        <f t="shared" si="279"/>
        <v>#N/A</v>
      </c>
      <c r="V397" s="1165" t="e">
        <f t="shared" si="266"/>
        <v>#N/A</v>
      </c>
      <c r="W397" s="1034" t="e">
        <f t="shared" si="280"/>
        <v>#N/A</v>
      </c>
      <c r="X397" s="1034" t="b">
        <f t="shared" si="281"/>
        <v>0</v>
      </c>
      <c r="Y397" s="1034">
        <f t="shared" si="282"/>
        <v>0</v>
      </c>
      <c r="Z397" s="1034">
        <f t="shared" si="283"/>
        <v>0</v>
      </c>
      <c r="AA397" s="1034">
        <f t="shared" si="267"/>
        <v>0</v>
      </c>
      <c r="AB397" s="1034">
        <f t="shared" si="268"/>
        <v>0</v>
      </c>
      <c r="AC397" s="1033">
        <f t="shared" si="284"/>
        <v>0</v>
      </c>
      <c r="AD397" s="1266">
        <f t="shared" si="269"/>
        <v>0</v>
      </c>
      <c r="AE397" s="1093">
        <f t="shared" si="285"/>
        <v>0</v>
      </c>
      <c r="AF397" s="1093">
        <f t="shared" si="286"/>
        <v>0</v>
      </c>
      <c r="AG397" s="1093">
        <f t="shared" si="270"/>
        <v>0</v>
      </c>
      <c r="AH397" s="1033" t="str">
        <f t="shared" si="271"/>
        <v>NA</v>
      </c>
      <c r="AI397" s="1091">
        <f t="shared" si="272"/>
        <v>0</v>
      </c>
      <c r="AJ397" s="1094">
        <f t="shared" si="273"/>
        <v>0</v>
      </c>
      <c r="AK397" s="1053" t="str">
        <f t="shared" si="274"/>
        <v/>
      </c>
      <c r="AL397" s="1053"/>
      <c r="AM397" s="1290">
        <f>_xlfn.XLOOKUP(F397,Proveedores!A:A,Proveedores!G:G)</f>
        <v>0</v>
      </c>
      <c r="AN397" s="1095" t="str">
        <f t="shared" si="287"/>
        <v>OK</v>
      </c>
    </row>
    <row r="398" spans="1:40" ht="24" customHeight="1">
      <c r="A398" s="1375" t="s">
        <v>147</v>
      </c>
      <c r="B398" s="1375"/>
      <c r="C398" s="1375"/>
      <c r="D398" s="1375"/>
      <c r="E398" s="1375"/>
      <c r="F398" s="1375"/>
      <c r="G398" s="1099"/>
      <c r="H398" s="1100" cm="1">
        <f t="array" ref="H398">SUM(IFERROR(H365:H397,0))</f>
        <v>0</v>
      </c>
      <c r="I398" s="1099"/>
      <c r="J398" s="1101"/>
      <c r="K398" s="1101"/>
      <c r="L398" s="1101"/>
      <c r="M398" s="1101"/>
      <c r="N398" s="1101"/>
      <c r="O398" s="1101"/>
      <c r="P398" s="1102"/>
      <c r="Q398" s="1100" cm="1">
        <f t="array" ref="Q398">SUM(IFERROR(Q365:Q397,0))</f>
        <v>0</v>
      </c>
      <c r="R398" s="1103" cm="1">
        <f t="array" ref="R398">SUM(IFERROR(R365:R397,0))</f>
        <v>0</v>
      </c>
      <c r="S398" s="1104"/>
      <c r="T398" s="1104"/>
      <c r="U398" s="1104"/>
      <c r="V398" s="1104"/>
      <c r="W398" s="1104"/>
      <c r="X398" s="1104"/>
      <c r="Y398" s="1102"/>
      <c r="Z398" s="1102"/>
      <c r="AA398" s="1102"/>
      <c r="AB398" s="1103" cm="1">
        <f t="array" ref="AB398">SUM(IFERROR(AB365:AB397,0))</f>
        <v>0</v>
      </c>
      <c r="AC398" s="1104" t="s">
        <v>127</v>
      </c>
      <c r="AD398" s="1104"/>
      <c r="AE398" s="1104"/>
      <c r="AF398" s="1104"/>
      <c r="AG398" s="1103" cm="1">
        <f t="array" ref="AG398">SUM(IFERROR(AG365:AG397,0))</f>
        <v>0</v>
      </c>
      <c r="AH398" s="1103"/>
      <c r="AI398" s="1103"/>
      <c r="AJ398" s="1103" cm="1">
        <f t="array" ref="AJ398">SUM(IFERROR(AJ365:AJ397,0))</f>
        <v>0</v>
      </c>
      <c r="AK398" s="1054" cm="1">
        <f t="array" ref="AK398">IFERROR(SUMPRODUCT(IFERROR(AG365:AG397,0),IFERROR(AK365:AK397,0))/SUMPRODUCT(IFERROR(AG365:AG397,0)),0)</f>
        <v>0</v>
      </c>
      <c r="AL398" s="1288"/>
      <c r="AM398" s="1288"/>
      <c r="AN398"/>
    </row>
    <row r="399" spans="1:40" ht="26.1" customHeight="1">
      <c r="A399" s="1397" t="s">
        <v>148</v>
      </c>
      <c r="B399" s="1397"/>
      <c r="C399" s="1397"/>
      <c r="D399" s="1397"/>
      <c r="E399" s="1397"/>
      <c r="F399" s="1397"/>
      <c r="G399" s="1397"/>
      <c r="H399" s="1397"/>
      <c r="I399" s="1397"/>
      <c r="J399" s="1398"/>
      <c r="K399" s="1160"/>
      <c r="L399" s="1160"/>
      <c r="M399" s="1160"/>
      <c r="N399" s="1160"/>
      <c r="O399" s="1160"/>
      <c r="P399" s="1088"/>
      <c r="Q399" s="1088"/>
      <c r="R399" s="1088"/>
      <c r="S399" s="1087"/>
      <c r="T399" s="1087"/>
      <c r="U399" s="1087"/>
      <c r="V399" s="1087"/>
      <c r="W399" s="1087"/>
      <c r="X399" s="1087"/>
      <c r="Y399" s="1055"/>
      <c r="Z399" s="1055"/>
      <c r="AA399" s="1055"/>
      <c r="AB399" s="1055"/>
      <c r="AC399" s="1055"/>
      <c r="AD399" s="1087"/>
      <c r="AE399" s="1087"/>
      <c r="AF399" s="1087"/>
      <c r="AG399" s="1087"/>
      <c r="AH399" s="1087"/>
      <c r="AI399" s="1087"/>
      <c r="AJ399" s="1087"/>
      <c r="AK399" s="1089"/>
      <c r="AL399" s="1287"/>
      <c r="AM399" s="1287"/>
      <c r="AN399"/>
    </row>
    <row r="400" spans="1:40" ht="15.95">
      <c r="A400" s="1090" t="b">
        <f t="shared" ref="A400:A432" si="288">$A$14</f>
        <v>1</v>
      </c>
      <c r="B400" s="1091" t="b">
        <f>A400</f>
        <v>1</v>
      </c>
      <c r="C400" s="1092" t="str">
        <f>$C$14</f>
        <v>Dólares</v>
      </c>
      <c r="D400" s="11"/>
      <c r="E400" s="743"/>
      <c r="F400" s="17"/>
      <c r="G400" s="17" t="str">
        <f t="shared" ref="G400:G432" si="289">IFERROR(VLOOKUP(F400,Tabla_Proveedores_1,2,0)," ")</f>
        <v xml:space="preserve"> </v>
      </c>
      <c r="H400" s="12">
        <v>0</v>
      </c>
      <c r="I400" s="16" t="str">
        <f>IFERROR(VLOOKUP(G400,Proveedores!B:C,2,0)," ")</f>
        <v xml:space="preserve"> </v>
      </c>
      <c r="J400" s="745">
        <v>0</v>
      </c>
      <c r="K400" s="745" t="str">
        <f t="shared" ref="K400:K432" si="290">IFERROR(VLOOKUP(TRIM(F400), ProveedoreS_TC, 5, FALSE), "Not Found")</f>
        <v>Not Found</v>
      </c>
      <c r="L400" s="16">
        <f>IF(K400="Importado",Fletes!$B$66,0%)</f>
        <v>0</v>
      </c>
      <c r="M400" s="745">
        <f>IF(K400="Importado",J400*(1+L400),J400*(1+L400))</f>
        <v>0</v>
      </c>
      <c r="N400" s="16">
        <f>IF(K400&lt;&gt;"Importado",0%,IF(Fletes!$B$67&lt;10,15%,IF(Fletes!$B$67&lt;20,10%,5%)))</f>
        <v>0</v>
      </c>
      <c r="O400" s="745" t="str">
        <f>IFERROR(IF(OR(F400="Offiho",F400="Lauco Sofas",F400="Requiez",F400="Labenze",F400="Sunon Mty",F400="Sonara"),(M400*(1-_xlfn.XLOOKUP(F400,Proveedores!A:A,Proveedores!I:I)))*(1+N400),((M400*(1-_xlfn.XLOOKUP(F400,Proveedores!A:A,Proveedores!I:I)))*(1+N400))+U400),"")</f>
        <v/>
      </c>
      <c r="P400" s="1031"/>
      <c r="Q400" s="1133">
        <f>IF(K400&lt;&gt;"Importado",0,IF(P400&gt;0,P400*H400,IFERROR(_xlfn.XLOOKUP(F400,Proveedores!A:A,Proveedores!F:F,0)*H400,0)))</f>
        <v>0</v>
      </c>
      <c r="R400" s="1134" t="e">
        <f>O400*H400</f>
        <v>#VALUE!</v>
      </c>
      <c r="S400" s="743"/>
      <c r="T400" s="1034" t="e">
        <f t="shared" ref="T400:T432" si="291">IF(H400&gt;15,0,VLOOKUP(E400,Tabla_Instalacion,2,FALSE))</f>
        <v>#N/A</v>
      </c>
      <c r="U400" s="1034" t="e">
        <f>X400/V400</f>
        <v>#N/A</v>
      </c>
      <c r="V400" s="1165" t="e">
        <f t="shared" ref="V400:V432" si="292">VLOOKUP(E400,Tabla_Factor,2,FALSE)</f>
        <v>#N/A</v>
      </c>
      <c r="W400" s="1034" t="e">
        <f>T400*V400</f>
        <v>#N/A</v>
      </c>
      <c r="X400" s="1034" t="b">
        <f>IF(S400="Occidente",W400,IF(S400="Norte",W400*1.5,IF(S400="Centro",W400*1.2,IF(S400="Sur",W400*1.7))))</f>
        <v>0</v>
      </c>
      <c r="Y400" s="1034">
        <f>ROUNDUP(IF(OR(F400="Offiho",F400="Lauco Sofas",F400="Requiez",F400="Labenze",F400="Sunon Mty",F400="Sonara",F400="Santeco"),J400,IF(K400="Nacional",O400/(1-30%),IF(K400="Importado",O400/(1-40%),IF(OR(F400="Lumbro",F400="Idelika"),O400/(1-20%))))),0)</f>
        <v>0</v>
      </c>
      <c r="Z400" s="1034">
        <f>ROUNDUP(IF(OR(F400="Offiho",F400="Lauco Sofas",F400="Requiez",F400="Labenze",F400="Sunon Mty",F400="Sonara",F400="Sonara"),Y400,IF($P$10="MIXTO",IF(K400="Nacional",Y400/(1-50%),Y400/(1-50%)),IF($P$10="IMPORTADO",Y400/(1-50%),IF($P$10="NACIONAL",Y400/(1-20%),Y400/(1-20%))))),0)</f>
        <v>0</v>
      </c>
      <c r="AA400" s="1034">
        <f t="shared" ref="AA400:AA432" si="293">IF(Z400&gt;=Y400,_xlfn.MINIFS($Z$15:$Z$572,$D$15:$D$572,D400),"NO SE ESTA RESPETANDO EL MARGEN")</f>
        <v>0</v>
      </c>
      <c r="AB400" s="1034">
        <f t="shared" ref="AB400:AB432" si="294">IFERROR(AA400*H400,0)</f>
        <v>0</v>
      </c>
      <c r="AC400" s="1033">
        <f>IF($P$10="IMPORTADO",50%,IF($P$10="NACIONAL",20%,IF($P$10="MIXTO",50%,0%)))</f>
        <v>0</v>
      </c>
      <c r="AD400" s="1266">
        <f t="shared" ref="AD400:AD432" si="295">IF(H400&gt;0,$E$5,0)</f>
        <v>0</v>
      </c>
      <c r="AE400" s="1093">
        <f>IFERROR(AA400*AD400,0)</f>
        <v>0</v>
      </c>
      <c r="AF400" s="1093">
        <f>IF($E$5&gt;$E$6,"ERROR",AA400-AE400)</f>
        <v>0</v>
      </c>
      <c r="AG400" s="1093">
        <f t="shared" ref="AG400:AG432" si="296">AF400*H400</f>
        <v>0</v>
      </c>
      <c r="AH400" s="1033" t="e">
        <f t="shared" ref="AH400:AH432" si="297">IF(A401=TRUE,MAX(0,1-(AI400/Z400)),"NA")</f>
        <v>#DIV/0!</v>
      </c>
      <c r="AI400" s="1091">
        <f t="shared" ref="AI400:AI432" si="298">IF(A399=FALSE,"NO APLICA",AF400*(1+$AI$8))</f>
        <v>0</v>
      </c>
      <c r="AJ400" s="1094">
        <f t="shared" ref="AJ400:AJ432" si="299">AI400*H400</f>
        <v>0</v>
      </c>
      <c r="AK400" s="1053" t="str">
        <f t="shared" ref="AK400:AK432" si="300">IFERROR(IF(OR(F400="Offiho",F400="Vandesk",F400="Requiez",F400="Labenze",F400="Idelika",F400="Sunon Mty"),(AG400-(J400*(1-I400)*H400))/AG400,(AG400-R400)/AG400),"")</f>
        <v/>
      </c>
      <c r="AL400" s="1053"/>
      <c r="AM400" s="1290">
        <f>_xlfn.XLOOKUP(F400,Proveedores!A:A,Proveedores!G:G)</f>
        <v>0</v>
      </c>
      <c r="AN400" s="1095" t="str">
        <f>IF(AK400&lt;AM400,"ERROR","OK")</f>
        <v>OK</v>
      </c>
    </row>
    <row r="401" spans="1:40" ht="15.95">
      <c r="A401" s="1090" t="b">
        <f t="shared" si="288"/>
        <v>1</v>
      </c>
      <c r="B401" s="1091" t="b">
        <f t="shared" ref="B401:B432" si="301">A401</f>
        <v>1</v>
      </c>
      <c r="C401" s="1092" t="str">
        <f t="shared" ref="C401:C432" si="302">$C$14</f>
        <v>Dólares</v>
      </c>
      <c r="D401" s="13"/>
      <c r="E401" s="743"/>
      <c r="F401" s="17"/>
      <c r="G401" s="17" t="str">
        <f t="shared" si="289"/>
        <v xml:space="preserve"> </v>
      </c>
      <c r="H401" s="12">
        <v>0</v>
      </c>
      <c r="I401" s="16" t="str">
        <f>IFERROR(VLOOKUP(G401,Proveedores!B:C,2,0)," ")</f>
        <v xml:space="preserve"> </v>
      </c>
      <c r="J401" s="745">
        <v>0</v>
      </c>
      <c r="K401" s="745" t="str">
        <f t="shared" si="290"/>
        <v>Not Found</v>
      </c>
      <c r="L401" s="16">
        <f>IF(K401="Importado",Fletes!$B$66,0%)</f>
        <v>0</v>
      </c>
      <c r="M401" s="745">
        <f t="shared" ref="M401:M432" si="303">IF(K401="Importado",J401*(1+L401),J401*(1+L401))</f>
        <v>0</v>
      </c>
      <c r="N401" s="16">
        <f>IF(K401&lt;&gt;"Importado",0%,IF(Fletes!$B$67&lt;10,15%,IF(Fletes!$B$67&lt;20,10%,5%)))</f>
        <v>0</v>
      </c>
      <c r="O401" s="745" t="str">
        <f>IFERROR(IF(OR(F401="Offiho",F401="Lauco Sofas",F401="Requiez",F401="Labenze",F401="Sunon Mty",F401="Sonara"),(M401*(1-_xlfn.XLOOKUP(F401,Proveedores!A:A,Proveedores!I:I)))*(1+N401),((M401*(1-_xlfn.XLOOKUP(F401,Proveedores!A:A,Proveedores!I:I)))*(1+N401))+U401),"")</f>
        <v/>
      </c>
      <c r="P401" s="1031"/>
      <c r="Q401" s="1133">
        <f>IF(K401&lt;&gt;"Importado",0,IF(P401&gt;0,P401*H401,IFERROR(_xlfn.XLOOKUP(F401,Proveedores!A:A,Proveedores!F:F,0)*H401,0)))</f>
        <v>0</v>
      </c>
      <c r="R401" s="1134" t="e">
        <f t="shared" ref="R401:R432" si="304">O401*H401</f>
        <v>#VALUE!</v>
      </c>
      <c r="S401" s="743"/>
      <c r="T401" s="1034" t="e">
        <f t="shared" si="291"/>
        <v>#N/A</v>
      </c>
      <c r="U401" s="1034" t="e">
        <f t="shared" ref="U401:U432" si="305">X401/V401</f>
        <v>#N/A</v>
      </c>
      <c r="V401" s="1165" t="e">
        <f t="shared" si="292"/>
        <v>#N/A</v>
      </c>
      <c r="W401" s="1034" t="e">
        <f t="shared" ref="W401:W432" si="306">T401*V401</f>
        <v>#N/A</v>
      </c>
      <c r="X401" s="1034" t="b">
        <f t="shared" ref="X401:X432" si="307">IF(S401="Occidente",W401,IF(S401="Norte",W401*1.5,IF(S401="Centro",W401*1.2,IF(S401="Sur",W401*1.7))))</f>
        <v>0</v>
      </c>
      <c r="Y401" s="1034">
        <f t="shared" ref="Y401:Y432" si="308">ROUNDUP(IF(OR(F401="Offiho",F401="Lauco Sofas",F401="Requiez",F401="Labenze",F401="Sunon Mty",F401="Sonara",F401="Santeco"),J401,IF(K401="Nacional",O401/(1-30%),IF(K401="Importado",O401/(1-40%),IF(OR(F401="Lumbro",F401="Idelika"),O401/(1-20%))))),0)</f>
        <v>0</v>
      </c>
      <c r="Z401" s="1034">
        <f t="shared" ref="Z401:Z432" si="309">ROUNDUP(IF(OR(F401="Offiho",F401="Lauco Sofas",F401="Requiez",F401="Labenze",F401="Sunon Mty",F401="Sonara",F401="Sonara"),Y401,IF($P$10="MIXTO",IF(K401="Nacional",Y401/(1-50%),Y401/(1-50%)),IF($P$10="IMPORTADO",Y401/(1-50%),IF($P$10="NACIONAL",Y401/(1-20%),Y401/(1-20%))))),0)</f>
        <v>0</v>
      </c>
      <c r="AA401" s="1034">
        <f t="shared" si="293"/>
        <v>0</v>
      </c>
      <c r="AB401" s="1034">
        <f t="shared" si="294"/>
        <v>0</v>
      </c>
      <c r="AC401" s="1033">
        <f t="shared" ref="AC401:AC432" si="310">IF($P$10="IMPORTADO",50%,IF($P$10="NACIONAL",20%,IF($P$10="MIXTO",50%,0%)))</f>
        <v>0</v>
      </c>
      <c r="AD401" s="1266">
        <f t="shared" si="295"/>
        <v>0</v>
      </c>
      <c r="AE401" s="1093">
        <f t="shared" ref="AE401:AE432" si="311">IFERROR(AA401*AD401,0)</f>
        <v>0</v>
      </c>
      <c r="AF401" s="1093">
        <f t="shared" ref="AF401:AF432" si="312">IF($E$5&gt;$E$6,"ERROR",AA401-AE401)</f>
        <v>0</v>
      </c>
      <c r="AG401" s="1093">
        <f t="shared" si="296"/>
        <v>0</v>
      </c>
      <c r="AH401" s="1033" t="e">
        <f t="shared" si="297"/>
        <v>#DIV/0!</v>
      </c>
      <c r="AI401" s="1091">
        <f t="shared" si="298"/>
        <v>0</v>
      </c>
      <c r="AJ401" s="1094">
        <f t="shared" si="299"/>
        <v>0</v>
      </c>
      <c r="AK401" s="1053" t="str">
        <f t="shared" si="300"/>
        <v/>
      </c>
      <c r="AL401" s="1053"/>
      <c r="AM401" s="1290">
        <f>_xlfn.XLOOKUP(F401,Proveedores!A:A,Proveedores!G:G)</f>
        <v>0</v>
      </c>
      <c r="AN401" s="1095" t="str">
        <f t="shared" ref="AN401:AN432" si="313">IF(AK401&lt;AM401,"ERROR","OK")</f>
        <v>OK</v>
      </c>
    </row>
    <row r="402" spans="1:40" ht="15.95">
      <c r="A402" s="1090" t="b">
        <f t="shared" si="288"/>
        <v>1</v>
      </c>
      <c r="B402" s="1091" t="b">
        <f t="shared" si="301"/>
        <v>1</v>
      </c>
      <c r="C402" s="1092" t="str">
        <f t="shared" si="302"/>
        <v>Dólares</v>
      </c>
      <c r="D402" s="13"/>
      <c r="E402" s="743"/>
      <c r="F402" s="17"/>
      <c r="G402" s="17" t="str">
        <f t="shared" si="289"/>
        <v xml:space="preserve"> </v>
      </c>
      <c r="H402" s="12">
        <v>0</v>
      </c>
      <c r="I402" s="16" t="str">
        <f>IFERROR(VLOOKUP(G402,Proveedores!B:C,2,0)," ")</f>
        <v xml:space="preserve"> </v>
      </c>
      <c r="J402" s="745">
        <v>0</v>
      </c>
      <c r="K402" s="745" t="str">
        <f t="shared" si="290"/>
        <v>Not Found</v>
      </c>
      <c r="L402" s="16">
        <f>IF(K402="Importado",Fletes!$B$66,0%)</f>
        <v>0</v>
      </c>
      <c r="M402" s="745">
        <f t="shared" si="303"/>
        <v>0</v>
      </c>
      <c r="N402" s="16">
        <f>IF(K402&lt;&gt;"Importado",0%,IF(Fletes!$B$67&lt;10,15%,IF(Fletes!$B$67&lt;20,10%,5%)))</f>
        <v>0</v>
      </c>
      <c r="O402" s="745" t="str">
        <f>IFERROR(IF(OR(F402="Offiho",F402="Lauco Sofas",F402="Requiez",F402="Labenze",F402="Sunon Mty",F402="Sonara"),(M402*(1-_xlfn.XLOOKUP(F402,Proveedores!A:A,Proveedores!I:I)))*(1+N402),((M402*(1-_xlfn.XLOOKUP(F402,Proveedores!A:A,Proveedores!I:I)))*(1+N402))+U402),"")</f>
        <v/>
      </c>
      <c r="P402" s="1031"/>
      <c r="Q402" s="1133">
        <f>IF(K402&lt;&gt;"Importado",0,IF(P402&gt;0,P402*H402,IFERROR(_xlfn.XLOOKUP(F402,Proveedores!A:A,Proveedores!F:F,0)*H402,0)))</f>
        <v>0</v>
      </c>
      <c r="R402" s="1134" t="e">
        <f t="shared" si="304"/>
        <v>#VALUE!</v>
      </c>
      <c r="S402" s="743"/>
      <c r="T402" s="1034" t="e">
        <f t="shared" si="291"/>
        <v>#N/A</v>
      </c>
      <c r="U402" s="1034" t="e">
        <f t="shared" si="305"/>
        <v>#N/A</v>
      </c>
      <c r="V402" s="1165" t="e">
        <f t="shared" si="292"/>
        <v>#N/A</v>
      </c>
      <c r="W402" s="1034" t="e">
        <f t="shared" si="306"/>
        <v>#N/A</v>
      </c>
      <c r="X402" s="1034" t="b">
        <f t="shared" si="307"/>
        <v>0</v>
      </c>
      <c r="Y402" s="1034">
        <f t="shared" si="308"/>
        <v>0</v>
      </c>
      <c r="Z402" s="1034">
        <f t="shared" si="309"/>
        <v>0</v>
      </c>
      <c r="AA402" s="1034">
        <f t="shared" si="293"/>
        <v>0</v>
      </c>
      <c r="AB402" s="1034">
        <f t="shared" si="294"/>
        <v>0</v>
      </c>
      <c r="AC402" s="1033">
        <f t="shared" si="310"/>
        <v>0</v>
      </c>
      <c r="AD402" s="1266">
        <f t="shared" si="295"/>
        <v>0</v>
      </c>
      <c r="AE402" s="1093">
        <f t="shared" si="311"/>
        <v>0</v>
      </c>
      <c r="AF402" s="1093">
        <f t="shared" si="312"/>
        <v>0</v>
      </c>
      <c r="AG402" s="1093">
        <f t="shared" si="296"/>
        <v>0</v>
      </c>
      <c r="AH402" s="1033" t="e">
        <f t="shared" si="297"/>
        <v>#DIV/0!</v>
      </c>
      <c r="AI402" s="1091">
        <f t="shared" si="298"/>
        <v>0</v>
      </c>
      <c r="AJ402" s="1094">
        <f t="shared" si="299"/>
        <v>0</v>
      </c>
      <c r="AK402" s="1053" t="str">
        <f t="shared" si="300"/>
        <v/>
      </c>
      <c r="AL402" s="1053"/>
      <c r="AM402" s="1290">
        <f>_xlfn.XLOOKUP(F402,Proveedores!A:A,Proveedores!G:G)</f>
        <v>0</v>
      </c>
      <c r="AN402" s="1095" t="str">
        <f t="shared" si="313"/>
        <v>OK</v>
      </c>
    </row>
    <row r="403" spans="1:40" ht="15.95">
      <c r="A403" s="1090" t="b">
        <f t="shared" si="288"/>
        <v>1</v>
      </c>
      <c r="B403" s="1091" t="b">
        <f t="shared" si="301"/>
        <v>1</v>
      </c>
      <c r="C403" s="1092" t="str">
        <f t="shared" si="302"/>
        <v>Dólares</v>
      </c>
      <c r="D403" s="13"/>
      <c r="E403" s="743"/>
      <c r="F403" s="17"/>
      <c r="G403" s="17" t="str">
        <f t="shared" si="289"/>
        <v xml:space="preserve"> </v>
      </c>
      <c r="H403" s="12">
        <v>0</v>
      </c>
      <c r="I403" s="16" t="str">
        <f>IFERROR(VLOOKUP(G403,Proveedores!B:C,2,0)," ")</f>
        <v xml:space="preserve"> </v>
      </c>
      <c r="J403" s="745">
        <v>0</v>
      </c>
      <c r="K403" s="745" t="str">
        <f t="shared" si="290"/>
        <v>Not Found</v>
      </c>
      <c r="L403" s="16">
        <f>IF(K403="Importado",Fletes!$B$66,0%)</f>
        <v>0</v>
      </c>
      <c r="M403" s="745">
        <f t="shared" si="303"/>
        <v>0</v>
      </c>
      <c r="N403" s="16">
        <f>IF(K403&lt;&gt;"Importado",0%,IF(Fletes!$B$67&lt;10,15%,IF(Fletes!$B$67&lt;20,10%,5%)))</f>
        <v>0</v>
      </c>
      <c r="O403" s="745" t="str">
        <f>IFERROR(IF(OR(F403="Offiho",F403="Lauco Sofas",F403="Requiez",F403="Labenze",F403="Sunon Mty",F403="Sonara"),(M403*(1-_xlfn.XLOOKUP(F403,Proveedores!A:A,Proveedores!I:I)))*(1+N403),((M403*(1-_xlfn.XLOOKUP(F403,Proveedores!A:A,Proveedores!I:I)))*(1+N403))+U403),"")</f>
        <v/>
      </c>
      <c r="P403" s="1031"/>
      <c r="Q403" s="1133">
        <f>IF(K403&lt;&gt;"Importado",0,IF(P403&gt;0,P403*H403,IFERROR(_xlfn.XLOOKUP(F403,Proveedores!A:A,Proveedores!F:F,0)*H403,0)))</f>
        <v>0</v>
      </c>
      <c r="R403" s="1134" t="e">
        <f t="shared" si="304"/>
        <v>#VALUE!</v>
      </c>
      <c r="S403" s="743"/>
      <c r="T403" s="1034" t="e">
        <f t="shared" si="291"/>
        <v>#N/A</v>
      </c>
      <c r="U403" s="1034" t="e">
        <f t="shared" si="305"/>
        <v>#N/A</v>
      </c>
      <c r="V403" s="1165" t="e">
        <f t="shared" si="292"/>
        <v>#N/A</v>
      </c>
      <c r="W403" s="1034" t="e">
        <f t="shared" si="306"/>
        <v>#N/A</v>
      </c>
      <c r="X403" s="1034" t="b">
        <f t="shared" si="307"/>
        <v>0</v>
      </c>
      <c r="Y403" s="1034">
        <f t="shared" si="308"/>
        <v>0</v>
      </c>
      <c r="Z403" s="1034">
        <f t="shared" si="309"/>
        <v>0</v>
      </c>
      <c r="AA403" s="1034">
        <f t="shared" si="293"/>
        <v>0</v>
      </c>
      <c r="AB403" s="1034">
        <f t="shared" si="294"/>
        <v>0</v>
      </c>
      <c r="AC403" s="1033">
        <f t="shared" si="310"/>
        <v>0</v>
      </c>
      <c r="AD403" s="1266">
        <f t="shared" si="295"/>
        <v>0</v>
      </c>
      <c r="AE403" s="1093">
        <f t="shared" si="311"/>
        <v>0</v>
      </c>
      <c r="AF403" s="1093">
        <f t="shared" si="312"/>
        <v>0</v>
      </c>
      <c r="AG403" s="1093">
        <f t="shared" si="296"/>
        <v>0</v>
      </c>
      <c r="AH403" s="1033" t="e">
        <f t="shared" si="297"/>
        <v>#DIV/0!</v>
      </c>
      <c r="AI403" s="1091">
        <f t="shared" si="298"/>
        <v>0</v>
      </c>
      <c r="AJ403" s="1094">
        <f t="shared" si="299"/>
        <v>0</v>
      </c>
      <c r="AK403" s="1053" t="str">
        <f t="shared" si="300"/>
        <v/>
      </c>
      <c r="AL403" s="1053"/>
      <c r="AM403" s="1290">
        <f>_xlfn.XLOOKUP(F403,Proveedores!A:A,Proveedores!G:G)</f>
        <v>0</v>
      </c>
      <c r="AN403" s="1095" t="str">
        <f t="shared" si="313"/>
        <v>OK</v>
      </c>
    </row>
    <row r="404" spans="1:40" ht="15.95">
      <c r="A404" s="1090" t="b">
        <f t="shared" si="288"/>
        <v>1</v>
      </c>
      <c r="B404" s="1091" t="b">
        <f t="shared" si="301"/>
        <v>1</v>
      </c>
      <c r="C404" s="1092" t="str">
        <f t="shared" si="302"/>
        <v>Dólares</v>
      </c>
      <c r="D404" s="13"/>
      <c r="E404" s="743"/>
      <c r="F404" s="17"/>
      <c r="G404" s="17" t="str">
        <f t="shared" si="289"/>
        <v xml:space="preserve"> </v>
      </c>
      <c r="H404" s="12">
        <v>0</v>
      </c>
      <c r="I404" s="16" t="str">
        <f>IFERROR(VLOOKUP(G404,Proveedores!B:C,2,0)," ")</f>
        <v xml:space="preserve"> </v>
      </c>
      <c r="J404" s="745">
        <v>0</v>
      </c>
      <c r="K404" s="745" t="str">
        <f t="shared" si="290"/>
        <v>Not Found</v>
      </c>
      <c r="L404" s="16">
        <f>IF(K404="Importado",Fletes!$B$66,0%)</f>
        <v>0</v>
      </c>
      <c r="M404" s="745">
        <f t="shared" si="303"/>
        <v>0</v>
      </c>
      <c r="N404" s="16">
        <f>IF(K404&lt;&gt;"Importado",0%,IF(Fletes!$B$67&lt;10,15%,IF(Fletes!$B$67&lt;20,10%,5%)))</f>
        <v>0</v>
      </c>
      <c r="O404" s="745" t="str">
        <f>IFERROR(IF(OR(F404="Offiho",F404="Lauco Sofas",F404="Requiez",F404="Labenze",F404="Sunon Mty",F404="Sonara"),(M404*(1-_xlfn.XLOOKUP(F404,Proveedores!A:A,Proveedores!I:I)))*(1+N404),((M404*(1-_xlfn.XLOOKUP(F404,Proveedores!A:A,Proveedores!I:I)))*(1+N404))+U404),"")</f>
        <v/>
      </c>
      <c r="P404" s="1031"/>
      <c r="Q404" s="1133">
        <f>IF(K404&lt;&gt;"Importado",0,IF(P404&gt;0,P404*H404,IFERROR(_xlfn.XLOOKUP(F404,Proveedores!A:A,Proveedores!F:F,0)*H404,0)))</f>
        <v>0</v>
      </c>
      <c r="R404" s="1134" t="e">
        <f t="shared" si="304"/>
        <v>#VALUE!</v>
      </c>
      <c r="S404" s="743"/>
      <c r="T404" s="1034" t="e">
        <f t="shared" si="291"/>
        <v>#N/A</v>
      </c>
      <c r="U404" s="1034" t="e">
        <f t="shared" si="305"/>
        <v>#N/A</v>
      </c>
      <c r="V404" s="1165" t="e">
        <f t="shared" si="292"/>
        <v>#N/A</v>
      </c>
      <c r="W404" s="1034" t="e">
        <f t="shared" si="306"/>
        <v>#N/A</v>
      </c>
      <c r="X404" s="1034" t="b">
        <f t="shared" si="307"/>
        <v>0</v>
      </c>
      <c r="Y404" s="1034">
        <f t="shared" si="308"/>
        <v>0</v>
      </c>
      <c r="Z404" s="1034">
        <f t="shared" si="309"/>
        <v>0</v>
      </c>
      <c r="AA404" s="1034">
        <f t="shared" si="293"/>
        <v>0</v>
      </c>
      <c r="AB404" s="1034">
        <f t="shared" si="294"/>
        <v>0</v>
      </c>
      <c r="AC404" s="1033">
        <f t="shared" si="310"/>
        <v>0</v>
      </c>
      <c r="AD404" s="1266">
        <f t="shared" si="295"/>
        <v>0</v>
      </c>
      <c r="AE404" s="1093">
        <f t="shared" si="311"/>
        <v>0</v>
      </c>
      <c r="AF404" s="1093">
        <f t="shared" si="312"/>
        <v>0</v>
      </c>
      <c r="AG404" s="1093">
        <f t="shared" si="296"/>
        <v>0</v>
      </c>
      <c r="AH404" s="1033" t="e">
        <f t="shared" si="297"/>
        <v>#DIV/0!</v>
      </c>
      <c r="AI404" s="1091">
        <f t="shared" si="298"/>
        <v>0</v>
      </c>
      <c r="AJ404" s="1094">
        <f t="shared" si="299"/>
        <v>0</v>
      </c>
      <c r="AK404" s="1053" t="str">
        <f t="shared" si="300"/>
        <v/>
      </c>
      <c r="AL404" s="1053"/>
      <c r="AM404" s="1290">
        <f>_xlfn.XLOOKUP(F404,Proveedores!A:A,Proveedores!G:G)</f>
        <v>0</v>
      </c>
      <c r="AN404" s="1095" t="str">
        <f t="shared" si="313"/>
        <v>OK</v>
      </c>
    </row>
    <row r="405" spans="1:40" ht="15.95">
      <c r="A405" s="1090" t="b">
        <f t="shared" si="288"/>
        <v>1</v>
      </c>
      <c r="B405" s="1091" t="b">
        <f t="shared" si="301"/>
        <v>1</v>
      </c>
      <c r="C405" s="1092" t="str">
        <f t="shared" si="302"/>
        <v>Dólares</v>
      </c>
      <c r="D405" s="13"/>
      <c r="E405" s="743"/>
      <c r="F405" s="17"/>
      <c r="G405" s="17" t="str">
        <f t="shared" si="289"/>
        <v xml:space="preserve"> </v>
      </c>
      <c r="H405" s="12">
        <v>0</v>
      </c>
      <c r="I405" s="16" t="str">
        <f>IFERROR(VLOOKUP(G405,Proveedores!B:C,2,0)," ")</f>
        <v xml:space="preserve"> </v>
      </c>
      <c r="J405" s="745">
        <v>0</v>
      </c>
      <c r="K405" s="745" t="str">
        <f t="shared" si="290"/>
        <v>Not Found</v>
      </c>
      <c r="L405" s="16">
        <f>IF(K405="Importado",Fletes!$B$66,0%)</f>
        <v>0</v>
      </c>
      <c r="M405" s="745">
        <f t="shared" si="303"/>
        <v>0</v>
      </c>
      <c r="N405" s="16">
        <f>IF(K405&lt;&gt;"Importado",0%,IF(Fletes!$B$67&lt;10,15%,IF(Fletes!$B$67&lt;20,10%,5%)))</f>
        <v>0</v>
      </c>
      <c r="O405" s="745" t="str">
        <f>IFERROR(IF(OR(F405="Offiho",F405="Lauco Sofas",F405="Requiez",F405="Labenze",F405="Sunon Mty",F405="Sonara"),(M405*(1-_xlfn.XLOOKUP(F405,Proveedores!A:A,Proveedores!I:I)))*(1+N405),((M405*(1-_xlfn.XLOOKUP(F405,Proveedores!A:A,Proveedores!I:I)))*(1+N405))+U405),"")</f>
        <v/>
      </c>
      <c r="P405" s="1031"/>
      <c r="Q405" s="1133">
        <f>IF(K405&lt;&gt;"Importado",0,IF(P405&gt;0,P405*H405,IFERROR(_xlfn.XLOOKUP(F405,Proveedores!A:A,Proveedores!F:F,0)*H405,0)))</f>
        <v>0</v>
      </c>
      <c r="R405" s="1134" t="e">
        <f t="shared" si="304"/>
        <v>#VALUE!</v>
      </c>
      <c r="S405" s="743"/>
      <c r="T405" s="1034" t="e">
        <f t="shared" si="291"/>
        <v>#N/A</v>
      </c>
      <c r="U405" s="1034" t="e">
        <f t="shared" si="305"/>
        <v>#N/A</v>
      </c>
      <c r="V405" s="1165" t="e">
        <f t="shared" si="292"/>
        <v>#N/A</v>
      </c>
      <c r="W405" s="1034" t="e">
        <f t="shared" si="306"/>
        <v>#N/A</v>
      </c>
      <c r="X405" s="1034" t="b">
        <f t="shared" si="307"/>
        <v>0</v>
      </c>
      <c r="Y405" s="1034">
        <f t="shared" si="308"/>
        <v>0</v>
      </c>
      <c r="Z405" s="1034">
        <f t="shared" si="309"/>
        <v>0</v>
      </c>
      <c r="AA405" s="1034">
        <f t="shared" si="293"/>
        <v>0</v>
      </c>
      <c r="AB405" s="1034">
        <f t="shared" si="294"/>
        <v>0</v>
      </c>
      <c r="AC405" s="1033">
        <f t="shared" si="310"/>
        <v>0</v>
      </c>
      <c r="AD405" s="1266">
        <f t="shared" si="295"/>
        <v>0</v>
      </c>
      <c r="AE405" s="1093">
        <f t="shared" si="311"/>
        <v>0</v>
      </c>
      <c r="AF405" s="1093">
        <f t="shared" si="312"/>
        <v>0</v>
      </c>
      <c r="AG405" s="1093">
        <f t="shared" si="296"/>
        <v>0</v>
      </c>
      <c r="AH405" s="1033" t="e">
        <f t="shared" si="297"/>
        <v>#DIV/0!</v>
      </c>
      <c r="AI405" s="1091">
        <f t="shared" si="298"/>
        <v>0</v>
      </c>
      <c r="AJ405" s="1094">
        <f t="shared" si="299"/>
        <v>0</v>
      </c>
      <c r="AK405" s="1053" t="str">
        <f t="shared" si="300"/>
        <v/>
      </c>
      <c r="AL405" s="1053"/>
      <c r="AM405" s="1290">
        <f>_xlfn.XLOOKUP(F405,Proveedores!A:A,Proveedores!G:G)</f>
        <v>0</v>
      </c>
      <c r="AN405" s="1095" t="str">
        <f t="shared" si="313"/>
        <v>OK</v>
      </c>
    </row>
    <row r="406" spans="1:40" ht="15.95">
      <c r="A406" s="1090" t="b">
        <f t="shared" si="288"/>
        <v>1</v>
      </c>
      <c r="B406" s="1091" t="b">
        <f t="shared" si="301"/>
        <v>1</v>
      </c>
      <c r="C406" s="1092" t="str">
        <f t="shared" si="302"/>
        <v>Dólares</v>
      </c>
      <c r="D406" s="11"/>
      <c r="E406" s="743"/>
      <c r="F406" s="17"/>
      <c r="G406" s="17" t="str">
        <f t="shared" si="289"/>
        <v xml:space="preserve"> </v>
      </c>
      <c r="H406" s="12">
        <v>0</v>
      </c>
      <c r="I406" s="16" t="str">
        <f>IFERROR(VLOOKUP(G406,Proveedores!B:C,2,0)," ")</f>
        <v xml:space="preserve"> </v>
      </c>
      <c r="J406" s="745">
        <v>0</v>
      </c>
      <c r="K406" s="745" t="str">
        <f t="shared" si="290"/>
        <v>Not Found</v>
      </c>
      <c r="L406" s="16">
        <f>IF(K406="Importado",Fletes!$B$66,0%)</f>
        <v>0</v>
      </c>
      <c r="M406" s="745">
        <f t="shared" si="303"/>
        <v>0</v>
      </c>
      <c r="N406" s="16">
        <f>IF(K406&lt;&gt;"Importado",0%,IF(Fletes!$B$67&lt;10,15%,IF(Fletes!$B$67&lt;20,10%,5%)))</f>
        <v>0</v>
      </c>
      <c r="O406" s="745" t="str">
        <f>IFERROR(IF(OR(F406="Offiho",F406="Lauco Sofas",F406="Requiez",F406="Labenze",F406="Sunon Mty",F406="Sonara"),(M406*(1-_xlfn.XLOOKUP(F406,Proveedores!A:A,Proveedores!I:I)))*(1+N406),((M406*(1-_xlfn.XLOOKUP(F406,Proveedores!A:A,Proveedores!I:I)))*(1+N406))+U406),"")</f>
        <v/>
      </c>
      <c r="P406" s="1031"/>
      <c r="Q406" s="1133">
        <f>IF(K406&lt;&gt;"Importado",0,IF(P406&gt;0,P406*H406,IFERROR(_xlfn.XLOOKUP(F406,Proveedores!A:A,Proveedores!F:F,0)*H406,0)))</f>
        <v>0</v>
      </c>
      <c r="R406" s="1134" t="e">
        <f t="shared" si="304"/>
        <v>#VALUE!</v>
      </c>
      <c r="S406" s="743"/>
      <c r="T406" s="1034" t="e">
        <f t="shared" si="291"/>
        <v>#N/A</v>
      </c>
      <c r="U406" s="1034" t="e">
        <f t="shared" si="305"/>
        <v>#N/A</v>
      </c>
      <c r="V406" s="1165" t="e">
        <f t="shared" si="292"/>
        <v>#N/A</v>
      </c>
      <c r="W406" s="1034" t="e">
        <f t="shared" si="306"/>
        <v>#N/A</v>
      </c>
      <c r="X406" s="1034" t="b">
        <f t="shared" si="307"/>
        <v>0</v>
      </c>
      <c r="Y406" s="1034">
        <f t="shared" si="308"/>
        <v>0</v>
      </c>
      <c r="Z406" s="1034">
        <f t="shared" si="309"/>
        <v>0</v>
      </c>
      <c r="AA406" s="1034">
        <f t="shared" si="293"/>
        <v>0</v>
      </c>
      <c r="AB406" s="1034">
        <f t="shared" si="294"/>
        <v>0</v>
      </c>
      <c r="AC406" s="1033">
        <f t="shared" si="310"/>
        <v>0</v>
      </c>
      <c r="AD406" s="1266">
        <f t="shared" si="295"/>
        <v>0</v>
      </c>
      <c r="AE406" s="1093">
        <f t="shared" si="311"/>
        <v>0</v>
      </c>
      <c r="AF406" s="1093">
        <f t="shared" si="312"/>
        <v>0</v>
      </c>
      <c r="AG406" s="1093">
        <f t="shared" si="296"/>
        <v>0</v>
      </c>
      <c r="AH406" s="1033" t="e">
        <f t="shared" si="297"/>
        <v>#DIV/0!</v>
      </c>
      <c r="AI406" s="1091">
        <f t="shared" si="298"/>
        <v>0</v>
      </c>
      <c r="AJ406" s="1094">
        <f t="shared" si="299"/>
        <v>0</v>
      </c>
      <c r="AK406" s="1053" t="str">
        <f t="shared" si="300"/>
        <v/>
      </c>
      <c r="AL406" s="1053"/>
      <c r="AM406" s="1290">
        <f>_xlfn.XLOOKUP(F406,Proveedores!A:A,Proveedores!G:G)</f>
        <v>0</v>
      </c>
      <c r="AN406" s="1095" t="str">
        <f t="shared" si="313"/>
        <v>OK</v>
      </c>
    </row>
    <row r="407" spans="1:40" ht="15.95">
      <c r="A407" s="1090" t="b">
        <f t="shared" si="288"/>
        <v>1</v>
      </c>
      <c r="B407" s="1091" t="b">
        <f t="shared" si="301"/>
        <v>1</v>
      </c>
      <c r="C407" s="1092" t="str">
        <f t="shared" si="302"/>
        <v>Dólares</v>
      </c>
      <c r="D407" s="11"/>
      <c r="E407" s="743"/>
      <c r="F407" s="17"/>
      <c r="G407" s="17" t="str">
        <f t="shared" si="289"/>
        <v xml:space="preserve"> </v>
      </c>
      <c r="H407" s="12">
        <v>0</v>
      </c>
      <c r="I407" s="16" t="str">
        <f>IFERROR(VLOOKUP(G407,Proveedores!B:C,2,0)," ")</f>
        <v xml:space="preserve"> </v>
      </c>
      <c r="J407" s="745">
        <v>0</v>
      </c>
      <c r="K407" s="745" t="str">
        <f t="shared" si="290"/>
        <v>Not Found</v>
      </c>
      <c r="L407" s="16">
        <f>IF(K407="Importado",Fletes!$B$66,0%)</f>
        <v>0</v>
      </c>
      <c r="M407" s="745">
        <f t="shared" si="303"/>
        <v>0</v>
      </c>
      <c r="N407" s="16">
        <f>IF(K407&lt;&gt;"Importado",0%,IF(Fletes!$B$67&lt;10,15%,IF(Fletes!$B$67&lt;20,10%,5%)))</f>
        <v>0</v>
      </c>
      <c r="O407" s="745" t="str">
        <f>IFERROR(IF(OR(F407="Offiho",F407="Lauco Sofas",F407="Requiez",F407="Labenze",F407="Sunon Mty",F407="Sonara"),(M407*(1-_xlfn.XLOOKUP(F407,Proveedores!A:A,Proveedores!I:I)))*(1+N407),((M407*(1-_xlfn.XLOOKUP(F407,Proveedores!A:A,Proveedores!I:I)))*(1+N407))+U407),"")</f>
        <v/>
      </c>
      <c r="P407" s="1031"/>
      <c r="Q407" s="1133">
        <f>IF(K407&lt;&gt;"Importado",0,IF(P407&gt;0,P407*H407,IFERROR(_xlfn.XLOOKUP(F407,Proveedores!A:A,Proveedores!F:F,0)*H407,0)))</f>
        <v>0</v>
      </c>
      <c r="R407" s="1134" t="e">
        <f t="shared" si="304"/>
        <v>#VALUE!</v>
      </c>
      <c r="S407" s="743"/>
      <c r="T407" s="1034" t="e">
        <f t="shared" si="291"/>
        <v>#N/A</v>
      </c>
      <c r="U407" s="1034" t="e">
        <f t="shared" si="305"/>
        <v>#N/A</v>
      </c>
      <c r="V407" s="1165" t="e">
        <f t="shared" si="292"/>
        <v>#N/A</v>
      </c>
      <c r="W407" s="1034" t="e">
        <f t="shared" si="306"/>
        <v>#N/A</v>
      </c>
      <c r="X407" s="1034" t="b">
        <f t="shared" si="307"/>
        <v>0</v>
      </c>
      <c r="Y407" s="1034">
        <f t="shared" si="308"/>
        <v>0</v>
      </c>
      <c r="Z407" s="1034">
        <f t="shared" si="309"/>
        <v>0</v>
      </c>
      <c r="AA407" s="1034">
        <f t="shared" si="293"/>
        <v>0</v>
      </c>
      <c r="AB407" s="1034">
        <f t="shared" si="294"/>
        <v>0</v>
      </c>
      <c r="AC407" s="1033">
        <f t="shared" si="310"/>
        <v>0</v>
      </c>
      <c r="AD407" s="1266">
        <f t="shared" si="295"/>
        <v>0</v>
      </c>
      <c r="AE407" s="1093">
        <f t="shared" si="311"/>
        <v>0</v>
      </c>
      <c r="AF407" s="1093">
        <f t="shared" si="312"/>
        <v>0</v>
      </c>
      <c r="AG407" s="1093">
        <f t="shared" si="296"/>
        <v>0</v>
      </c>
      <c r="AH407" s="1033" t="e">
        <f t="shared" si="297"/>
        <v>#DIV/0!</v>
      </c>
      <c r="AI407" s="1091">
        <f t="shared" si="298"/>
        <v>0</v>
      </c>
      <c r="AJ407" s="1094">
        <f t="shared" si="299"/>
        <v>0</v>
      </c>
      <c r="AK407" s="1053" t="str">
        <f t="shared" si="300"/>
        <v/>
      </c>
      <c r="AL407" s="1053"/>
      <c r="AM407" s="1290">
        <f>_xlfn.XLOOKUP(F407,Proveedores!A:A,Proveedores!G:G)</f>
        <v>0</v>
      </c>
      <c r="AN407" s="1095" t="str">
        <f t="shared" si="313"/>
        <v>OK</v>
      </c>
    </row>
    <row r="408" spans="1:40" ht="15.95">
      <c r="A408" s="1090" t="b">
        <f t="shared" si="288"/>
        <v>1</v>
      </c>
      <c r="B408" s="1091" t="b">
        <f t="shared" si="301"/>
        <v>1</v>
      </c>
      <c r="C408" s="1092" t="str">
        <f t="shared" si="302"/>
        <v>Dólares</v>
      </c>
      <c r="D408" s="11"/>
      <c r="E408" s="743"/>
      <c r="F408" s="17"/>
      <c r="G408" s="17" t="str">
        <f t="shared" si="289"/>
        <v xml:space="preserve"> </v>
      </c>
      <c r="H408" s="12">
        <v>0</v>
      </c>
      <c r="I408" s="16" t="str">
        <f>IFERROR(VLOOKUP(G408,Proveedores!B:C,2,0)," ")</f>
        <v xml:space="preserve"> </v>
      </c>
      <c r="J408" s="745">
        <v>0</v>
      </c>
      <c r="K408" s="745" t="str">
        <f t="shared" si="290"/>
        <v>Not Found</v>
      </c>
      <c r="L408" s="16">
        <f>IF(K408="Importado",Fletes!$B$66,0%)</f>
        <v>0</v>
      </c>
      <c r="M408" s="745">
        <f t="shared" si="303"/>
        <v>0</v>
      </c>
      <c r="N408" s="16">
        <f>IF(K408&lt;&gt;"Importado",0%,IF(Fletes!$B$67&lt;10,15%,IF(Fletes!$B$67&lt;20,10%,5%)))</f>
        <v>0</v>
      </c>
      <c r="O408" s="745" t="str">
        <f>IFERROR(IF(OR(F408="Offiho",F408="Lauco Sofas",F408="Requiez",F408="Labenze",F408="Sunon Mty",F408="Sonara"),(M408*(1-_xlfn.XLOOKUP(F408,Proveedores!A:A,Proveedores!I:I)))*(1+N408),((M408*(1-_xlfn.XLOOKUP(F408,Proveedores!A:A,Proveedores!I:I)))*(1+N408))+U408),"")</f>
        <v/>
      </c>
      <c r="P408" s="1031"/>
      <c r="Q408" s="1133">
        <f>IF(K408&lt;&gt;"Importado",0,IF(P408&gt;0,P408*H408,IFERROR(_xlfn.XLOOKUP(F408,Proveedores!A:A,Proveedores!F:F,0)*H408,0)))</f>
        <v>0</v>
      </c>
      <c r="R408" s="1134" t="e">
        <f t="shared" si="304"/>
        <v>#VALUE!</v>
      </c>
      <c r="S408" s="743"/>
      <c r="T408" s="1034" t="e">
        <f t="shared" si="291"/>
        <v>#N/A</v>
      </c>
      <c r="U408" s="1034" t="e">
        <f t="shared" si="305"/>
        <v>#N/A</v>
      </c>
      <c r="V408" s="1165" t="e">
        <f t="shared" si="292"/>
        <v>#N/A</v>
      </c>
      <c r="W408" s="1034" t="e">
        <f t="shared" si="306"/>
        <v>#N/A</v>
      </c>
      <c r="X408" s="1034" t="b">
        <f t="shared" si="307"/>
        <v>0</v>
      </c>
      <c r="Y408" s="1034">
        <f t="shared" si="308"/>
        <v>0</v>
      </c>
      <c r="Z408" s="1034">
        <f t="shared" si="309"/>
        <v>0</v>
      </c>
      <c r="AA408" s="1034">
        <f t="shared" si="293"/>
        <v>0</v>
      </c>
      <c r="AB408" s="1034">
        <f t="shared" si="294"/>
        <v>0</v>
      </c>
      <c r="AC408" s="1033">
        <f t="shared" si="310"/>
        <v>0</v>
      </c>
      <c r="AD408" s="1266">
        <f t="shared" si="295"/>
        <v>0</v>
      </c>
      <c r="AE408" s="1093">
        <f t="shared" si="311"/>
        <v>0</v>
      </c>
      <c r="AF408" s="1093">
        <f t="shared" si="312"/>
        <v>0</v>
      </c>
      <c r="AG408" s="1093">
        <f t="shared" si="296"/>
        <v>0</v>
      </c>
      <c r="AH408" s="1033" t="e">
        <f t="shared" si="297"/>
        <v>#DIV/0!</v>
      </c>
      <c r="AI408" s="1091">
        <f t="shared" si="298"/>
        <v>0</v>
      </c>
      <c r="AJ408" s="1094">
        <f t="shared" si="299"/>
        <v>0</v>
      </c>
      <c r="AK408" s="1053" t="str">
        <f t="shared" si="300"/>
        <v/>
      </c>
      <c r="AL408" s="1053"/>
      <c r="AM408" s="1290">
        <f>_xlfn.XLOOKUP(F408,Proveedores!A:A,Proveedores!G:G)</f>
        <v>0</v>
      </c>
      <c r="AN408" s="1095" t="str">
        <f t="shared" si="313"/>
        <v>OK</v>
      </c>
    </row>
    <row r="409" spans="1:40" ht="15.95">
      <c r="A409" s="1090" t="b">
        <f t="shared" si="288"/>
        <v>1</v>
      </c>
      <c r="B409" s="1091" t="b">
        <f t="shared" si="301"/>
        <v>1</v>
      </c>
      <c r="C409" s="1092" t="str">
        <f t="shared" si="302"/>
        <v>Dólares</v>
      </c>
      <c r="D409" s="11"/>
      <c r="E409" s="743"/>
      <c r="F409" s="17"/>
      <c r="G409" s="17" t="str">
        <f t="shared" si="289"/>
        <v xml:space="preserve"> </v>
      </c>
      <c r="H409" s="12">
        <v>0</v>
      </c>
      <c r="I409" s="16" t="str">
        <f>IFERROR(VLOOKUP(G409,Proveedores!B:C,2,0)," ")</f>
        <v xml:space="preserve"> </v>
      </c>
      <c r="J409" s="745">
        <v>0</v>
      </c>
      <c r="K409" s="745" t="str">
        <f t="shared" si="290"/>
        <v>Not Found</v>
      </c>
      <c r="L409" s="16">
        <f>IF(K409="Importado",Fletes!$B$66,0%)</f>
        <v>0</v>
      </c>
      <c r="M409" s="745">
        <f t="shared" si="303"/>
        <v>0</v>
      </c>
      <c r="N409" s="16">
        <f>IF(K409&lt;&gt;"Importado",0%,IF(Fletes!$B$67&lt;10,15%,IF(Fletes!$B$67&lt;20,10%,5%)))</f>
        <v>0</v>
      </c>
      <c r="O409" s="745" t="str">
        <f>IFERROR(IF(OR(F409="Offiho",F409="Lauco Sofas",F409="Requiez",F409="Labenze",F409="Sunon Mty",F409="Sonara"),(M409*(1-_xlfn.XLOOKUP(F409,Proveedores!A:A,Proveedores!I:I)))*(1+N409),((M409*(1-_xlfn.XLOOKUP(F409,Proveedores!A:A,Proveedores!I:I)))*(1+N409))+U409),"")</f>
        <v/>
      </c>
      <c r="P409" s="1031"/>
      <c r="Q409" s="1133">
        <f>IF(K409&lt;&gt;"Importado",0,IF(P409&gt;0,P409*H409,IFERROR(_xlfn.XLOOKUP(F409,Proveedores!A:A,Proveedores!F:F,0)*H409,0)))</f>
        <v>0</v>
      </c>
      <c r="R409" s="1134" t="e">
        <f t="shared" si="304"/>
        <v>#VALUE!</v>
      </c>
      <c r="S409" s="743"/>
      <c r="T409" s="1034" t="e">
        <f t="shared" si="291"/>
        <v>#N/A</v>
      </c>
      <c r="U409" s="1034" t="e">
        <f t="shared" si="305"/>
        <v>#N/A</v>
      </c>
      <c r="V409" s="1165" t="e">
        <f t="shared" si="292"/>
        <v>#N/A</v>
      </c>
      <c r="W409" s="1034" t="e">
        <f t="shared" si="306"/>
        <v>#N/A</v>
      </c>
      <c r="X409" s="1034" t="b">
        <f t="shared" si="307"/>
        <v>0</v>
      </c>
      <c r="Y409" s="1034">
        <f t="shared" si="308"/>
        <v>0</v>
      </c>
      <c r="Z409" s="1034">
        <f t="shared" si="309"/>
        <v>0</v>
      </c>
      <c r="AA409" s="1034">
        <f t="shared" si="293"/>
        <v>0</v>
      </c>
      <c r="AB409" s="1034">
        <f t="shared" si="294"/>
        <v>0</v>
      </c>
      <c r="AC409" s="1033">
        <f t="shared" si="310"/>
        <v>0</v>
      </c>
      <c r="AD409" s="1266">
        <f t="shared" si="295"/>
        <v>0</v>
      </c>
      <c r="AE409" s="1093">
        <f t="shared" si="311"/>
        <v>0</v>
      </c>
      <c r="AF409" s="1093">
        <f t="shared" si="312"/>
        <v>0</v>
      </c>
      <c r="AG409" s="1093">
        <f t="shared" si="296"/>
        <v>0</v>
      </c>
      <c r="AH409" s="1033" t="e">
        <f t="shared" si="297"/>
        <v>#DIV/0!</v>
      </c>
      <c r="AI409" s="1091">
        <f t="shared" si="298"/>
        <v>0</v>
      </c>
      <c r="AJ409" s="1094">
        <f t="shared" si="299"/>
        <v>0</v>
      </c>
      <c r="AK409" s="1053" t="str">
        <f t="shared" si="300"/>
        <v/>
      </c>
      <c r="AL409" s="1053"/>
      <c r="AM409" s="1290">
        <f>_xlfn.XLOOKUP(F409,Proveedores!A:A,Proveedores!G:G)</f>
        <v>0</v>
      </c>
      <c r="AN409" s="1095" t="str">
        <f t="shared" si="313"/>
        <v>OK</v>
      </c>
    </row>
    <row r="410" spans="1:40" ht="15.95">
      <c r="A410" s="1090" t="b">
        <f t="shared" si="288"/>
        <v>1</v>
      </c>
      <c r="B410" s="1091" t="b">
        <f t="shared" si="301"/>
        <v>1</v>
      </c>
      <c r="C410" s="1092" t="str">
        <f t="shared" si="302"/>
        <v>Dólares</v>
      </c>
      <c r="D410" s="13"/>
      <c r="E410" s="743"/>
      <c r="F410" s="17"/>
      <c r="G410" s="17" t="str">
        <f t="shared" si="289"/>
        <v xml:space="preserve"> </v>
      </c>
      <c r="H410" s="12">
        <v>0</v>
      </c>
      <c r="I410" s="16" t="str">
        <f>IFERROR(VLOOKUP(G410,Proveedores!B:C,2,0)," ")</f>
        <v xml:space="preserve"> </v>
      </c>
      <c r="J410" s="745">
        <v>0</v>
      </c>
      <c r="K410" s="745" t="str">
        <f t="shared" si="290"/>
        <v>Not Found</v>
      </c>
      <c r="L410" s="16">
        <f>IF(K410="Importado",Fletes!$B$66,0%)</f>
        <v>0</v>
      </c>
      <c r="M410" s="745">
        <f t="shared" si="303"/>
        <v>0</v>
      </c>
      <c r="N410" s="16">
        <f>IF(K410&lt;&gt;"Importado",0%,IF(Fletes!$B$67&lt;10,15%,IF(Fletes!$B$67&lt;20,10%,5%)))</f>
        <v>0</v>
      </c>
      <c r="O410" s="745" t="str">
        <f>IFERROR(IF(OR(F410="Offiho",F410="Lauco Sofas",F410="Requiez",F410="Labenze",F410="Sunon Mty",F410="Sonara"),(M410*(1-_xlfn.XLOOKUP(F410,Proveedores!A:A,Proveedores!I:I)))*(1+N410),((M410*(1-_xlfn.XLOOKUP(F410,Proveedores!A:A,Proveedores!I:I)))*(1+N410))+U410),"")</f>
        <v/>
      </c>
      <c r="P410" s="1031"/>
      <c r="Q410" s="1133">
        <f>IF(K410&lt;&gt;"Importado",0,IF(P410&gt;0,P410*H410,IFERROR(_xlfn.XLOOKUP(F410,Proveedores!A:A,Proveedores!F:F,0)*H410,0)))</f>
        <v>0</v>
      </c>
      <c r="R410" s="1134" t="e">
        <f t="shared" si="304"/>
        <v>#VALUE!</v>
      </c>
      <c r="S410" s="743"/>
      <c r="T410" s="1034" t="e">
        <f t="shared" si="291"/>
        <v>#N/A</v>
      </c>
      <c r="U410" s="1034" t="e">
        <f t="shared" si="305"/>
        <v>#N/A</v>
      </c>
      <c r="V410" s="1165" t="e">
        <f t="shared" si="292"/>
        <v>#N/A</v>
      </c>
      <c r="W410" s="1034" t="e">
        <f t="shared" si="306"/>
        <v>#N/A</v>
      </c>
      <c r="X410" s="1034" t="b">
        <f t="shared" si="307"/>
        <v>0</v>
      </c>
      <c r="Y410" s="1034">
        <f t="shared" si="308"/>
        <v>0</v>
      </c>
      <c r="Z410" s="1034">
        <f t="shared" si="309"/>
        <v>0</v>
      </c>
      <c r="AA410" s="1034">
        <f t="shared" si="293"/>
        <v>0</v>
      </c>
      <c r="AB410" s="1034">
        <f t="shared" si="294"/>
        <v>0</v>
      </c>
      <c r="AC410" s="1033">
        <f t="shared" si="310"/>
        <v>0</v>
      </c>
      <c r="AD410" s="1266">
        <f t="shared" si="295"/>
        <v>0</v>
      </c>
      <c r="AE410" s="1093">
        <f t="shared" si="311"/>
        <v>0</v>
      </c>
      <c r="AF410" s="1093">
        <f t="shared" si="312"/>
        <v>0</v>
      </c>
      <c r="AG410" s="1093">
        <f t="shared" si="296"/>
        <v>0</v>
      </c>
      <c r="AH410" s="1033" t="e">
        <f t="shared" si="297"/>
        <v>#DIV/0!</v>
      </c>
      <c r="AI410" s="1091">
        <f t="shared" si="298"/>
        <v>0</v>
      </c>
      <c r="AJ410" s="1094">
        <f t="shared" si="299"/>
        <v>0</v>
      </c>
      <c r="AK410" s="1053" t="str">
        <f t="shared" si="300"/>
        <v/>
      </c>
      <c r="AL410" s="1053"/>
      <c r="AM410" s="1290">
        <f>_xlfn.XLOOKUP(F410,Proveedores!A:A,Proveedores!G:G)</f>
        <v>0</v>
      </c>
      <c r="AN410" s="1095" t="str">
        <f t="shared" si="313"/>
        <v>OK</v>
      </c>
    </row>
    <row r="411" spans="1:40" ht="15.95">
      <c r="A411" s="1090" t="b">
        <f t="shared" si="288"/>
        <v>1</v>
      </c>
      <c r="B411" s="1091" t="b">
        <f t="shared" si="301"/>
        <v>1</v>
      </c>
      <c r="C411" s="1092" t="str">
        <f t="shared" si="302"/>
        <v>Dólares</v>
      </c>
      <c r="D411" s="13"/>
      <c r="E411" s="743"/>
      <c r="F411" s="17"/>
      <c r="G411" s="17" t="str">
        <f t="shared" si="289"/>
        <v xml:space="preserve"> </v>
      </c>
      <c r="H411" s="12">
        <v>0</v>
      </c>
      <c r="I411" s="16" t="str">
        <f>IFERROR(VLOOKUP(G411,Proveedores!B:C,2,0)," ")</f>
        <v xml:space="preserve"> </v>
      </c>
      <c r="J411" s="745">
        <v>0</v>
      </c>
      <c r="K411" s="745" t="str">
        <f t="shared" si="290"/>
        <v>Not Found</v>
      </c>
      <c r="L411" s="16">
        <f>IF(K411="Importado",Fletes!$B$66,0%)</f>
        <v>0</v>
      </c>
      <c r="M411" s="745">
        <f t="shared" si="303"/>
        <v>0</v>
      </c>
      <c r="N411" s="16">
        <f>IF(K411&lt;&gt;"Importado",0%,IF(Fletes!$B$67&lt;10,15%,IF(Fletes!$B$67&lt;20,10%,5%)))</f>
        <v>0</v>
      </c>
      <c r="O411" s="745" t="str">
        <f>IFERROR(IF(OR(F411="Offiho",F411="Lauco Sofas",F411="Requiez",F411="Labenze",F411="Sunon Mty",F411="Sonara"),(M411*(1-_xlfn.XLOOKUP(F411,Proveedores!A:A,Proveedores!I:I)))*(1+N411),((M411*(1-_xlfn.XLOOKUP(F411,Proveedores!A:A,Proveedores!I:I)))*(1+N411))+U411),"")</f>
        <v/>
      </c>
      <c r="P411" s="1031"/>
      <c r="Q411" s="1133">
        <f>IF(K411&lt;&gt;"Importado",0,IF(P411&gt;0,P411*H411,IFERROR(_xlfn.XLOOKUP(F411,Proveedores!A:A,Proveedores!F:F,0)*H411,0)))</f>
        <v>0</v>
      </c>
      <c r="R411" s="1134" t="e">
        <f t="shared" si="304"/>
        <v>#VALUE!</v>
      </c>
      <c r="S411" s="743"/>
      <c r="T411" s="1034" t="e">
        <f t="shared" si="291"/>
        <v>#N/A</v>
      </c>
      <c r="U411" s="1034" t="e">
        <f t="shared" si="305"/>
        <v>#N/A</v>
      </c>
      <c r="V411" s="1165" t="e">
        <f t="shared" si="292"/>
        <v>#N/A</v>
      </c>
      <c r="W411" s="1034" t="e">
        <f t="shared" si="306"/>
        <v>#N/A</v>
      </c>
      <c r="X411" s="1034" t="b">
        <f t="shared" si="307"/>
        <v>0</v>
      </c>
      <c r="Y411" s="1034">
        <f t="shared" si="308"/>
        <v>0</v>
      </c>
      <c r="Z411" s="1034">
        <f t="shared" si="309"/>
        <v>0</v>
      </c>
      <c r="AA411" s="1034">
        <f t="shared" si="293"/>
        <v>0</v>
      </c>
      <c r="AB411" s="1034">
        <f t="shared" si="294"/>
        <v>0</v>
      </c>
      <c r="AC411" s="1033">
        <f t="shared" si="310"/>
        <v>0</v>
      </c>
      <c r="AD411" s="1266">
        <f t="shared" si="295"/>
        <v>0</v>
      </c>
      <c r="AE411" s="1093">
        <f t="shared" si="311"/>
        <v>0</v>
      </c>
      <c r="AF411" s="1093">
        <f t="shared" si="312"/>
        <v>0</v>
      </c>
      <c r="AG411" s="1093">
        <f t="shared" si="296"/>
        <v>0</v>
      </c>
      <c r="AH411" s="1033" t="e">
        <f t="shared" si="297"/>
        <v>#DIV/0!</v>
      </c>
      <c r="AI411" s="1091">
        <f t="shared" si="298"/>
        <v>0</v>
      </c>
      <c r="AJ411" s="1094">
        <f t="shared" si="299"/>
        <v>0</v>
      </c>
      <c r="AK411" s="1053" t="str">
        <f t="shared" si="300"/>
        <v/>
      </c>
      <c r="AL411" s="1053"/>
      <c r="AM411" s="1290">
        <f>_xlfn.XLOOKUP(F411,Proveedores!A:A,Proveedores!G:G)</f>
        <v>0</v>
      </c>
      <c r="AN411" s="1095" t="str">
        <f t="shared" si="313"/>
        <v>OK</v>
      </c>
    </row>
    <row r="412" spans="1:40" ht="15.95">
      <c r="A412" s="1090" t="b">
        <f t="shared" si="288"/>
        <v>1</v>
      </c>
      <c r="B412" s="1091" t="b">
        <f t="shared" si="301"/>
        <v>1</v>
      </c>
      <c r="C412" s="1092" t="str">
        <f t="shared" si="302"/>
        <v>Dólares</v>
      </c>
      <c r="D412" s="13"/>
      <c r="E412" s="743"/>
      <c r="F412" s="17"/>
      <c r="G412" s="17" t="str">
        <f t="shared" si="289"/>
        <v xml:space="preserve"> </v>
      </c>
      <c r="H412" s="12">
        <v>0</v>
      </c>
      <c r="I412" s="16" t="str">
        <f>IFERROR(VLOOKUP(G412,Proveedores!B:C,2,0)," ")</f>
        <v xml:space="preserve"> </v>
      </c>
      <c r="J412" s="745">
        <v>0</v>
      </c>
      <c r="K412" s="745" t="str">
        <f t="shared" si="290"/>
        <v>Not Found</v>
      </c>
      <c r="L412" s="16">
        <f>IF(K412="Importado",Fletes!$B$66,0%)</f>
        <v>0</v>
      </c>
      <c r="M412" s="745">
        <f t="shared" si="303"/>
        <v>0</v>
      </c>
      <c r="N412" s="16">
        <f>IF(K412&lt;&gt;"Importado",0%,IF(Fletes!$B$67&lt;10,15%,IF(Fletes!$B$67&lt;20,10%,5%)))</f>
        <v>0</v>
      </c>
      <c r="O412" s="745" t="str">
        <f>IFERROR(IF(OR(F412="Offiho",F412="Lauco Sofas",F412="Requiez",F412="Labenze",F412="Sunon Mty",F412="Sonara"),(M412*(1-_xlfn.XLOOKUP(F412,Proveedores!A:A,Proveedores!I:I)))*(1+N412),((M412*(1-_xlfn.XLOOKUP(F412,Proveedores!A:A,Proveedores!I:I)))*(1+N412))+U412),"")</f>
        <v/>
      </c>
      <c r="P412" s="1031"/>
      <c r="Q412" s="1133">
        <f>IF(K412&lt;&gt;"Importado",0,IF(P412&gt;0,P412*H412,IFERROR(_xlfn.XLOOKUP(F412,Proveedores!A:A,Proveedores!F:F,0)*H412,0)))</f>
        <v>0</v>
      </c>
      <c r="R412" s="1134" t="e">
        <f t="shared" si="304"/>
        <v>#VALUE!</v>
      </c>
      <c r="S412" s="743"/>
      <c r="T412" s="1034" t="e">
        <f t="shared" si="291"/>
        <v>#N/A</v>
      </c>
      <c r="U412" s="1034" t="e">
        <f t="shared" si="305"/>
        <v>#N/A</v>
      </c>
      <c r="V412" s="1165" t="e">
        <f t="shared" si="292"/>
        <v>#N/A</v>
      </c>
      <c r="W412" s="1034" t="e">
        <f t="shared" si="306"/>
        <v>#N/A</v>
      </c>
      <c r="X412" s="1034" t="b">
        <f t="shared" si="307"/>
        <v>0</v>
      </c>
      <c r="Y412" s="1034">
        <f t="shared" si="308"/>
        <v>0</v>
      </c>
      <c r="Z412" s="1034">
        <f t="shared" si="309"/>
        <v>0</v>
      </c>
      <c r="AA412" s="1034">
        <f t="shared" si="293"/>
        <v>0</v>
      </c>
      <c r="AB412" s="1034">
        <f t="shared" si="294"/>
        <v>0</v>
      </c>
      <c r="AC412" s="1033">
        <f t="shared" si="310"/>
        <v>0</v>
      </c>
      <c r="AD412" s="1266">
        <f t="shared" si="295"/>
        <v>0</v>
      </c>
      <c r="AE412" s="1093">
        <f t="shared" si="311"/>
        <v>0</v>
      </c>
      <c r="AF412" s="1093">
        <f t="shared" si="312"/>
        <v>0</v>
      </c>
      <c r="AG412" s="1093">
        <f t="shared" si="296"/>
        <v>0</v>
      </c>
      <c r="AH412" s="1033" t="e">
        <f t="shared" si="297"/>
        <v>#DIV/0!</v>
      </c>
      <c r="AI412" s="1091">
        <f t="shared" si="298"/>
        <v>0</v>
      </c>
      <c r="AJ412" s="1094">
        <f t="shared" si="299"/>
        <v>0</v>
      </c>
      <c r="AK412" s="1053" t="str">
        <f t="shared" si="300"/>
        <v/>
      </c>
      <c r="AL412" s="1053"/>
      <c r="AM412" s="1290">
        <f>_xlfn.XLOOKUP(F412,Proveedores!A:A,Proveedores!G:G)</f>
        <v>0</v>
      </c>
      <c r="AN412" s="1095" t="str">
        <f t="shared" si="313"/>
        <v>OK</v>
      </c>
    </row>
    <row r="413" spans="1:40" ht="15.95">
      <c r="A413" s="1090" t="b">
        <f t="shared" si="288"/>
        <v>1</v>
      </c>
      <c r="B413" s="1091" t="b">
        <f t="shared" si="301"/>
        <v>1</v>
      </c>
      <c r="C413" s="1092" t="str">
        <f t="shared" si="302"/>
        <v>Dólares</v>
      </c>
      <c r="D413" s="13"/>
      <c r="E413" s="743"/>
      <c r="F413" s="17"/>
      <c r="G413" s="17" t="str">
        <f t="shared" si="289"/>
        <v xml:space="preserve"> </v>
      </c>
      <c r="H413" s="12">
        <v>0</v>
      </c>
      <c r="I413" s="16" t="str">
        <f>IFERROR(VLOOKUP(G413,Proveedores!B:C,2,0)," ")</f>
        <v xml:space="preserve"> </v>
      </c>
      <c r="J413" s="745">
        <v>0</v>
      </c>
      <c r="K413" s="745" t="str">
        <f t="shared" si="290"/>
        <v>Not Found</v>
      </c>
      <c r="L413" s="16">
        <f>IF(K413="Importado",Fletes!$B$66,0%)</f>
        <v>0</v>
      </c>
      <c r="M413" s="745">
        <f t="shared" si="303"/>
        <v>0</v>
      </c>
      <c r="N413" s="16">
        <f>IF(K413&lt;&gt;"Importado",0%,IF(Fletes!$B$67&lt;10,15%,IF(Fletes!$B$67&lt;20,10%,5%)))</f>
        <v>0</v>
      </c>
      <c r="O413" s="745" t="str">
        <f>IFERROR(IF(OR(F413="Offiho",F413="Lauco Sofas",F413="Requiez",F413="Labenze",F413="Sunon Mty",F413="Sonara"),(M413*(1-_xlfn.XLOOKUP(F413,Proveedores!A:A,Proveedores!I:I)))*(1+N413),((M413*(1-_xlfn.XLOOKUP(F413,Proveedores!A:A,Proveedores!I:I)))*(1+N413))+U413),"")</f>
        <v/>
      </c>
      <c r="P413" s="1031"/>
      <c r="Q413" s="1133">
        <f>IF(K413&lt;&gt;"Importado",0,IF(P413&gt;0,P413*H413,IFERROR(_xlfn.XLOOKUP(F413,Proveedores!A:A,Proveedores!F:F,0)*H413,0)))</f>
        <v>0</v>
      </c>
      <c r="R413" s="1134" t="e">
        <f t="shared" si="304"/>
        <v>#VALUE!</v>
      </c>
      <c r="S413" s="743"/>
      <c r="T413" s="1034" t="e">
        <f t="shared" si="291"/>
        <v>#N/A</v>
      </c>
      <c r="U413" s="1034" t="e">
        <f t="shared" si="305"/>
        <v>#N/A</v>
      </c>
      <c r="V413" s="1165" t="e">
        <f t="shared" si="292"/>
        <v>#N/A</v>
      </c>
      <c r="W413" s="1034" t="e">
        <f t="shared" si="306"/>
        <v>#N/A</v>
      </c>
      <c r="X413" s="1034" t="b">
        <f t="shared" si="307"/>
        <v>0</v>
      </c>
      <c r="Y413" s="1034">
        <f t="shared" si="308"/>
        <v>0</v>
      </c>
      <c r="Z413" s="1034">
        <f t="shared" si="309"/>
        <v>0</v>
      </c>
      <c r="AA413" s="1034">
        <f t="shared" si="293"/>
        <v>0</v>
      </c>
      <c r="AB413" s="1034">
        <f t="shared" si="294"/>
        <v>0</v>
      </c>
      <c r="AC413" s="1033">
        <f t="shared" si="310"/>
        <v>0</v>
      </c>
      <c r="AD413" s="1266">
        <f t="shared" si="295"/>
        <v>0</v>
      </c>
      <c r="AE413" s="1093">
        <f t="shared" si="311"/>
        <v>0</v>
      </c>
      <c r="AF413" s="1093">
        <f t="shared" si="312"/>
        <v>0</v>
      </c>
      <c r="AG413" s="1093">
        <f t="shared" si="296"/>
        <v>0</v>
      </c>
      <c r="AH413" s="1033" t="e">
        <f t="shared" si="297"/>
        <v>#DIV/0!</v>
      </c>
      <c r="AI413" s="1091">
        <f t="shared" si="298"/>
        <v>0</v>
      </c>
      <c r="AJ413" s="1094">
        <f t="shared" si="299"/>
        <v>0</v>
      </c>
      <c r="AK413" s="1053" t="str">
        <f t="shared" si="300"/>
        <v/>
      </c>
      <c r="AL413" s="1053"/>
      <c r="AM413" s="1290">
        <f>_xlfn.XLOOKUP(F413,Proveedores!A:A,Proveedores!G:G)</f>
        <v>0</v>
      </c>
      <c r="AN413" s="1095" t="str">
        <f t="shared" si="313"/>
        <v>OK</v>
      </c>
    </row>
    <row r="414" spans="1:40" ht="15.95">
      <c r="A414" s="1090" t="b">
        <f t="shared" si="288"/>
        <v>1</v>
      </c>
      <c r="B414" s="1091" t="b">
        <f t="shared" si="301"/>
        <v>1</v>
      </c>
      <c r="C414" s="1092" t="str">
        <f t="shared" si="302"/>
        <v>Dólares</v>
      </c>
      <c r="D414" s="13"/>
      <c r="E414" s="743"/>
      <c r="F414" s="17"/>
      <c r="G414" s="17" t="str">
        <f t="shared" si="289"/>
        <v xml:space="preserve"> </v>
      </c>
      <c r="H414" s="12">
        <v>0</v>
      </c>
      <c r="I414" s="16" t="str">
        <f>IFERROR(VLOOKUP(G414,Proveedores!B:C,2,0)," ")</f>
        <v xml:space="preserve"> </v>
      </c>
      <c r="J414" s="745">
        <v>0</v>
      </c>
      <c r="K414" s="745" t="str">
        <f t="shared" si="290"/>
        <v>Not Found</v>
      </c>
      <c r="L414" s="16">
        <f>IF(K414="Importado",Fletes!$B$66,0%)</f>
        <v>0</v>
      </c>
      <c r="M414" s="745">
        <f t="shared" si="303"/>
        <v>0</v>
      </c>
      <c r="N414" s="16">
        <f>IF(K414&lt;&gt;"Importado",0%,IF(Fletes!$B$67&lt;10,15%,IF(Fletes!$B$67&lt;20,10%,5%)))</f>
        <v>0</v>
      </c>
      <c r="O414" s="745" t="str">
        <f>IFERROR(IF(OR(F414="Offiho",F414="Lauco Sofas",F414="Requiez",F414="Labenze",F414="Sunon Mty",F414="Sonara"),(M414*(1-_xlfn.XLOOKUP(F414,Proveedores!A:A,Proveedores!I:I)))*(1+N414),((M414*(1-_xlfn.XLOOKUP(F414,Proveedores!A:A,Proveedores!I:I)))*(1+N414))+U414),"")</f>
        <v/>
      </c>
      <c r="P414" s="1031"/>
      <c r="Q414" s="1133">
        <f>IF(K414&lt;&gt;"Importado",0,IF(P414&gt;0,P414*H414,IFERROR(_xlfn.XLOOKUP(F414,Proveedores!A:A,Proveedores!F:F,0)*H414,0)))</f>
        <v>0</v>
      </c>
      <c r="R414" s="1134" t="e">
        <f t="shared" si="304"/>
        <v>#VALUE!</v>
      </c>
      <c r="S414" s="743"/>
      <c r="T414" s="1034" t="e">
        <f t="shared" si="291"/>
        <v>#N/A</v>
      </c>
      <c r="U414" s="1034" t="e">
        <f t="shared" si="305"/>
        <v>#N/A</v>
      </c>
      <c r="V414" s="1165" t="e">
        <f t="shared" si="292"/>
        <v>#N/A</v>
      </c>
      <c r="W414" s="1034" t="e">
        <f t="shared" si="306"/>
        <v>#N/A</v>
      </c>
      <c r="X414" s="1034" t="b">
        <f t="shared" si="307"/>
        <v>0</v>
      </c>
      <c r="Y414" s="1034">
        <f t="shared" si="308"/>
        <v>0</v>
      </c>
      <c r="Z414" s="1034">
        <f t="shared" si="309"/>
        <v>0</v>
      </c>
      <c r="AA414" s="1034">
        <f t="shared" si="293"/>
        <v>0</v>
      </c>
      <c r="AB414" s="1034">
        <f t="shared" si="294"/>
        <v>0</v>
      </c>
      <c r="AC414" s="1033">
        <f t="shared" si="310"/>
        <v>0</v>
      </c>
      <c r="AD414" s="1266">
        <f t="shared" si="295"/>
        <v>0</v>
      </c>
      <c r="AE414" s="1093">
        <f t="shared" si="311"/>
        <v>0</v>
      </c>
      <c r="AF414" s="1093">
        <f t="shared" si="312"/>
        <v>0</v>
      </c>
      <c r="AG414" s="1093">
        <f t="shared" si="296"/>
        <v>0</v>
      </c>
      <c r="AH414" s="1033" t="e">
        <f t="shared" si="297"/>
        <v>#DIV/0!</v>
      </c>
      <c r="AI414" s="1091">
        <f t="shared" si="298"/>
        <v>0</v>
      </c>
      <c r="AJ414" s="1094">
        <f t="shared" si="299"/>
        <v>0</v>
      </c>
      <c r="AK414" s="1053" t="str">
        <f t="shared" si="300"/>
        <v/>
      </c>
      <c r="AL414" s="1053"/>
      <c r="AM414" s="1290">
        <f>_xlfn.XLOOKUP(F414,Proveedores!A:A,Proveedores!G:G)</f>
        <v>0</v>
      </c>
      <c r="AN414" s="1095" t="str">
        <f t="shared" si="313"/>
        <v>OK</v>
      </c>
    </row>
    <row r="415" spans="1:40" ht="15.95">
      <c r="A415" s="1090" t="b">
        <f t="shared" si="288"/>
        <v>1</v>
      </c>
      <c r="B415" s="1091" t="b">
        <f t="shared" si="301"/>
        <v>1</v>
      </c>
      <c r="C415" s="1092" t="str">
        <f t="shared" si="302"/>
        <v>Dólares</v>
      </c>
      <c r="D415" s="13"/>
      <c r="E415" s="743"/>
      <c r="F415" s="17"/>
      <c r="G415" s="17" t="str">
        <f t="shared" si="289"/>
        <v xml:space="preserve"> </v>
      </c>
      <c r="H415" s="12">
        <v>0</v>
      </c>
      <c r="I415" s="16" t="str">
        <f>IFERROR(VLOOKUP(G415,Proveedores!B:C,2,0)," ")</f>
        <v xml:space="preserve"> </v>
      </c>
      <c r="J415" s="745">
        <v>0</v>
      </c>
      <c r="K415" s="745" t="str">
        <f t="shared" si="290"/>
        <v>Not Found</v>
      </c>
      <c r="L415" s="16">
        <f>IF(K415="Importado",Fletes!$B$66,0%)</f>
        <v>0</v>
      </c>
      <c r="M415" s="745">
        <f t="shared" si="303"/>
        <v>0</v>
      </c>
      <c r="N415" s="16">
        <f>IF(K415&lt;&gt;"Importado",0%,IF(Fletes!$B$67&lt;10,15%,IF(Fletes!$B$67&lt;20,10%,5%)))</f>
        <v>0</v>
      </c>
      <c r="O415" s="745" t="str">
        <f>IFERROR(IF(OR(F415="Offiho",F415="Lauco Sofas",F415="Requiez",F415="Labenze",F415="Sunon Mty",F415="Sonara"),(M415*(1-_xlfn.XLOOKUP(F415,Proveedores!A:A,Proveedores!I:I)))*(1+N415),((M415*(1-_xlfn.XLOOKUP(F415,Proveedores!A:A,Proveedores!I:I)))*(1+N415))+U415),"")</f>
        <v/>
      </c>
      <c r="P415" s="1031"/>
      <c r="Q415" s="1133">
        <f>IF(K415&lt;&gt;"Importado",0,IF(P415&gt;0,P415*H415,IFERROR(_xlfn.XLOOKUP(F415,Proveedores!A:A,Proveedores!F:F,0)*H415,0)))</f>
        <v>0</v>
      </c>
      <c r="R415" s="1134" t="e">
        <f t="shared" si="304"/>
        <v>#VALUE!</v>
      </c>
      <c r="S415" s="743"/>
      <c r="T415" s="1034" t="e">
        <f t="shared" si="291"/>
        <v>#N/A</v>
      </c>
      <c r="U415" s="1034" t="e">
        <f t="shared" si="305"/>
        <v>#N/A</v>
      </c>
      <c r="V415" s="1165" t="e">
        <f t="shared" si="292"/>
        <v>#N/A</v>
      </c>
      <c r="W415" s="1034" t="e">
        <f t="shared" si="306"/>
        <v>#N/A</v>
      </c>
      <c r="X415" s="1034" t="b">
        <f t="shared" si="307"/>
        <v>0</v>
      </c>
      <c r="Y415" s="1034">
        <f t="shared" si="308"/>
        <v>0</v>
      </c>
      <c r="Z415" s="1034">
        <f t="shared" si="309"/>
        <v>0</v>
      </c>
      <c r="AA415" s="1034">
        <f t="shared" si="293"/>
        <v>0</v>
      </c>
      <c r="AB415" s="1034">
        <f t="shared" si="294"/>
        <v>0</v>
      </c>
      <c r="AC415" s="1033">
        <f t="shared" si="310"/>
        <v>0</v>
      </c>
      <c r="AD415" s="1266">
        <f t="shared" si="295"/>
        <v>0</v>
      </c>
      <c r="AE415" s="1093">
        <f t="shared" si="311"/>
        <v>0</v>
      </c>
      <c r="AF415" s="1093">
        <f t="shared" si="312"/>
        <v>0</v>
      </c>
      <c r="AG415" s="1093">
        <f t="shared" si="296"/>
        <v>0</v>
      </c>
      <c r="AH415" s="1033" t="e">
        <f t="shared" si="297"/>
        <v>#DIV/0!</v>
      </c>
      <c r="AI415" s="1091">
        <f t="shared" si="298"/>
        <v>0</v>
      </c>
      <c r="AJ415" s="1094">
        <f t="shared" si="299"/>
        <v>0</v>
      </c>
      <c r="AK415" s="1053" t="str">
        <f t="shared" si="300"/>
        <v/>
      </c>
      <c r="AL415" s="1053"/>
      <c r="AM415" s="1290">
        <f>_xlfn.XLOOKUP(F415,Proveedores!A:A,Proveedores!G:G)</f>
        <v>0</v>
      </c>
      <c r="AN415" s="1095" t="str">
        <f t="shared" si="313"/>
        <v>OK</v>
      </c>
    </row>
    <row r="416" spans="1:40" ht="15.95">
      <c r="A416" s="1090" t="b">
        <f t="shared" si="288"/>
        <v>1</v>
      </c>
      <c r="B416" s="1091" t="b">
        <f t="shared" si="301"/>
        <v>1</v>
      </c>
      <c r="C416" s="1092" t="str">
        <f t="shared" si="302"/>
        <v>Dólares</v>
      </c>
      <c r="D416" s="13"/>
      <c r="E416" s="743"/>
      <c r="F416" s="17"/>
      <c r="G416" s="17" t="str">
        <f t="shared" si="289"/>
        <v xml:space="preserve"> </v>
      </c>
      <c r="H416" s="12">
        <v>0</v>
      </c>
      <c r="I416" s="16" t="str">
        <f>IFERROR(VLOOKUP(G416,Proveedores!B:C,2,0)," ")</f>
        <v xml:space="preserve"> </v>
      </c>
      <c r="J416" s="745">
        <v>0</v>
      </c>
      <c r="K416" s="745" t="str">
        <f t="shared" si="290"/>
        <v>Not Found</v>
      </c>
      <c r="L416" s="16">
        <f>IF(K416="Importado",Fletes!$B$66,0%)</f>
        <v>0</v>
      </c>
      <c r="M416" s="745">
        <f t="shared" si="303"/>
        <v>0</v>
      </c>
      <c r="N416" s="16">
        <f>IF(K416&lt;&gt;"Importado",0%,IF(Fletes!$B$67&lt;10,15%,IF(Fletes!$B$67&lt;20,10%,5%)))</f>
        <v>0</v>
      </c>
      <c r="O416" s="745" t="str">
        <f>IFERROR(IF(OR(F416="Offiho",F416="Lauco Sofas",F416="Requiez",F416="Labenze",F416="Sunon Mty",F416="Sonara"),(M416*(1-_xlfn.XLOOKUP(F416,Proveedores!A:A,Proveedores!I:I)))*(1+N416),((M416*(1-_xlfn.XLOOKUP(F416,Proveedores!A:A,Proveedores!I:I)))*(1+N416))+U416),"")</f>
        <v/>
      </c>
      <c r="P416" s="1031"/>
      <c r="Q416" s="1133">
        <f>IF(K416&lt;&gt;"Importado",0,IF(P416&gt;0,P416*H416,IFERROR(_xlfn.XLOOKUP(F416,Proveedores!A:A,Proveedores!F:F,0)*H416,0)))</f>
        <v>0</v>
      </c>
      <c r="R416" s="1134" t="e">
        <f t="shared" si="304"/>
        <v>#VALUE!</v>
      </c>
      <c r="S416" s="743"/>
      <c r="T416" s="1034" t="e">
        <f t="shared" si="291"/>
        <v>#N/A</v>
      </c>
      <c r="U416" s="1034" t="e">
        <f t="shared" si="305"/>
        <v>#N/A</v>
      </c>
      <c r="V416" s="1165" t="e">
        <f t="shared" si="292"/>
        <v>#N/A</v>
      </c>
      <c r="W416" s="1034" t="e">
        <f t="shared" si="306"/>
        <v>#N/A</v>
      </c>
      <c r="X416" s="1034" t="b">
        <f t="shared" si="307"/>
        <v>0</v>
      </c>
      <c r="Y416" s="1034">
        <f t="shared" si="308"/>
        <v>0</v>
      </c>
      <c r="Z416" s="1034">
        <f t="shared" si="309"/>
        <v>0</v>
      </c>
      <c r="AA416" s="1034">
        <f t="shared" si="293"/>
        <v>0</v>
      </c>
      <c r="AB416" s="1034">
        <f t="shared" si="294"/>
        <v>0</v>
      </c>
      <c r="AC416" s="1033">
        <f t="shared" si="310"/>
        <v>0</v>
      </c>
      <c r="AD416" s="1266">
        <f t="shared" si="295"/>
        <v>0</v>
      </c>
      <c r="AE416" s="1093">
        <f t="shared" si="311"/>
        <v>0</v>
      </c>
      <c r="AF416" s="1093">
        <f t="shared" si="312"/>
        <v>0</v>
      </c>
      <c r="AG416" s="1093">
        <f t="shared" si="296"/>
        <v>0</v>
      </c>
      <c r="AH416" s="1033" t="e">
        <f t="shared" si="297"/>
        <v>#DIV/0!</v>
      </c>
      <c r="AI416" s="1091">
        <f t="shared" si="298"/>
        <v>0</v>
      </c>
      <c r="AJ416" s="1094">
        <f t="shared" si="299"/>
        <v>0</v>
      </c>
      <c r="AK416" s="1053" t="str">
        <f t="shared" si="300"/>
        <v/>
      </c>
      <c r="AL416" s="1053"/>
      <c r="AM416" s="1290">
        <f>_xlfn.XLOOKUP(F416,Proveedores!A:A,Proveedores!G:G)</f>
        <v>0</v>
      </c>
      <c r="AN416" s="1095" t="str">
        <f t="shared" si="313"/>
        <v>OK</v>
      </c>
    </row>
    <row r="417" spans="1:40" ht="15.95">
      <c r="A417" s="1090" t="b">
        <f t="shared" si="288"/>
        <v>1</v>
      </c>
      <c r="B417" s="1091" t="b">
        <f t="shared" si="301"/>
        <v>1</v>
      </c>
      <c r="C417" s="1092" t="str">
        <f t="shared" si="302"/>
        <v>Dólares</v>
      </c>
      <c r="D417" s="14"/>
      <c r="E417" s="743"/>
      <c r="F417" s="17"/>
      <c r="G417" s="17" t="str">
        <f t="shared" si="289"/>
        <v xml:space="preserve"> </v>
      </c>
      <c r="H417" s="12">
        <v>0</v>
      </c>
      <c r="I417" s="16" t="str">
        <f>IFERROR(VLOOKUP(G417,Proveedores!B:C,2,0)," ")</f>
        <v xml:space="preserve"> </v>
      </c>
      <c r="J417" s="745">
        <v>0</v>
      </c>
      <c r="K417" s="745" t="str">
        <f t="shared" si="290"/>
        <v>Not Found</v>
      </c>
      <c r="L417" s="16">
        <f>IF(K417="Importado",Fletes!$B$66,0%)</f>
        <v>0</v>
      </c>
      <c r="M417" s="745">
        <f t="shared" si="303"/>
        <v>0</v>
      </c>
      <c r="N417" s="16">
        <f>IF(K417&lt;&gt;"Importado",0%,IF(Fletes!$B$67&lt;10,15%,IF(Fletes!$B$67&lt;20,10%,5%)))</f>
        <v>0</v>
      </c>
      <c r="O417" s="745" t="str">
        <f>IFERROR(IF(OR(F417="Offiho",F417="Lauco Sofas",F417="Requiez",F417="Labenze",F417="Sunon Mty",F417="Sonara"),(M417*(1-_xlfn.XLOOKUP(F417,Proveedores!A:A,Proveedores!I:I)))*(1+N417),((M417*(1-_xlfn.XLOOKUP(F417,Proveedores!A:A,Proveedores!I:I)))*(1+N417))+U417),"")</f>
        <v/>
      </c>
      <c r="P417" s="1031"/>
      <c r="Q417" s="1133">
        <f>IF(K417&lt;&gt;"Importado",0,IF(P417&gt;0,P417*H417,IFERROR(_xlfn.XLOOKUP(F417,Proveedores!A:A,Proveedores!F:F,0)*H417,0)))</f>
        <v>0</v>
      </c>
      <c r="R417" s="1134" t="e">
        <f t="shared" si="304"/>
        <v>#VALUE!</v>
      </c>
      <c r="S417" s="743"/>
      <c r="T417" s="1034" t="e">
        <f t="shared" si="291"/>
        <v>#N/A</v>
      </c>
      <c r="U417" s="1034" t="e">
        <f t="shared" si="305"/>
        <v>#N/A</v>
      </c>
      <c r="V417" s="1165" t="e">
        <f t="shared" si="292"/>
        <v>#N/A</v>
      </c>
      <c r="W417" s="1034" t="e">
        <f t="shared" si="306"/>
        <v>#N/A</v>
      </c>
      <c r="X417" s="1034" t="b">
        <f t="shared" si="307"/>
        <v>0</v>
      </c>
      <c r="Y417" s="1034">
        <f t="shared" si="308"/>
        <v>0</v>
      </c>
      <c r="Z417" s="1034">
        <f t="shared" si="309"/>
        <v>0</v>
      </c>
      <c r="AA417" s="1034">
        <f t="shared" si="293"/>
        <v>0</v>
      </c>
      <c r="AB417" s="1034">
        <f t="shared" si="294"/>
        <v>0</v>
      </c>
      <c r="AC417" s="1033">
        <f t="shared" si="310"/>
        <v>0</v>
      </c>
      <c r="AD417" s="1266">
        <f t="shared" si="295"/>
        <v>0</v>
      </c>
      <c r="AE417" s="1093">
        <f t="shared" si="311"/>
        <v>0</v>
      </c>
      <c r="AF417" s="1093">
        <f t="shared" si="312"/>
        <v>0</v>
      </c>
      <c r="AG417" s="1093">
        <f t="shared" si="296"/>
        <v>0</v>
      </c>
      <c r="AH417" s="1033" t="e">
        <f t="shared" si="297"/>
        <v>#DIV/0!</v>
      </c>
      <c r="AI417" s="1091">
        <f t="shared" si="298"/>
        <v>0</v>
      </c>
      <c r="AJ417" s="1094">
        <f t="shared" si="299"/>
        <v>0</v>
      </c>
      <c r="AK417" s="1053" t="str">
        <f t="shared" si="300"/>
        <v/>
      </c>
      <c r="AL417" s="1053"/>
      <c r="AM417" s="1290">
        <f>_xlfn.XLOOKUP(F417,Proveedores!A:A,Proveedores!G:G)</f>
        <v>0</v>
      </c>
      <c r="AN417" s="1095" t="str">
        <f t="shared" si="313"/>
        <v>OK</v>
      </c>
    </row>
    <row r="418" spans="1:40" ht="15.95">
      <c r="A418" s="1090" t="b">
        <f t="shared" si="288"/>
        <v>1</v>
      </c>
      <c r="B418" s="1091" t="b">
        <f t="shared" si="301"/>
        <v>1</v>
      </c>
      <c r="C418" s="1092" t="str">
        <f t="shared" si="302"/>
        <v>Dólares</v>
      </c>
      <c r="D418" s="15"/>
      <c r="E418" s="743"/>
      <c r="F418" s="17"/>
      <c r="G418" s="17" t="str">
        <f t="shared" si="289"/>
        <v xml:space="preserve"> </v>
      </c>
      <c r="H418" s="12">
        <v>0</v>
      </c>
      <c r="I418" s="16" t="str">
        <f>IFERROR(VLOOKUP(G418,Proveedores!B:C,2,0)," ")</f>
        <v xml:space="preserve"> </v>
      </c>
      <c r="J418" s="745">
        <v>0</v>
      </c>
      <c r="K418" s="745" t="str">
        <f t="shared" si="290"/>
        <v>Not Found</v>
      </c>
      <c r="L418" s="16">
        <f>IF(K418="Importado",Fletes!$B$66,0%)</f>
        <v>0</v>
      </c>
      <c r="M418" s="745">
        <f t="shared" si="303"/>
        <v>0</v>
      </c>
      <c r="N418" s="16">
        <f>IF(K418&lt;&gt;"Importado",0%,IF(Fletes!$B$67&lt;10,15%,IF(Fletes!$B$67&lt;20,10%,5%)))</f>
        <v>0</v>
      </c>
      <c r="O418" s="745" t="str">
        <f>IFERROR(IF(OR(F418="Offiho",F418="Lauco Sofas",F418="Requiez",F418="Labenze",F418="Sunon Mty",F418="Sonara"),(M418*(1-_xlfn.XLOOKUP(F418,Proveedores!A:A,Proveedores!I:I)))*(1+N418),((M418*(1-_xlfn.XLOOKUP(F418,Proveedores!A:A,Proveedores!I:I)))*(1+N418))+U418),"")</f>
        <v/>
      </c>
      <c r="P418" s="1031"/>
      <c r="Q418" s="1133">
        <f>IF(K418&lt;&gt;"Importado",0,IF(P418&gt;0,P418*H418,IFERROR(_xlfn.XLOOKUP(F418,Proveedores!A:A,Proveedores!F:F,0)*H418,0)))</f>
        <v>0</v>
      </c>
      <c r="R418" s="1134" t="e">
        <f t="shared" si="304"/>
        <v>#VALUE!</v>
      </c>
      <c r="S418" s="743"/>
      <c r="T418" s="1034" t="e">
        <f t="shared" si="291"/>
        <v>#N/A</v>
      </c>
      <c r="U418" s="1034" t="e">
        <f t="shared" si="305"/>
        <v>#N/A</v>
      </c>
      <c r="V418" s="1165" t="e">
        <f t="shared" si="292"/>
        <v>#N/A</v>
      </c>
      <c r="W418" s="1034" t="e">
        <f t="shared" si="306"/>
        <v>#N/A</v>
      </c>
      <c r="X418" s="1034" t="b">
        <f t="shared" si="307"/>
        <v>0</v>
      </c>
      <c r="Y418" s="1034">
        <f t="shared" si="308"/>
        <v>0</v>
      </c>
      <c r="Z418" s="1034">
        <f t="shared" si="309"/>
        <v>0</v>
      </c>
      <c r="AA418" s="1034">
        <f t="shared" si="293"/>
        <v>0</v>
      </c>
      <c r="AB418" s="1034">
        <f t="shared" si="294"/>
        <v>0</v>
      </c>
      <c r="AC418" s="1033">
        <f t="shared" si="310"/>
        <v>0</v>
      </c>
      <c r="AD418" s="1266">
        <f t="shared" si="295"/>
        <v>0</v>
      </c>
      <c r="AE418" s="1093">
        <f t="shared" si="311"/>
        <v>0</v>
      </c>
      <c r="AF418" s="1093">
        <f t="shared" si="312"/>
        <v>0</v>
      </c>
      <c r="AG418" s="1093">
        <f t="shared" si="296"/>
        <v>0</v>
      </c>
      <c r="AH418" s="1033" t="e">
        <f t="shared" si="297"/>
        <v>#DIV/0!</v>
      </c>
      <c r="AI418" s="1091">
        <f t="shared" si="298"/>
        <v>0</v>
      </c>
      <c r="AJ418" s="1094">
        <f t="shared" si="299"/>
        <v>0</v>
      </c>
      <c r="AK418" s="1053" t="str">
        <f t="shared" si="300"/>
        <v/>
      </c>
      <c r="AL418" s="1053"/>
      <c r="AM418" s="1290">
        <f>_xlfn.XLOOKUP(F418,Proveedores!A:A,Proveedores!G:G)</f>
        <v>0</v>
      </c>
      <c r="AN418" s="1095" t="str">
        <f t="shared" si="313"/>
        <v>OK</v>
      </c>
    </row>
    <row r="419" spans="1:40" ht="15.95">
      <c r="A419" s="1090" t="b">
        <f t="shared" si="288"/>
        <v>1</v>
      </c>
      <c r="B419" s="1091" t="b">
        <f t="shared" si="301"/>
        <v>1</v>
      </c>
      <c r="C419" s="1092" t="str">
        <f t="shared" si="302"/>
        <v>Dólares</v>
      </c>
      <c r="D419" s="15"/>
      <c r="E419" s="743"/>
      <c r="F419" s="17"/>
      <c r="G419" s="17" t="str">
        <f t="shared" si="289"/>
        <v xml:space="preserve"> </v>
      </c>
      <c r="H419" s="12">
        <v>0</v>
      </c>
      <c r="I419" s="16" t="str">
        <f>IFERROR(VLOOKUP(G419,Proveedores!B:C,2,0)," ")</f>
        <v xml:space="preserve"> </v>
      </c>
      <c r="J419" s="745">
        <v>0</v>
      </c>
      <c r="K419" s="745" t="str">
        <f t="shared" si="290"/>
        <v>Not Found</v>
      </c>
      <c r="L419" s="16">
        <f>IF(K419="Importado",Fletes!$B$66,0%)</f>
        <v>0</v>
      </c>
      <c r="M419" s="745">
        <f t="shared" si="303"/>
        <v>0</v>
      </c>
      <c r="N419" s="16">
        <f>IF(K419&lt;&gt;"Importado",0%,IF(Fletes!$B$67&lt;10,15%,IF(Fletes!$B$67&lt;20,10%,5%)))</f>
        <v>0</v>
      </c>
      <c r="O419" s="745" t="str">
        <f>IFERROR(IF(OR(F419="Offiho",F419="Lauco Sofas",F419="Requiez",F419="Labenze",F419="Sunon Mty",F419="Sonara"),(M419*(1-_xlfn.XLOOKUP(F419,Proveedores!A:A,Proveedores!I:I)))*(1+N419),((M419*(1-_xlfn.XLOOKUP(F419,Proveedores!A:A,Proveedores!I:I)))*(1+N419))+U419),"")</f>
        <v/>
      </c>
      <c r="P419" s="1031"/>
      <c r="Q419" s="1133">
        <f>IF(K419&lt;&gt;"Importado",0,IF(P419&gt;0,P419*H419,IFERROR(_xlfn.XLOOKUP(F419,Proveedores!A:A,Proveedores!F:F,0)*H419,0)))</f>
        <v>0</v>
      </c>
      <c r="R419" s="1134" t="e">
        <f t="shared" si="304"/>
        <v>#VALUE!</v>
      </c>
      <c r="S419" s="743"/>
      <c r="T419" s="1034" t="e">
        <f t="shared" si="291"/>
        <v>#N/A</v>
      </c>
      <c r="U419" s="1034" t="e">
        <f t="shared" si="305"/>
        <v>#N/A</v>
      </c>
      <c r="V419" s="1165" t="e">
        <f t="shared" si="292"/>
        <v>#N/A</v>
      </c>
      <c r="W419" s="1034" t="e">
        <f t="shared" si="306"/>
        <v>#N/A</v>
      </c>
      <c r="X419" s="1034" t="b">
        <f t="shared" si="307"/>
        <v>0</v>
      </c>
      <c r="Y419" s="1034">
        <f t="shared" si="308"/>
        <v>0</v>
      </c>
      <c r="Z419" s="1034">
        <f t="shared" si="309"/>
        <v>0</v>
      </c>
      <c r="AA419" s="1034">
        <f t="shared" si="293"/>
        <v>0</v>
      </c>
      <c r="AB419" s="1034">
        <f t="shared" si="294"/>
        <v>0</v>
      </c>
      <c r="AC419" s="1033">
        <f t="shared" si="310"/>
        <v>0</v>
      </c>
      <c r="AD419" s="1266">
        <f t="shared" si="295"/>
        <v>0</v>
      </c>
      <c r="AE419" s="1093">
        <f t="shared" si="311"/>
        <v>0</v>
      </c>
      <c r="AF419" s="1093">
        <f t="shared" si="312"/>
        <v>0</v>
      </c>
      <c r="AG419" s="1093">
        <f t="shared" si="296"/>
        <v>0</v>
      </c>
      <c r="AH419" s="1033" t="e">
        <f t="shared" si="297"/>
        <v>#DIV/0!</v>
      </c>
      <c r="AI419" s="1091">
        <f t="shared" si="298"/>
        <v>0</v>
      </c>
      <c r="AJ419" s="1094">
        <f t="shared" si="299"/>
        <v>0</v>
      </c>
      <c r="AK419" s="1053" t="str">
        <f t="shared" si="300"/>
        <v/>
      </c>
      <c r="AL419" s="1053"/>
      <c r="AM419" s="1290">
        <f>_xlfn.XLOOKUP(F419,Proveedores!A:A,Proveedores!G:G)</f>
        <v>0</v>
      </c>
      <c r="AN419" s="1095" t="str">
        <f t="shared" si="313"/>
        <v>OK</v>
      </c>
    </row>
    <row r="420" spans="1:40" ht="15.95">
      <c r="A420" s="1090" t="b">
        <f t="shared" si="288"/>
        <v>1</v>
      </c>
      <c r="B420" s="1091" t="b">
        <f t="shared" si="301"/>
        <v>1</v>
      </c>
      <c r="C420" s="1092" t="str">
        <f t="shared" si="302"/>
        <v>Dólares</v>
      </c>
      <c r="D420" s="15"/>
      <c r="E420" s="743"/>
      <c r="F420" s="17"/>
      <c r="G420" s="17" t="str">
        <f t="shared" si="289"/>
        <v xml:space="preserve"> </v>
      </c>
      <c r="H420" s="12">
        <v>0</v>
      </c>
      <c r="I420" s="16" t="str">
        <f>IFERROR(VLOOKUP(G420,Proveedores!B:C,2,0)," ")</f>
        <v xml:space="preserve"> </v>
      </c>
      <c r="J420" s="745">
        <v>0</v>
      </c>
      <c r="K420" s="745" t="str">
        <f t="shared" si="290"/>
        <v>Not Found</v>
      </c>
      <c r="L420" s="16">
        <f>IF(K420="Importado",Fletes!$B$66,0%)</f>
        <v>0</v>
      </c>
      <c r="M420" s="745">
        <f t="shared" si="303"/>
        <v>0</v>
      </c>
      <c r="N420" s="16">
        <f>IF(K420&lt;&gt;"Importado",0%,IF(Fletes!$B$67&lt;10,15%,IF(Fletes!$B$67&lt;20,10%,5%)))</f>
        <v>0</v>
      </c>
      <c r="O420" s="745" t="str">
        <f>IFERROR(IF(OR(F420="Offiho",F420="Lauco Sofas",F420="Requiez",F420="Labenze",F420="Sunon Mty",F420="Sonara"),(M420*(1-_xlfn.XLOOKUP(F420,Proveedores!A:A,Proveedores!I:I)))*(1+N420),((M420*(1-_xlfn.XLOOKUP(F420,Proveedores!A:A,Proveedores!I:I)))*(1+N420))+U420),"")</f>
        <v/>
      </c>
      <c r="P420" s="1031"/>
      <c r="Q420" s="1133">
        <f>IF(K420&lt;&gt;"Importado",0,IF(P420&gt;0,P420*H420,IFERROR(_xlfn.XLOOKUP(F420,Proveedores!A:A,Proveedores!F:F,0)*H420,0)))</f>
        <v>0</v>
      </c>
      <c r="R420" s="1134" t="e">
        <f t="shared" si="304"/>
        <v>#VALUE!</v>
      </c>
      <c r="S420" s="743"/>
      <c r="T420" s="1034" t="e">
        <f t="shared" si="291"/>
        <v>#N/A</v>
      </c>
      <c r="U420" s="1034" t="e">
        <f t="shared" si="305"/>
        <v>#N/A</v>
      </c>
      <c r="V420" s="1165" t="e">
        <f t="shared" si="292"/>
        <v>#N/A</v>
      </c>
      <c r="W420" s="1034" t="e">
        <f t="shared" si="306"/>
        <v>#N/A</v>
      </c>
      <c r="X420" s="1034" t="b">
        <f t="shared" si="307"/>
        <v>0</v>
      </c>
      <c r="Y420" s="1034">
        <f t="shared" si="308"/>
        <v>0</v>
      </c>
      <c r="Z420" s="1034">
        <f t="shared" si="309"/>
        <v>0</v>
      </c>
      <c r="AA420" s="1034">
        <f t="shared" si="293"/>
        <v>0</v>
      </c>
      <c r="AB420" s="1034">
        <f t="shared" si="294"/>
        <v>0</v>
      </c>
      <c r="AC420" s="1033">
        <f t="shared" si="310"/>
        <v>0</v>
      </c>
      <c r="AD420" s="1266">
        <f t="shared" si="295"/>
        <v>0</v>
      </c>
      <c r="AE420" s="1093">
        <f t="shared" si="311"/>
        <v>0</v>
      </c>
      <c r="AF420" s="1093">
        <f t="shared" si="312"/>
        <v>0</v>
      </c>
      <c r="AG420" s="1093">
        <f t="shared" si="296"/>
        <v>0</v>
      </c>
      <c r="AH420" s="1033" t="e">
        <f t="shared" si="297"/>
        <v>#DIV/0!</v>
      </c>
      <c r="AI420" s="1091">
        <f t="shared" si="298"/>
        <v>0</v>
      </c>
      <c r="AJ420" s="1094">
        <f t="shared" si="299"/>
        <v>0</v>
      </c>
      <c r="AK420" s="1053" t="str">
        <f t="shared" si="300"/>
        <v/>
      </c>
      <c r="AL420" s="1053"/>
      <c r="AM420" s="1290">
        <f>_xlfn.XLOOKUP(F420,Proveedores!A:A,Proveedores!G:G)</f>
        <v>0</v>
      </c>
      <c r="AN420" s="1095" t="str">
        <f t="shared" si="313"/>
        <v>OK</v>
      </c>
    </row>
    <row r="421" spans="1:40" ht="15.95">
      <c r="A421" s="1090" t="b">
        <f t="shared" si="288"/>
        <v>1</v>
      </c>
      <c r="B421" s="1091" t="b">
        <f t="shared" si="301"/>
        <v>1</v>
      </c>
      <c r="C421" s="1092" t="str">
        <f t="shared" si="302"/>
        <v>Dólares</v>
      </c>
      <c r="D421" s="15"/>
      <c r="E421" s="743"/>
      <c r="F421" s="17"/>
      <c r="G421" s="17" t="str">
        <f t="shared" si="289"/>
        <v xml:space="preserve"> </v>
      </c>
      <c r="H421" s="12">
        <v>0</v>
      </c>
      <c r="I421" s="16" t="str">
        <f>IFERROR(VLOOKUP(G421,Proveedores!B:C,2,0)," ")</f>
        <v xml:space="preserve"> </v>
      </c>
      <c r="J421" s="745">
        <v>0</v>
      </c>
      <c r="K421" s="745" t="str">
        <f t="shared" si="290"/>
        <v>Not Found</v>
      </c>
      <c r="L421" s="16">
        <f>IF(K421="Importado",Fletes!$B$66,0%)</f>
        <v>0</v>
      </c>
      <c r="M421" s="745">
        <f t="shared" si="303"/>
        <v>0</v>
      </c>
      <c r="N421" s="16">
        <f>IF(K421&lt;&gt;"Importado",0%,IF(Fletes!$B$67&lt;10,15%,IF(Fletes!$B$67&lt;20,10%,5%)))</f>
        <v>0</v>
      </c>
      <c r="O421" s="745" t="str">
        <f>IFERROR(IF(OR(F421="Offiho",F421="Lauco Sofas",F421="Requiez",F421="Labenze",F421="Sunon Mty",F421="Sonara"),(M421*(1-_xlfn.XLOOKUP(F421,Proveedores!A:A,Proveedores!I:I)))*(1+N421),((M421*(1-_xlfn.XLOOKUP(F421,Proveedores!A:A,Proveedores!I:I)))*(1+N421))+U421),"")</f>
        <v/>
      </c>
      <c r="P421" s="1031"/>
      <c r="Q421" s="1133">
        <f>IF(K421&lt;&gt;"Importado",0,IF(P421&gt;0,P421*H421,IFERROR(_xlfn.XLOOKUP(F421,Proveedores!A:A,Proveedores!F:F,0)*H421,0)))</f>
        <v>0</v>
      </c>
      <c r="R421" s="1134" t="e">
        <f t="shared" si="304"/>
        <v>#VALUE!</v>
      </c>
      <c r="S421" s="743"/>
      <c r="T421" s="1034" t="e">
        <f t="shared" si="291"/>
        <v>#N/A</v>
      </c>
      <c r="U421" s="1034" t="e">
        <f t="shared" si="305"/>
        <v>#N/A</v>
      </c>
      <c r="V421" s="1165" t="e">
        <f t="shared" si="292"/>
        <v>#N/A</v>
      </c>
      <c r="W421" s="1034" t="e">
        <f t="shared" si="306"/>
        <v>#N/A</v>
      </c>
      <c r="X421" s="1034" t="b">
        <f t="shared" si="307"/>
        <v>0</v>
      </c>
      <c r="Y421" s="1034">
        <f t="shared" si="308"/>
        <v>0</v>
      </c>
      <c r="Z421" s="1034">
        <f t="shared" si="309"/>
        <v>0</v>
      </c>
      <c r="AA421" s="1034">
        <f t="shared" si="293"/>
        <v>0</v>
      </c>
      <c r="AB421" s="1034">
        <f t="shared" si="294"/>
        <v>0</v>
      </c>
      <c r="AC421" s="1033">
        <f t="shared" si="310"/>
        <v>0</v>
      </c>
      <c r="AD421" s="1266">
        <f t="shared" si="295"/>
        <v>0</v>
      </c>
      <c r="AE421" s="1093">
        <f t="shared" si="311"/>
        <v>0</v>
      </c>
      <c r="AF421" s="1093">
        <f t="shared" si="312"/>
        <v>0</v>
      </c>
      <c r="AG421" s="1093">
        <f t="shared" si="296"/>
        <v>0</v>
      </c>
      <c r="AH421" s="1033" t="e">
        <f t="shared" si="297"/>
        <v>#DIV/0!</v>
      </c>
      <c r="AI421" s="1091">
        <f t="shared" si="298"/>
        <v>0</v>
      </c>
      <c r="AJ421" s="1094">
        <f t="shared" si="299"/>
        <v>0</v>
      </c>
      <c r="AK421" s="1053" t="str">
        <f t="shared" si="300"/>
        <v/>
      </c>
      <c r="AL421" s="1053"/>
      <c r="AM421" s="1290">
        <f>_xlfn.XLOOKUP(F421,Proveedores!A:A,Proveedores!G:G)</f>
        <v>0</v>
      </c>
      <c r="AN421" s="1095" t="str">
        <f t="shared" si="313"/>
        <v>OK</v>
      </c>
    </row>
    <row r="422" spans="1:40" ht="15.95">
      <c r="A422" s="1090" t="b">
        <f t="shared" si="288"/>
        <v>1</v>
      </c>
      <c r="B422" s="1091" t="b">
        <f t="shared" si="301"/>
        <v>1</v>
      </c>
      <c r="C422" s="1092" t="str">
        <f t="shared" si="302"/>
        <v>Dólares</v>
      </c>
      <c r="D422" s="14"/>
      <c r="E422" s="743"/>
      <c r="F422" s="17"/>
      <c r="G422" s="17" t="str">
        <f t="shared" si="289"/>
        <v xml:space="preserve"> </v>
      </c>
      <c r="H422" s="12">
        <v>0</v>
      </c>
      <c r="I422" s="16" t="str">
        <f>IFERROR(VLOOKUP(G422,Proveedores!B:C,2,0)," ")</f>
        <v xml:space="preserve"> </v>
      </c>
      <c r="J422" s="745">
        <v>0</v>
      </c>
      <c r="K422" s="745" t="str">
        <f t="shared" si="290"/>
        <v>Not Found</v>
      </c>
      <c r="L422" s="16">
        <f>IF(K422="Importado",Fletes!$B$66,0%)</f>
        <v>0</v>
      </c>
      <c r="M422" s="745">
        <f t="shared" si="303"/>
        <v>0</v>
      </c>
      <c r="N422" s="16">
        <f>IF(K422&lt;&gt;"Importado",0%,IF(Fletes!$B$67&lt;10,15%,IF(Fletes!$B$67&lt;20,10%,5%)))</f>
        <v>0</v>
      </c>
      <c r="O422" s="745" t="str">
        <f>IFERROR(IF(OR(F422="Offiho",F422="Lauco Sofas",F422="Requiez",F422="Labenze",F422="Sunon Mty",F422="Sonara"),(M422*(1-_xlfn.XLOOKUP(F422,Proveedores!A:A,Proveedores!I:I)))*(1+N422),((M422*(1-_xlfn.XLOOKUP(F422,Proveedores!A:A,Proveedores!I:I)))*(1+N422))+U422),"")</f>
        <v/>
      </c>
      <c r="P422" s="1031"/>
      <c r="Q422" s="1133">
        <f>IF(K422&lt;&gt;"Importado",0,IF(P422&gt;0,P422*H422,IFERROR(_xlfn.XLOOKUP(F422,Proveedores!A:A,Proveedores!F:F,0)*H422,0)))</f>
        <v>0</v>
      </c>
      <c r="R422" s="1134" t="e">
        <f t="shared" si="304"/>
        <v>#VALUE!</v>
      </c>
      <c r="S422" s="743"/>
      <c r="T422" s="1034" t="e">
        <f t="shared" si="291"/>
        <v>#N/A</v>
      </c>
      <c r="U422" s="1034" t="e">
        <f t="shared" si="305"/>
        <v>#N/A</v>
      </c>
      <c r="V422" s="1165" t="e">
        <f t="shared" si="292"/>
        <v>#N/A</v>
      </c>
      <c r="W422" s="1034" t="e">
        <f t="shared" si="306"/>
        <v>#N/A</v>
      </c>
      <c r="X422" s="1034" t="b">
        <f t="shared" si="307"/>
        <v>0</v>
      </c>
      <c r="Y422" s="1034">
        <f t="shared" si="308"/>
        <v>0</v>
      </c>
      <c r="Z422" s="1034">
        <f t="shared" si="309"/>
        <v>0</v>
      </c>
      <c r="AA422" s="1034">
        <f t="shared" si="293"/>
        <v>0</v>
      </c>
      <c r="AB422" s="1034">
        <f t="shared" si="294"/>
        <v>0</v>
      </c>
      <c r="AC422" s="1033">
        <f t="shared" si="310"/>
        <v>0</v>
      </c>
      <c r="AD422" s="1266">
        <f t="shared" si="295"/>
        <v>0</v>
      </c>
      <c r="AE422" s="1093">
        <f t="shared" si="311"/>
        <v>0</v>
      </c>
      <c r="AF422" s="1093">
        <f t="shared" si="312"/>
        <v>0</v>
      </c>
      <c r="AG422" s="1093">
        <f t="shared" si="296"/>
        <v>0</v>
      </c>
      <c r="AH422" s="1033" t="e">
        <f t="shared" si="297"/>
        <v>#DIV/0!</v>
      </c>
      <c r="AI422" s="1091">
        <f t="shared" si="298"/>
        <v>0</v>
      </c>
      <c r="AJ422" s="1094">
        <f t="shared" si="299"/>
        <v>0</v>
      </c>
      <c r="AK422" s="1053" t="str">
        <f t="shared" si="300"/>
        <v/>
      </c>
      <c r="AL422" s="1053"/>
      <c r="AM422" s="1290">
        <f>_xlfn.XLOOKUP(F422,Proveedores!A:A,Proveedores!G:G)</f>
        <v>0</v>
      </c>
      <c r="AN422" s="1095" t="str">
        <f t="shared" si="313"/>
        <v>OK</v>
      </c>
    </row>
    <row r="423" spans="1:40" ht="15.95">
      <c r="A423" s="1090" t="b">
        <f t="shared" si="288"/>
        <v>1</v>
      </c>
      <c r="B423" s="1091" t="b">
        <f t="shared" si="301"/>
        <v>1</v>
      </c>
      <c r="C423" s="1092" t="str">
        <f t="shared" si="302"/>
        <v>Dólares</v>
      </c>
      <c r="D423" s="14"/>
      <c r="E423" s="743"/>
      <c r="F423" s="17"/>
      <c r="G423" s="17" t="str">
        <f t="shared" si="289"/>
        <v xml:space="preserve"> </v>
      </c>
      <c r="H423" s="12">
        <v>0</v>
      </c>
      <c r="I423" s="16" t="str">
        <f>IFERROR(VLOOKUP(G423,Proveedores!B:C,2,0)," ")</f>
        <v xml:space="preserve"> </v>
      </c>
      <c r="J423" s="745">
        <v>0</v>
      </c>
      <c r="K423" s="745" t="str">
        <f t="shared" si="290"/>
        <v>Not Found</v>
      </c>
      <c r="L423" s="16">
        <f>IF(K423="Importado",Fletes!$B$66,0%)</f>
        <v>0</v>
      </c>
      <c r="M423" s="745">
        <f t="shared" si="303"/>
        <v>0</v>
      </c>
      <c r="N423" s="16">
        <f>IF(K423&lt;&gt;"Importado",0%,IF(Fletes!$B$67&lt;10,15%,IF(Fletes!$B$67&lt;20,10%,5%)))</f>
        <v>0</v>
      </c>
      <c r="O423" s="745" t="str">
        <f>IFERROR(IF(OR(F423="Offiho",F423="Lauco Sofas",F423="Requiez",F423="Labenze",F423="Sunon Mty",F423="Sonara"),(M423*(1-_xlfn.XLOOKUP(F423,Proveedores!A:A,Proveedores!I:I)))*(1+N423),((M423*(1-_xlfn.XLOOKUP(F423,Proveedores!A:A,Proveedores!I:I)))*(1+N423))+U423),"")</f>
        <v/>
      </c>
      <c r="P423" s="1031"/>
      <c r="Q423" s="1133">
        <f>IF(K423&lt;&gt;"Importado",0,IF(P423&gt;0,P423*H423,IFERROR(_xlfn.XLOOKUP(F423,Proveedores!A:A,Proveedores!F:F,0)*H423,0)))</f>
        <v>0</v>
      </c>
      <c r="R423" s="1134" t="e">
        <f t="shared" si="304"/>
        <v>#VALUE!</v>
      </c>
      <c r="S423" s="743"/>
      <c r="T423" s="1034" t="e">
        <f t="shared" si="291"/>
        <v>#N/A</v>
      </c>
      <c r="U423" s="1034" t="e">
        <f t="shared" si="305"/>
        <v>#N/A</v>
      </c>
      <c r="V423" s="1165" t="e">
        <f t="shared" si="292"/>
        <v>#N/A</v>
      </c>
      <c r="W423" s="1034" t="e">
        <f t="shared" si="306"/>
        <v>#N/A</v>
      </c>
      <c r="X423" s="1034" t="b">
        <f t="shared" si="307"/>
        <v>0</v>
      </c>
      <c r="Y423" s="1034">
        <f t="shared" si="308"/>
        <v>0</v>
      </c>
      <c r="Z423" s="1034">
        <f t="shared" si="309"/>
        <v>0</v>
      </c>
      <c r="AA423" s="1034">
        <f t="shared" si="293"/>
        <v>0</v>
      </c>
      <c r="AB423" s="1034">
        <f t="shared" si="294"/>
        <v>0</v>
      </c>
      <c r="AC423" s="1033">
        <f t="shared" si="310"/>
        <v>0</v>
      </c>
      <c r="AD423" s="1266">
        <f t="shared" si="295"/>
        <v>0</v>
      </c>
      <c r="AE423" s="1093">
        <f t="shared" si="311"/>
        <v>0</v>
      </c>
      <c r="AF423" s="1093">
        <f t="shared" si="312"/>
        <v>0</v>
      </c>
      <c r="AG423" s="1093">
        <f t="shared" si="296"/>
        <v>0</v>
      </c>
      <c r="AH423" s="1033" t="e">
        <f t="shared" si="297"/>
        <v>#DIV/0!</v>
      </c>
      <c r="AI423" s="1091">
        <f t="shared" si="298"/>
        <v>0</v>
      </c>
      <c r="AJ423" s="1094">
        <f t="shared" si="299"/>
        <v>0</v>
      </c>
      <c r="AK423" s="1053" t="str">
        <f t="shared" si="300"/>
        <v/>
      </c>
      <c r="AL423" s="1053"/>
      <c r="AM423" s="1290">
        <f>_xlfn.XLOOKUP(F423,Proveedores!A:A,Proveedores!G:G)</f>
        <v>0</v>
      </c>
      <c r="AN423" s="1095" t="str">
        <f t="shared" si="313"/>
        <v>OK</v>
      </c>
    </row>
    <row r="424" spans="1:40" ht="15.95">
      <c r="A424" s="1090" t="b">
        <f t="shared" si="288"/>
        <v>1</v>
      </c>
      <c r="B424" s="1091" t="b">
        <f t="shared" si="301"/>
        <v>1</v>
      </c>
      <c r="C424" s="1092" t="str">
        <f t="shared" si="302"/>
        <v>Dólares</v>
      </c>
      <c r="D424" s="14"/>
      <c r="E424" s="743"/>
      <c r="F424" s="17"/>
      <c r="G424" s="17" t="str">
        <f t="shared" si="289"/>
        <v xml:space="preserve"> </v>
      </c>
      <c r="H424" s="12">
        <v>0</v>
      </c>
      <c r="I424" s="16" t="str">
        <f>IFERROR(VLOOKUP(G424,Proveedores!B:C,2,0)," ")</f>
        <v xml:space="preserve"> </v>
      </c>
      <c r="J424" s="745">
        <v>0</v>
      </c>
      <c r="K424" s="745" t="str">
        <f t="shared" si="290"/>
        <v>Not Found</v>
      </c>
      <c r="L424" s="16">
        <f>IF(K424="Importado",Fletes!$B$66,0%)</f>
        <v>0</v>
      </c>
      <c r="M424" s="745">
        <f t="shared" si="303"/>
        <v>0</v>
      </c>
      <c r="N424" s="16">
        <f>IF(K424&lt;&gt;"Importado",0%,IF(Fletes!$B$67&lt;10,15%,IF(Fletes!$B$67&lt;20,10%,5%)))</f>
        <v>0</v>
      </c>
      <c r="O424" s="745" t="str">
        <f>IFERROR(IF(OR(F424="Offiho",F424="Lauco Sofas",F424="Requiez",F424="Labenze",F424="Sunon Mty",F424="Sonara"),(M424*(1-_xlfn.XLOOKUP(F424,Proveedores!A:A,Proveedores!I:I)))*(1+N424),((M424*(1-_xlfn.XLOOKUP(F424,Proveedores!A:A,Proveedores!I:I)))*(1+N424))+U424),"")</f>
        <v/>
      </c>
      <c r="P424" s="1031"/>
      <c r="Q424" s="1133">
        <f>IF(K424&lt;&gt;"Importado",0,IF(P424&gt;0,P424*H424,IFERROR(_xlfn.XLOOKUP(F424,Proveedores!A:A,Proveedores!F:F,0)*H424,0)))</f>
        <v>0</v>
      </c>
      <c r="R424" s="1134" t="e">
        <f t="shared" si="304"/>
        <v>#VALUE!</v>
      </c>
      <c r="S424" s="743"/>
      <c r="T424" s="1034" t="e">
        <f t="shared" si="291"/>
        <v>#N/A</v>
      </c>
      <c r="U424" s="1034" t="e">
        <f t="shared" si="305"/>
        <v>#N/A</v>
      </c>
      <c r="V424" s="1165" t="e">
        <f t="shared" si="292"/>
        <v>#N/A</v>
      </c>
      <c r="W424" s="1034" t="e">
        <f t="shared" si="306"/>
        <v>#N/A</v>
      </c>
      <c r="X424" s="1034" t="b">
        <f t="shared" si="307"/>
        <v>0</v>
      </c>
      <c r="Y424" s="1034">
        <f t="shared" si="308"/>
        <v>0</v>
      </c>
      <c r="Z424" s="1034">
        <f t="shared" si="309"/>
        <v>0</v>
      </c>
      <c r="AA424" s="1034">
        <f t="shared" si="293"/>
        <v>0</v>
      </c>
      <c r="AB424" s="1034">
        <f t="shared" si="294"/>
        <v>0</v>
      </c>
      <c r="AC424" s="1033">
        <f t="shared" si="310"/>
        <v>0</v>
      </c>
      <c r="AD424" s="1266">
        <f t="shared" si="295"/>
        <v>0</v>
      </c>
      <c r="AE424" s="1093">
        <f t="shared" si="311"/>
        <v>0</v>
      </c>
      <c r="AF424" s="1093">
        <f t="shared" si="312"/>
        <v>0</v>
      </c>
      <c r="AG424" s="1093">
        <f t="shared" si="296"/>
        <v>0</v>
      </c>
      <c r="AH424" s="1033" t="e">
        <f t="shared" si="297"/>
        <v>#DIV/0!</v>
      </c>
      <c r="AI424" s="1091">
        <f t="shared" si="298"/>
        <v>0</v>
      </c>
      <c r="AJ424" s="1094">
        <f t="shared" si="299"/>
        <v>0</v>
      </c>
      <c r="AK424" s="1053" t="str">
        <f t="shared" si="300"/>
        <v/>
      </c>
      <c r="AL424" s="1053"/>
      <c r="AM424" s="1290">
        <f>_xlfn.XLOOKUP(F424,Proveedores!A:A,Proveedores!G:G)</f>
        <v>0</v>
      </c>
      <c r="AN424" s="1095" t="str">
        <f t="shared" si="313"/>
        <v>OK</v>
      </c>
    </row>
    <row r="425" spans="1:40" ht="15.95">
      <c r="A425" s="1090" t="b">
        <f t="shared" si="288"/>
        <v>1</v>
      </c>
      <c r="B425" s="1091" t="b">
        <f t="shared" si="301"/>
        <v>1</v>
      </c>
      <c r="C425" s="1092" t="str">
        <f t="shared" si="302"/>
        <v>Dólares</v>
      </c>
      <c r="D425" s="15"/>
      <c r="E425" s="743"/>
      <c r="F425" s="17"/>
      <c r="G425" s="17" t="str">
        <f t="shared" si="289"/>
        <v xml:space="preserve"> </v>
      </c>
      <c r="H425" s="12">
        <v>0</v>
      </c>
      <c r="I425" s="16" t="str">
        <f>IFERROR(VLOOKUP(G425,Proveedores!B:C,2,0)," ")</f>
        <v xml:space="preserve"> </v>
      </c>
      <c r="J425" s="745">
        <v>0</v>
      </c>
      <c r="K425" s="745" t="str">
        <f t="shared" si="290"/>
        <v>Not Found</v>
      </c>
      <c r="L425" s="16">
        <f>IF(K425="Importado",Fletes!$B$66,0%)</f>
        <v>0</v>
      </c>
      <c r="M425" s="745">
        <f t="shared" si="303"/>
        <v>0</v>
      </c>
      <c r="N425" s="16">
        <f>IF(K425&lt;&gt;"Importado",0%,IF(Fletes!$B$67&lt;10,15%,IF(Fletes!$B$67&lt;20,10%,5%)))</f>
        <v>0</v>
      </c>
      <c r="O425" s="745" t="str">
        <f>IFERROR(IF(OR(F425="Offiho",F425="Lauco Sofas",F425="Requiez",F425="Labenze",F425="Sunon Mty",F425="Sonara"),(M425*(1-_xlfn.XLOOKUP(F425,Proveedores!A:A,Proveedores!I:I)))*(1+N425),((M425*(1-_xlfn.XLOOKUP(F425,Proveedores!A:A,Proveedores!I:I)))*(1+N425))+U425),"")</f>
        <v/>
      </c>
      <c r="P425" s="1031"/>
      <c r="Q425" s="1133">
        <f>IF(K425&lt;&gt;"Importado",0,IF(P425&gt;0,P425*H425,IFERROR(_xlfn.XLOOKUP(F425,Proveedores!A:A,Proveedores!F:F,0)*H425,0)))</f>
        <v>0</v>
      </c>
      <c r="R425" s="1134" t="e">
        <f t="shared" si="304"/>
        <v>#VALUE!</v>
      </c>
      <c r="S425" s="743"/>
      <c r="T425" s="1034" t="e">
        <f t="shared" si="291"/>
        <v>#N/A</v>
      </c>
      <c r="U425" s="1034" t="e">
        <f t="shared" si="305"/>
        <v>#N/A</v>
      </c>
      <c r="V425" s="1165" t="e">
        <f t="shared" si="292"/>
        <v>#N/A</v>
      </c>
      <c r="W425" s="1034" t="e">
        <f t="shared" si="306"/>
        <v>#N/A</v>
      </c>
      <c r="X425" s="1034" t="b">
        <f t="shared" si="307"/>
        <v>0</v>
      </c>
      <c r="Y425" s="1034">
        <f t="shared" si="308"/>
        <v>0</v>
      </c>
      <c r="Z425" s="1034">
        <f t="shared" si="309"/>
        <v>0</v>
      </c>
      <c r="AA425" s="1034">
        <f t="shared" si="293"/>
        <v>0</v>
      </c>
      <c r="AB425" s="1034">
        <f t="shared" si="294"/>
        <v>0</v>
      </c>
      <c r="AC425" s="1033">
        <f t="shared" si="310"/>
        <v>0</v>
      </c>
      <c r="AD425" s="1266">
        <f t="shared" si="295"/>
        <v>0</v>
      </c>
      <c r="AE425" s="1093">
        <f t="shared" si="311"/>
        <v>0</v>
      </c>
      <c r="AF425" s="1093">
        <f t="shared" si="312"/>
        <v>0</v>
      </c>
      <c r="AG425" s="1093">
        <f t="shared" si="296"/>
        <v>0</v>
      </c>
      <c r="AH425" s="1033" t="e">
        <f t="shared" si="297"/>
        <v>#DIV/0!</v>
      </c>
      <c r="AI425" s="1091">
        <f t="shared" si="298"/>
        <v>0</v>
      </c>
      <c r="AJ425" s="1094">
        <f t="shared" si="299"/>
        <v>0</v>
      </c>
      <c r="AK425" s="1053" t="str">
        <f t="shared" si="300"/>
        <v/>
      </c>
      <c r="AL425" s="1053"/>
      <c r="AM425" s="1290">
        <f>_xlfn.XLOOKUP(F425,Proveedores!A:A,Proveedores!G:G)</f>
        <v>0</v>
      </c>
      <c r="AN425" s="1095" t="str">
        <f t="shared" si="313"/>
        <v>OK</v>
      </c>
    </row>
    <row r="426" spans="1:40" ht="15.95">
      <c r="A426" s="1090" t="b">
        <f t="shared" si="288"/>
        <v>1</v>
      </c>
      <c r="B426" s="1091" t="b">
        <f t="shared" si="301"/>
        <v>1</v>
      </c>
      <c r="C426" s="1092" t="str">
        <f t="shared" si="302"/>
        <v>Dólares</v>
      </c>
      <c r="D426" s="15"/>
      <c r="E426" s="743"/>
      <c r="F426" s="17"/>
      <c r="G426" s="17" t="str">
        <f t="shared" si="289"/>
        <v xml:space="preserve"> </v>
      </c>
      <c r="H426" s="12">
        <v>0</v>
      </c>
      <c r="I426" s="16" t="str">
        <f>IFERROR(VLOOKUP(G426,Proveedores!B:C,2,0)," ")</f>
        <v xml:space="preserve"> </v>
      </c>
      <c r="J426" s="745">
        <v>0</v>
      </c>
      <c r="K426" s="745" t="str">
        <f t="shared" si="290"/>
        <v>Not Found</v>
      </c>
      <c r="L426" s="16">
        <f>IF(K426="Importado",Fletes!$B$66,0%)</f>
        <v>0</v>
      </c>
      <c r="M426" s="745">
        <f t="shared" si="303"/>
        <v>0</v>
      </c>
      <c r="N426" s="16">
        <f>IF(K426&lt;&gt;"Importado",0%,IF(Fletes!$B$67&lt;10,15%,IF(Fletes!$B$67&lt;20,10%,5%)))</f>
        <v>0</v>
      </c>
      <c r="O426" s="745" t="str">
        <f>IFERROR(IF(OR(F426="Offiho",F426="Lauco Sofas",F426="Requiez",F426="Labenze",F426="Sunon Mty",F426="Sonara"),(M426*(1-_xlfn.XLOOKUP(F426,Proveedores!A:A,Proveedores!I:I)))*(1+N426),((M426*(1-_xlfn.XLOOKUP(F426,Proveedores!A:A,Proveedores!I:I)))*(1+N426))+U426),"")</f>
        <v/>
      </c>
      <c r="P426" s="1031"/>
      <c r="Q426" s="1133">
        <f>IF(K426&lt;&gt;"Importado",0,IF(P426&gt;0,P426*H426,IFERROR(_xlfn.XLOOKUP(F426,Proveedores!A:A,Proveedores!F:F,0)*H426,0)))</f>
        <v>0</v>
      </c>
      <c r="R426" s="1134" t="e">
        <f t="shared" si="304"/>
        <v>#VALUE!</v>
      </c>
      <c r="S426" s="743"/>
      <c r="T426" s="1034" t="e">
        <f t="shared" si="291"/>
        <v>#N/A</v>
      </c>
      <c r="U426" s="1034" t="e">
        <f t="shared" si="305"/>
        <v>#N/A</v>
      </c>
      <c r="V426" s="1165" t="e">
        <f t="shared" si="292"/>
        <v>#N/A</v>
      </c>
      <c r="W426" s="1034" t="e">
        <f t="shared" si="306"/>
        <v>#N/A</v>
      </c>
      <c r="X426" s="1034" t="b">
        <f t="shared" si="307"/>
        <v>0</v>
      </c>
      <c r="Y426" s="1034">
        <f t="shared" si="308"/>
        <v>0</v>
      </c>
      <c r="Z426" s="1034">
        <f t="shared" si="309"/>
        <v>0</v>
      </c>
      <c r="AA426" s="1034">
        <f t="shared" si="293"/>
        <v>0</v>
      </c>
      <c r="AB426" s="1034">
        <f t="shared" si="294"/>
        <v>0</v>
      </c>
      <c r="AC426" s="1033">
        <f t="shared" si="310"/>
        <v>0</v>
      </c>
      <c r="AD426" s="1266">
        <f t="shared" si="295"/>
        <v>0</v>
      </c>
      <c r="AE426" s="1093">
        <f t="shared" si="311"/>
        <v>0</v>
      </c>
      <c r="AF426" s="1093">
        <f t="shared" si="312"/>
        <v>0</v>
      </c>
      <c r="AG426" s="1093">
        <f t="shared" si="296"/>
        <v>0</v>
      </c>
      <c r="AH426" s="1033" t="e">
        <f t="shared" si="297"/>
        <v>#DIV/0!</v>
      </c>
      <c r="AI426" s="1091">
        <f t="shared" si="298"/>
        <v>0</v>
      </c>
      <c r="AJ426" s="1094">
        <f t="shared" si="299"/>
        <v>0</v>
      </c>
      <c r="AK426" s="1053" t="str">
        <f t="shared" si="300"/>
        <v/>
      </c>
      <c r="AL426" s="1053"/>
      <c r="AM426" s="1290">
        <f>_xlfn.XLOOKUP(F426,Proveedores!A:A,Proveedores!G:G)</f>
        <v>0</v>
      </c>
      <c r="AN426" s="1095" t="str">
        <f t="shared" si="313"/>
        <v>OK</v>
      </c>
    </row>
    <row r="427" spans="1:40" ht="15.95">
      <c r="A427" s="1090" t="b">
        <f t="shared" si="288"/>
        <v>1</v>
      </c>
      <c r="B427" s="1091" t="b">
        <f t="shared" si="301"/>
        <v>1</v>
      </c>
      <c r="C427" s="1092" t="str">
        <f t="shared" si="302"/>
        <v>Dólares</v>
      </c>
      <c r="D427" s="14"/>
      <c r="E427" s="743"/>
      <c r="F427" s="17"/>
      <c r="G427" s="17" t="str">
        <f t="shared" si="289"/>
        <v xml:space="preserve"> </v>
      </c>
      <c r="H427" s="12">
        <v>0</v>
      </c>
      <c r="I427" s="16" t="str">
        <f>IFERROR(VLOOKUP(G427,Proveedores!B:C,2,0)," ")</f>
        <v xml:space="preserve"> </v>
      </c>
      <c r="J427" s="745">
        <v>0</v>
      </c>
      <c r="K427" s="745" t="str">
        <f t="shared" si="290"/>
        <v>Not Found</v>
      </c>
      <c r="L427" s="16">
        <f>IF(K427="Importado",Fletes!$B$66,0%)</f>
        <v>0</v>
      </c>
      <c r="M427" s="745">
        <f t="shared" si="303"/>
        <v>0</v>
      </c>
      <c r="N427" s="16">
        <f>IF(K427&lt;&gt;"Importado",0%,IF(Fletes!$B$67&lt;10,15%,IF(Fletes!$B$67&lt;20,10%,5%)))</f>
        <v>0</v>
      </c>
      <c r="O427" s="745" t="str">
        <f>IFERROR(IF(OR(F427="Offiho",F427="Lauco Sofas",F427="Requiez",F427="Labenze",F427="Sunon Mty",F427="Sonara"),(M427*(1-_xlfn.XLOOKUP(F427,Proveedores!A:A,Proveedores!I:I)))*(1+N427),((M427*(1-_xlfn.XLOOKUP(F427,Proveedores!A:A,Proveedores!I:I)))*(1+N427))+U427),"")</f>
        <v/>
      </c>
      <c r="P427" s="1031"/>
      <c r="Q427" s="1133">
        <f>IF(K427&lt;&gt;"Importado",0,IF(P427&gt;0,P427*H427,IFERROR(_xlfn.XLOOKUP(F427,Proveedores!A:A,Proveedores!F:F,0)*H427,0)))</f>
        <v>0</v>
      </c>
      <c r="R427" s="1134" t="e">
        <f t="shared" si="304"/>
        <v>#VALUE!</v>
      </c>
      <c r="S427" s="743"/>
      <c r="T427" s="1034" t="e">
        <f t="shared" si="291"/>
        <v>#N/A</v>
      </c>
      <c r="U427" s="1034" t="e">
        <f t="shared" si="305"/>
        <v>#N/A</v>
      </c>
      <c r="V427" s="1165" t="e">
        <f t="shared" si="292"/>
        <v>#N/A</v>
      </c>
      <c r="W427" s="1034" t="e">
        <f t="shared" si="306"/>
        <v>#N/A</v>
      </c>
      <c r="X427" s="1034" t="b">
        <f t="shared" si="307"/>
        <v>0</v>
      </c>
      <c r="Y427" s="1034">
        <f t="shared" si="308"/>
        <v>0</v>
      </c>
      <c r="Z427" s="1034">
        <f t="shared" si="309"/>
        <v>0</v>
      </c>
      <c r="AA427" s="1034">
        <f t="shared" si="293"/>
        <v>0</v>
      </c>
      <c r="AB427" s="1034">
        <f t="shared" si="294"/>
        <v>0</v>
      </c>
      <c r="AC427" s="1033">
        <f t="shared" si="310"/>
        <v>0</v>
      </c>
      <c r="AD427" s="1266">
        <f t="shared" si="295"/>
        <v>0</v>
      </c>
      <c r="AE427" s="1093">
        <f t="shared" si="311"/>
        <v>0</v>
      </c>
      <c r="AF427" s="1093">
        <f t="shared" si="312"/>
        <v>0</v>
      </c>
      <c r="AG427" s="1093">
        <f t="shared" si="296"/>
        <v>0</v>
      </c>
      <c r="AH427" s="1033" t="e">
        <f t="shared" si="297"/>
        <v>#DIV/0!</v>
      </c>
      <c r="AI427" s="1091">
        <f t="shared" si="298"/>
        <v>0</v>
      </c>
      <c r="AJ427" s="1094">
        <f t="shared" si="299"/>
        <v>0</v>
      </c>
      <c r="AK427" s="1053" t="str">
        <f t="shared" si="300"/>
        <v/>
      </c>
      <c r="AL427" s="1053"/>
      <c r="AM427" s="1290">
        <f>_xlfn.XLOOKUP(F427,Proveedores!A:A,Proveedores!G:G)</f>
        <v>0</v>
      </c>
      <c r="AN427" s="1095" t="str">
        <f t="shared" si="313"/>
        <v>OK</v>
      </c>
    </row>
    <row r="428" spans="1:40" ht="15.95">
      <c r="A428" s="1090" t="b">
        <f t="shared" si="288"/>
        <v>1</v>
      </c>
      <c r="B428" s="1091" t="b">
        <f t="shared" si="301"/>
        <v>1</v>
      </c>
      <c r="C428" s="1092" t="str">
        <f t="shared" si="302"/>
        <v>Dólares</v>
      </c>
      <c r="D428" s="14"/>
      <c r="E428" s="743"/>
      <c r="F428" s="17"/>
      <c r="G428" s="17" t="str">
        <f t="shared" si="289"/>
        <v xml:space="preserve"> </v>
      </c>
      <c r="H428" s="12">
        <v>0</v>
      </c>
      <c r="I428" s="16" t="str">
        <f>IFERROR(VLOOKUP(G428,Proveedores!B:C,2,0)," ")</f>
        <v xml:space="preserve"> </v>
      </c>
      <c r="J428" s="745">
        <v>0</v>
      </c>
      <c r="K428" s="745" t="str">
        <f t="shared" si="290"/>
        <v>Not Found</v>
      </c>
      <c r="L428" s="16">
        <f>IF(K428="Importado",Fletes!$B$66,0%)</f>
        <v>0</v>
      </c>
      <c r="M428" s="745">
        <f t="shared" si="303"/>
        <v>0</v>
      </c>
      <c r="N428" s="16">
        <f>IF(K428&lt;&gt;"Importado",0%,IF(Fletes!$B$67&lt;10,15%,IF(Fletes!$B$67&lt;20,10%,5%)))</f>
        <v>0</v>
      </c>
      <c r="O428" s="745" t="str">
        <f>IFERROR(IF(OR(F428="Offiho",F428="Lauco Sofas",F428="Requiez",F428="Labenze",F428="Sunon Mty",F428="Sonara"),(M428*(1-_xlfn.XLOOKUP(F428,Proveedores!A:A,Proveedores!I:I)))*(1+N428),((M428*(1-_xlfn.XLOOKUP(F428,Proveedores!A:A,Proveedores!I:I)))*(1+N428))+U428),"")</f>
        <v/>
      </c>
      <c r="P428" s="1031"/>
      <c r="Q428" s="1133">
        <f>IF(K428&lt;&gt;"Importado",0,IF(P428&gt;0,P428*H428,IFERROR(_xlfn.XLOOKUP(F428,Proveedores!A:A,Proveedores!F:F,0)*H428,0)))</f>
        <v>0</v>
      </c>
      <c r="R428" s="1134" t="e">
        <f t="shared" si="304"/>
        <v>#VALUE!</v>
      </c>
      <c r="S428" s="743"/>
      <c r="T428" s="1034" t="e">
        <f t="shared" si="291"/>
        <v>#N/A</v>
      </c>
      <c r="U428" s="1034" t="e">
        <f t="shared" si="305"/>
        <v>#N/A</v>
      </c>
      <c r="V428" s="1165" t="e">
        <f t="shared" si="292"/>
        <v>#N/A</v>
      </c>
      <c r="W428" s="1034" t="e">
        <f t="shared" si="306"/>
        <v>#N/A</v>
      </c>
      <c r="X428" s="1034" t="b">
        <f t="shared" si="307"/>
        <v>0</v>
      </c>
      <c r="Y428" s="1034">
        <f t="shared" si="308"/>
        <v>0</v>
      </c>
      <c r="Z428" s="1034">
        <f t="shared" si="309"/>
        <v>0</v>
      </c>
      <c r="AA428" s="1034">
        <f t="shared" si="293"/>
        <v>0</v>
      </c>
      <c r="AB428" s="1034">
        <f t="shared" si="294"/>
        <v>0</v>
      </c>
      <c r="AC428" s="1033">
        <f t="shared" si="310"/>
        <v>0</v>
      </c>
      <c r="AD428" s="1266">
        <f t="shared" si="295"/>
        <v>0</v>
      </c>
      <c r="AE428" s="1093">
        <f t="shared" si="311"/>
        <v>0</v>
      </c>
      <c r="AF428" s="1093">
        <f t="shared" si="312"/>
        <v>0</v>
      </c>
      <c r="AG428" s="1093">
        <f t="shared" si="296"/>
        <v>0</v>
      </c>
      <c r="AH428" s="1033" t="e">
        <f t="shared" si="297"/>
        <v>#DIV/0!</v>
      </c>
      <c r="AI428" s="1091">
        <f t="shared" si="298"/>
        <v>0</v>
      </c>
      <c r="AJ428" s="1094">
        <f t="shared" si="299"/>
        <v>0</v>
      </c>
      <c r="AK428" s="1053" t="str">
        <f t="shared" si="300"/>
        <v/>
      </c>
      <c r="AL428" s="1053"/>
      <c r="AM428" s="1290">
        <f>_xlfn.XLOOKUP(F428,Proveedores!A:A,Proveedores!G:G)</f>
        <v>0</v>
      </c>
      <c r="AN428" s="1095" t="str">
        <f t="shared" si="313"/>
        <v>OK</v>
      </c>
    </row>
    <row r="429" spans="1:40" ht="15.95">
      <c r="A429" s="1090" t="b">
        <f t="shared" si="288"/>
        <v>1</v>
      </c>
      <c r="B429" s="1091" t="b">
        <f t="shared" si="301"/>
        <v>1</v>
      </c>
      <c r="C429" s="1092" t="str">
        <f t="shared" si="302"/>
        <v>Dólares</v>
      </c>
      <c r="D429" s="14"/>
      <c r="E429" s="743"/>
      <c r="F429" s="17"/>
      <c r="G429" s="17" t="str">
        <f t="shared" si="289"/>
        <v xml:space="preserve"> </v>
      </c>
      <c r="H429" s="12">
        <v>0</v>
      </c>
      <c r="I429" s="16" t="str">
        <f>IFERROR(VLOOKUP(G429,Proveedores!B:C,2,0)," ")</f>
        <v xml:space="preserve"> </v>
      </c>
      <c r="J429" s="745">
        <v>0</v>
      </c>
      <c r="K429" s="745" t="str">
        <f t="shared" si="290"/>
        <v>Not Found</v>
      </c>
      <c r="L429" s="16">
        <f>IF(K429="Importado",Fletes!$B$66,0%)</f>
        <v>0</v>
      </c>
      <c r="M429" s="745">
        <f t="shared" si="303"/>
        <v>0</v>
      </c>
      <c r="N429" s="16">
        <f>IF(K429&lt;&gt;"Importado",0%,IF(Fletes!$B$67&lt;10,15%,IF(Fletes!$B$67&lt;20,10%,5%)))</f>
        <v>0</v>
      </c>
      <c r="O429" s="745" t="str">
        <f>IFERROR(IF(OR(F429="Offiho",F429="Lauco Sofas",F429="Requiez",F429="Labenze",F429="Sunon Mty",F429="Sonara"),(M429*(1-_xlfn.XLOOKUP(F429,Proveedores!A:A,Proveedores!I:I)))*(1+N429),((M429*(1-_xlfn.XLOOKUP(F429,Proveedores!A:A,Proveedores!I:I)))*(1+N429))+U429),"")</f>
        <v/>
      </c>
      <c r="P429" s="1031"/>
      <c r="Q429" s="1133">
        <f>IF(K429&lt;&gt;"Importado",0,IF(P429&gt;0,P429*H429,IFERROR(_xlfn.XLOOKUP(F429,Proveedores!A:A,Proveedores!F:F,0)*H429,0)))</f>
        <v>0</v>
      </c>
      <c r="R429" s="1134" t="e">
        <f t="shared" si="304"/>
        <v>#VALUE!</v>
      </c>
      <c r="S429" s="743"/>
      <c r="T429" s="1034" t="e">
        <f t="shared" si="291"/>
        <v>#N/A</v>
      </c>
      <c r="U429" s="1034" t="e">
        <f t="shared" si="305"/>
        <v>#N/A</v>
      </c>
      <c r="V429" s="1165" t="e">
        <f t="shared" si="292"/>
        <v>#N/A</v>
      </c>
      <c r="W429" s="1034" t="e">
        <f t="shared" si="306"/>
        <v>#N/A</v>
      </c>
      <c r="X429" s="1034" t="b">
        <f t="shared" si="307"/>
        <v>0</v>
      </c>
      <c r="Y429" s="1034">
        <f t="shared" si="308"/>
        <v>0</v>
      </c>
      <c r="Z429" s="1034">
        <f t="shared" si="309"/>
        <v>0</v>
      </c>
      <c r="AA429" s="1034">
        <f t="shared" si="293"/>
        <v>0</v>
      </c>
      <c r="AB429" s="1034">
        <f t="shared" si="294"/>
        <v>0</v>
      </c>
      <c r="AC429" s="1033">
        <f t="shared" si="310"/>
        <v>0</v>
      </c>
      <c r="AD429" s="1266">
        <f t="shared" si="295"/>
        <v>0</v>
      </c>
      <c r="AE429" s="1093">
        <f t="shared" si="311"/>
        <v>0</v>
      </c>
      <c r="AF429" s="1093">
        <f t="shared" si="312"/>
        <v>0</v>
      </c>
      <c r="AG429" s="1093">
        <f t="shared" si="296"/>
        <v>0</v>
      </c>
      <c r="AH429" s="1033" t="e">
        <f t="shared" si="297"/>
        <v>#DIV/0!</v>
      </c>
      <c r="AI429" s="1091">
        <f t="shared" si="298"/>
        <v>0</v>
      </c>
      <c r="AJ429" s="1094">
        <f t="shared" si="299"/>
        <v>0</v>
      </c>
      <c r="AK429" s="1053" t="str">
        <f t="shared" si="300"/>
        <v/>
      </c>
      <c r="AL429" s="1053"/>
      <c r="AM429" s="1290">
        <f>_xlfn.XLOOKUP(F429,Proveedores!A:A,Proveedores!G:G)</f>
        <v>0</v>
      </c>
      <c r="AN429" s="1095" t="str">
        <f t="shared" si="313"/>
        <v>OK</v>
      </c>
    </row>
    <row r="430" spans="1:40" ht="15.95">
      <c r="A430" s="1090" t="b">
        <f t="shared" si="288"/>
        <v>1</v>
      </c>
      <c r="B430" s="1091" t="b">
        <f t="shared" si="301"/>
        <v>1</v>
      </c>
      <c r="C430" s="1092" t="str">
        <f t="shared" si="302"/>
        <v>Dólares</v>
      </c>
      <c r="D430" s="14"/>
      <c r="E430" s="743"/>
      <c r="F430" s="17"/>
      <c r="G430" s="17" t="str">
        <f t="shared" si="289"/>
        <v xml:space="preserve"> </v>
      </c>
      <c r="H430" s="12">
        <v>0</v>
      </c>
      <c r="I430" s="16" t="str">
        <f>IFERROR(VLOOKUP(G430,Proveedores!B:C,2,0)," ")</f>
        <v xml:space="preserve"> </v>
      </c>
      <c r="J430" s="745">
        <v>0</v>
      </c>
      <c r="K430" s="745" t="str">
        <f t="shared" si="290"/>
        <v>Not Found</v>
      </c>
      <c r="L430" s="16">
        <f>IF(K430="Importado",Fletes!$B$66,0%)</f>
        <v>0</v>
      </c>
      <c r="M430" s="745">
        <f t="shared" si="303"/>
        <v>0</v>
      </c>
      <c r="N430" s="16">
        <f>IF(K430&lt;&gt;"Importado",0%,IF(Fletes!$B$67&lt;10,15%,IF(Fletes!$B$67&lt;20,10%,5%)))</f>
        <v>0</v>
      </c>
      <c r="O430" s="745" t="str">
        <f>IFERROR(IF(OR(F430="Offiho",F430="Lauco Sofas",F430="Requiez",F430="Labenze",F430="Sunon Mty",F430="Sonara"),(M430*(1-_xlfn.XLOOKUP(F430,Proveedores!A:A,Proveedores!I:I)))*(1+N430),((M430*(1-_xlfn.XLOOKUP(F430,Proveedores!A:A,Proveedores!I:I)))*(1+N430))+U430),"")</f>
        <v/>
      </c>
      <c r="P430" s="1031"/>
      <c r="Q430" s="1133">
        <f>IF(K430&lt;&gt;"Importado",0,IF(P430&gt;0,P430*H430,IFERROR(_xlfn.XLOOKUP(F430,Proveedores!A:A,Proveedores!F:F,0)*H430,0)))</f>
        <v>0</v>
      </c>
      <c r="R430" s="1134" t="e">
        <f t="shared" si="304"/>
        <v>#VALUE!</v>
      </c>
      <c r="S430" s="743"/>
      <c r="T430" s="1034" t="e">
        <f t="shared" si="291"/>
        <v>#N/A</v>
      </c>
      <c r="U430" s="1034" t="e">
        <f t="shared" si="305"/>
        <v>#N/A</v>
      </c>
      <c r="V430" s="1165" t="e">
        <f t="shared" si="292"/>
        <v>#N/A</v>
      </c>
      <c r="W430" s="1034" t="e">
        <f t="shared" si="306"/>
        <v>#N/A</v>
      </c>
      <c r="X430" s="1034" t="b">
        <f t="shared" si="307"/>
        <v>0</v>
      </c>
      <c r="Y430" s="1034">
        <f t="shared" si="308"/>
        <v>0</v>
      </c>
      <c r="Z430" s="1034">
        <f t="shared" si="309"/>
        <v>0</v>
      </c>
      <c r="AA430" s="1034">
        <f t="shared" si="293"/>
        <v>0</v>
      </c>
      <c r="AB430" s="1034">
        <f t="shared" si="294"/>
        <v>0</v>
      </c>
      <c r="AC430" s="1033">
        <f t="shared" si="310"/>
        <v>0</v>
      </c>
      <c r="AD430" s="1266">
        <f t="shared" si="295"/>
        <v>0</v>
      </c>
      <c r="AE430" s="1093">
        <f t="shared" si="311"/>
        <v>0</v>
      </c>
      <c r="AF430" s="1093">
        <f t="shared" si="312"/>
        <v>0</v>
      </c>
      <c r="AG430" s="1093">
        <f t="shared" si="296"/>
        <v>0</v>
      </c>
      <c r="AH430" s="1033" t="e">
        <f t="shared" si="297"/>
        <v>#DIV/0!</v>
      </c>
      <c r="AI430" s="1091">
        <f t="shared" si="298"/>
        <v>0</v>
      </c>
      <c r="AJ430" s="1094">
        <f t="shared" si="299"/>
        <v>0</v>
      </c>
      <c r="AK430" s="1053" t="str">
        <f t="shared" si="300"/>
        <v/>
      </c>
      <c r="AL430" s="1053"/>
      <c r="AM430" s="1290">
        <f>_xlfn.XLOOKUP(F430,Proveedores!A:A,Proveedores!G:G)</f>
        <v>0</v>
      </c>
      <c r="AN430" s="1095" t="str">
        <f t="shared" si="313"/>
        <v>OK</v>
      </c>
    </row>
    <row r="431" spans="1:40" ht="15.95">
      <c r="A431" s="1090" t="b">
        <f t="shared" si="288"/>
        <v>1</v>
      </c>
      <c r="B431" s="1091" t="b">
        <f t="shared" si="301"/>
        <v>1</v>
      </c>
      <c r="C431" s="1092" t="str">
        <f t="shared" si="302"/>
        <v>Dólares</v>
      </c>
      <c r="D431" s="14"/>
      <c r="E431" s="743"/>
      <c r="F431" s="17"/>
      <c r="G431" s="17" t="str">
        <f t="shared" si="289"/>
        <v xml:space="preserve"> </v>
      </c>
      <c r="H431" s="12">
        <v>0</v>
      </c>
      <c r="I431" s="16" t="str">
        <f>IFERROR(VLOOKUP(G431,Proveedores!B:C,2,0)," ")</f>
        <v xml:space="preserve"> </v>
      </c>
      <c r="J431" s="745">
        <v>0</v>
      </c>
      <c r="K431" s="745" t="str">
        <f t="shared" si="290"/>
        <v>Not Found</v>
      </c>
      <c r="L431" s="16">
        <f>IF(K431="Importado",Fletes!$B$66,0%)</f>
        <v>0</v>
      </c>
      <c r="M431" s="745">
        <f t="shared" si="303"/>
        <v>0</v>
      </c>
      <c r="N431" s="16">
        <f>IF(K431&lt;&gt;"Importado",0%,IF(Fletes!$B$67&lt;10,15%,IF(Fletes!$B$67&lt;20,10%,5%)))</f>
        <v>0</v>
      </c>
      <c r="O431" s="745" t="str">
        <f>IFERROR(IF(OR(F431="Offiho",F431="Lauco Sofas",F431="Requiez",F431="Labenze",F431="Sunon Mty",F431="Sonara"),(M431*(1-_xlfn.XLOOKUP(F431,Proveedores!A:A,Proveedores!I:I)))*(1+N431),((M431*(1-_xlfn.XLOOKUP(F431,Proveedores!A:A,Proveedores!I:I)))*(1+N431))+U431),"")</f>
        <v/>
      </c>
      <c r="P431" s="1031"/>
      <c r="Q431" s="1133">
        <f>IF(K431&lt;&gt;"Importado",0,IF(P431&gt;0,P431*H431,IFERROR(_xlfn.XLOOKUP(F431,Proveedores!A:A,Proveedores!F:F,0)*H431,0)))</f>
        <v>0</v>
      </c>
      <c r="R431" s="1134" t="e">
        <f t="shared" si="304"/>
        <v>#VALUE!</v>
      </c>
      <c r="S431" s="743"/>
      <c r="T431" s="1034" t="e">
        <f t="shared" si="291"/>
        <v>#N/A</v>
      </c>
      <c r="U431" s="1034" t="e">
        <f t="shared" si="305"/>
        <v>#N/A</v>
      </c>
      <c r="V431" s="1165" t="e">
        <f t="shared" si="292"/>
        <v>#N/A</v>
      </c>
      <c r="W431" s="1034" t="e">
        <f t="shared" si="306"/>
        <v>#N/A</v>
      </c>
      <c r="X431" s="1034" t="b">
        <f t="shared" si="307"/>
        <v>0</v>
      </c>
      <c r="Y431" s="1034">
        <f t="shared" si="308"/>
        <v>0</v>
      </c>
      <c r="Z431" s="1034">
        <f t="shared" si="309"/>
        <v>0</v>
      </c>
      <c r="AA431" s="1034">
        <f t="shared" si="293"/>
        <v>0</v>
      </c>
      <c r="AB431" s="1034">
        <f t="shared" si="294"/>
        <v>0</v>
      </c>
      <c r="AC431" s="1033">
        <f t="shared" si="310"/>
        <v>0</v>
      </c>
      <c r="AD431" s="1266">
        <f t="shared" si="295"/>
        <v>0</v>
      </c>
      <c r="AE431" s="1093">
        <f t="shared" si="311"/>
        <v>0</v>
      </c>
      <c r="AF431" s="1093">
        <f t="shared" si="312"/>
        <v>0</v>
      </c>
      <c r="AG431" s="1093">
        <f t="shared" si="296"/>
        <v>0</v>
      </c>
      <c r="AH431" s="1033" t="e">
        <f t="shared" si="297"/>
        <v>#DIV/0!</v>
      </c>
      <c r="AI431" s="1091">
        <f t="shared" si="298"/>
        <v>0</v>
      </c>
      <c r="AJ431" s="1094">
        <f t="shared" si="299"/>
        <v>0</v>
      </c>
      <c r="AK431" s="1053" t="str">
        <f t="shared" si="300"/>
        <v/>
      </c>
      <c r="AL431" s="1053"/>
      <c r="AM431" s="1290">
        <f>_xlfn.XLOOKUP(F431,Proveedores!A:A,Proveedores!G:G)</f>
        <v>0</v>
      </c>
      <c r="AN431" s="1095" t="str">
        <f t="shared" si="313"/>
        <v>OK</v>
      </c>
    </row>
    <row r="432" spans="1:40" ht="15.95">
      <c r="A432" s="1090" t="b">
        <f t="shared" si="288"/>
        <v>1</v>
      </c>
      <c r="B432" s="1091" t="b">
        <f t="shared" si="301"/>
        <v>1</v>
      </c>
      <c r="C432" s="1092" t="str">
        <f t="shared" si="302"/>
        <v>Dólares</v>
      </c>
      <c r="D432" s="14"/>
      <c r="E432" s="743"/>
      <c r="F432" s="17"/>
      <c r="G432" s="17" t="str">
        <f t="shared" si="289"/>
        <v xml:space="preserve"> </v>
      </c>
      <c r="H432" s="12">
        <v>0</v>
      </c>
      <c r="I432" s="16" t="str">
        <f>IFERROR(VLOOKUP(G432,Proveedores!B:C,2,0)," ")</f>
        <v xml:space="preserve"> </v>
      </c>
      <c r="J432" s="745">
        <v>0</v>
      </c>
      <c r="K432" s="745" t="str">
        <f t="shared" si="290"/>
        <v>Not Found</v>
      </c>
      <c r="L432" s="16">
        <f>IF(K432="Importado",Fletes!$B$66,0%)</f>
        <v>0</v>
      </c>
      <c r="M432" s="745">
        <f t="shared" si="303"/>
        <v>0</v>
      </c>
      <c r="N432" s="16">
        <f>IF(K432&lt;&gt;"Importado",0%,IF(Fletes!$B$67&lt;10,15%,IF(Fletes!$B$67&lt;20,10%,5%)))</f>
        <v>0</v>
      </c>
      <c r="O432" s="745" t="str">
        <f>IFERROR(IF(OR(F432="Offiho",F432="Lauco Sofas",F432="Requiez",F432="Labenze",F432="Sunon Mty",F432="Sonara"),(M432*(1-_xlfn.XLOOKUP(F432,Proveedores!A:A,Proveedores!I:I)))*(1+N432),((M432*(1-_xlfn.XLOOKUP(F432,Proveedores!A:A,Proveedores!I:I)))*(1+N432))+U432),"")</f>
        <v/>
      </c>
      <c r="P432" s="1031"/>
      <c r="Q432" s="1133">
        <f>IF(K432&lt;&gt;"Importado",0,IF(P432&gt;0,P432*H432,IFERROR(_xlfn.XLOOKUP(F432,Proveedores!A:A,Proveedores!F:F,0)*H432,0)))</f>
        <v>0</v>
      </c>
      <c r="R432" s="1134" t="e">
        <f t="shared" si="304"/>
        <v>#VALUE!</v>
      </c>
      <c r="S432" s="743"/>
      <c r="T432" s="1034" t="e">
        <f t="shared" si="291"/>
        <v>#N/A</v>
      </c>
      <c r="U432" s="1034" t="e">
        <f t="shared" si="305"/>
        <v>#N/A</v>
      </c>
      <c r="V432" s="1165" t="e">
        <f t="shared" si="292"/>
        <v>#N/A</v>
      </c>
      <c r="W432" s="1034" t="e">
        <f t="shared" si="306"/>
        <v>#N/A</v>
      </c>
      <c r="X432" s="1034" t="b">
        <f t="shared" si="307"/>
        <v>0</v>
      </c>
      <c r="Y432" s="1034">
        <f t="shared" si="308"/>
        <v>0</v>
      </c>
      <c r="Z432" s="1034">
        <f t="shared" si="309"/>
        <v>0</v>
      </c>
      <c r="AA432" s="1034">
        <f t="shared" si="293"/>
        <v>0</v>
      </c>
      <c r="AB432" s="1034">
        <f t="shared" si="294"/>
        <v>0</v>
      </c>
      <c r="AC432" s="1033">
        <f t="shared" si="310"/>
        <v>0</v>
      </c>
      <c r="AD432" s="1266">
        <f t="shared" si="295"/>
        <v>0</v>
      </c>
      <c r="AE432" s="1093">
        <f t="shared" si="311"/>
        <v>0</v>
      </c>
      <c r="AF432" s="1093">
        <f t="shared" si="312"/>
        <v>0</v>
      </c>
      <c r="AG432" s="1093">
        <f t="shared" si="296"/>
        <v>0</v>
      </c>
      <c r="AH432" s="1033" t="str">
        <f t="shared" si="297"/>
        <v>NA</v>
      </c>
      <c r="AI432" s="1091">
        <f t="shared" si="298"/>
        <v>0</v>
      </c>
      <c r="AJ432" s="1094">
        <f t="shared" si="299"/>
        <v>0</v>
      </c>
      <c r="AK432" s="1053" t="str">
        <f t="shared" si="300"/>
        <v/>
      </c>
      <c r="AL432" s="1053"/>
      <c r="AM432" s="1290">
        <f>_xlfn.XLOOKUP(F432,Proveedores!A:A,Proveedores!G:G)</f>
        <v>0</v>
      </c>
      <c r="AN432" s="1095" t="str">
        <f t="shared" si="313"/>
        <v>OK</v>
      </c>
    </row>
    <row r="433" spans="1:40" ht="24" customHeight="1">
      <c r="A433" s="1375" t="s">
        <v>149</v>
      </c>
      <c r="B433" s="1375"/>
      <c r="C433" s="1375"/>
      <c r="D433" s="1375"/>
      <c r="E433" s="1375"/>
      <c r="F433" s="1375"/>
      <c r="G433" s="1099"/>
      <c r="H433" s="1100" cm="1">
        <f t="array" ref="H433">SUM(IFERROR(H400:H432,0))</f>
        <v>0</v>
      </c>
      <c r="I433" s="1099"/>
      <c r="J433" s="1101"/>
      <c r="K433" s="1101"/>
      <c r="L433" s="1101"/>
      <c r="M433" s="1101"/>
      <c r="N433" s="1101"/>
      <c r="O433" s="1101"/>
      <c r="P433" s="1102"/>
      <c r="Q433" s="1100" cm="1">
        <f t="array" ref="Q433">SUM(IFERROR(Q400:Q432,0))</f>
        <v>0</v>
      </c>
      <c r="R433" s="1103" cm="1">
        <f t="array" ref="R433">SUM(IFERROR(R400:R432,0))</f>
        <v>0</v>
      </c>
      <c r="S433" s="1104"/>
      <c r="T433" s="1104"/>
      <c r="U433" s="1104"/>
      <c r="V433" s="1104"/>
      <c r="W433" s="1104"/>
      <c r="X433" s="1104"/>
      <c r="Y433" s="1102"/>
      <c r="Z433" s="1102"/>
      <c r="AA433" s="1102"/>
      <c r="AB433" s="1103" cm="1">
        <f t="array" ref="AB433">SUM(IFERROR(AB400:AB432,0))</f>
        <v>0</v>
      </c>
      <c r="AC433" s="1104" t="s">
        <v>127</v>
      </c>
      <c r="AD433" s="1104"/>
      <c r="AE433" s="1104"/>
      <c r="AF433" s="1104"/>
      <c r="AG433" s="1103" cm="1">
        <f t="array" ref="AG433">SUM(IFERROR(AG400:AG432,0))</f>
        <v>0</v>
      </c>
      <c r="AH433" s="1103"/>
      <c r="AI433" s="1103"/>
      <c r="AJ433" s="1103" cm="1">
        <f t="array" ref="AJ433">SUM(IFERROR(AJ400:AJ432,0))</f>
        <v>0</v>
      </c>
      <c r="AK433" s="1054" cm="1">
        <f t="array" ref="AK433">IFERROR(SUMPRODUCT(IFERROR(AG400:AG432,0),IFERROR(AK400:AK432,0))/SUMPRODUCT(IFERROR(AG400:AG432,0)),0)</f>
        <v>0</v>
      </c>
      <c r="AL433" s="1288"/>
      <c r="AM433" s="1288"/>
      <c r="AN433"/>
    </row>
    <row r="434" spans="1:40" ht="26.1" customHeight="1">
      <c r="A434" s="1397" t="s">
        <v>150</v>
      </c>
      <c r="B434" s="1397"/>
      <c r="C434" s="1397"/>
      <c r="D434" s="1397"/>
      <c r="E434" s="1397"/>
      <c r="F434" s="1397"/>
      <c r="G434" s="1397"/>
      <c r="H434" s="1397"/>
      <c r="I434" s="1397"/>
      <c r="J434" s="1398"/>
      <c r="K434" s="1160"/>
      <c r="L434" s="1160"/>
      <c r="M434" s="1160"/>
      <c r="N434" s="1160"/>
      <c r="O434" s="1160"/>
      <c r="P434" s="1088"/>
      <c r="Q434" s="1088"/>
      <c r="R434" s="1088"/>
      <c r="S434" s="1087"/>
      <c r="T434" s="1087"/>
      <c r="U434" s="1087"/>
      <c r="V434" s="1087"/>
      <c r="W434" s="1087"/>
      <c r="X434" s="1087"/>
      <c r="Y434" s="1055"/>
      <c r="Z434" s="1055"/>
      <c r="AA434" s="1055"/>
      <c r="AB434" s="1055"/>
      <c r="AC434" s="1055"/>
      <c r="AD434" s="1087"/>
      <c r="AE434" s="1087"/>
      <c r="AF434" s="1087"/>
      <c r="AG434" s="1087"/>
      <c r="AH434" s="1087"/>
      <c r="AI434" s="1087"/>
      <c r="AJ434" s="1087"/>
      <c r="AK434" s="1089"/>
      <c r="AL434" s="1287"/>
      <c r="AM434" s="1287"/>
      <c r="AN434"/>
    </row>
    <row r="435" spans="1:40" ht="15.95">
      <c r="A435" s="1090" t="b">
        <f t="shared" ref="A435:A467" si="314">$A$14</f>
        <v>1</v>
      </c>
      <c r="B435" s="1091" t="b">
        <f>A435</f>
        <v>1</v>
      </c>
      <c r="C435" s="1092" t="str">
        <f>$C$14</f>
        <v>Dólares</v>
      </c>
      <c r="D435" s="11"/>
      <c r="E435" s="743"/>
      <c r="F435" s="17"/>
      <c r="G435" s="17" t="str">
        <f t="shared" ref="G435:G467" si="315">IFERROR(VLOOKUP(F435,Tabla_Proveedores_1,2,0)," ")</f>
        <v xml:space="preserve"> </v>
      </c>
      <c r="H435" s="12">
        <v>0</v>
      </c>
      <c r="I435" s="16" t="str">
        <f>IFERROR(VLOOKUP(G435,Proveedores!B:C,2,0)," ")</f>
        <v xml:space="preserve"> </v>
      </c>
      <c r="J435" s="745">
        <v>0</v>
      </c>
      <c r="K435" s="745" t="str">
        <f t="shared" ref="K435:K467" si="316">IFERROR(VLOOKUP(TRIM(F435), ProveedoreS_TC, 5, FALSE), "Not Found")</f>
        <v>Not Found</v>
      </c>
      <c r="L435" s="16">
        <f>IF(K435="Importado",Fletes!$B$66,0%)</f>
        <v>0</v>
      </c>
      <c r="M435" s="745">
        <f>IF(K435="Importado",J435*(1+L435),J435*(1+L435))</f>
        <v>0</v>
      </c>
      <c r="N435" s="16">
        <f>IF(K435&lt;&gt;"Importado",0%,IF(Fletes!$B$67&lt;10,15%,IF(Fletes!$B$67&lt;20,10%,5%)))</f>
        <v>0</v>
      </c>
      <c r="O435" s="745" t="str">
        <f>IFERROR(IF(OR(F435="Offiho",F435="Lauco Sofas",F435="Requiez",F435="Labenze",F435="Sunon Mty",F435="Sonara"),(M435*(1-_xlfn.XLOOKUP(F435,Proveedores!A:A,Proveedores!I:I)))*(1+N435),((M435*(1-_xlfn.XLOOKUP(F435,Proveedores!A:A,Proveedores!I:I)))*(1+N435))+U435),"")</f>
        <v/>
      </c>
      <c r="P435" s="1031"/>
      <c r="Q435" s="1133">
        <f>IF(K435&lt;&gt;"Importado",0,IF(P435&gt;0,P435*H435,IFERROR(_xlfn.XLOOKUP(F435,Proveedores!A:A,Proveedores!F:F,0)*H435,0)))</f>
        <v>0</v>
      </c>
      <c r="R435" s="1134" t="e">
        <f>O435*H435</f>
        <v>#VALUE!</v>
      </c>
      <c r="S435" s="743"/>
      <c r="T435" s="1034" t="e">
        <f t="shared" ref="T435:T467" si="317">IF(H435&gt;15,0,VLOOKUP(E435,Tabla_Instalacion,2,FALSE))</f>
        <v>#N/A</v>
      </c>
      <c r="U435" s="1034" t="e">
        <f>X435/V435</f>
        <v>#N/A</v>
      </c>
      <c r="V435" s="1165" t="e">
        <f t="shared" ref="V435:V467" si="318">VLOOKUP(E435,Tabla_Factor,2,FALSE)</f>
        <v>#N/A</v>
      </c>
      <c r="W435" s="1034" t="e">
        <f>T435*V435</f>
        <v>#N/A</v>
      </c>
      <c r="X435" s="1034" t="b">
        <f>IF(S435="Occidente",W435,IF(S435="Norte",W435*1.5,IF(S435="Centro",W435*1.2,IF(S435="Sur",W435*1.7))))</f>
        <v>0</v>
      </c>
      <c r="Y435" s="1034">
        <f>ROUNDUP(IF(OR(F435="Offiho",F435="Lauco Sofas",F435="Requiez",F435="Labenze",F435="Sunon Mty",F435="Sonara",F435="Santeco"),J435,IF(K435="Nacional",O435/(1-30%),IF(K435="Importado",O435/(1-40%),IF(OR(F435="Lumbro",F435="Idelika"),O435/(1-20%))))),0)</f>
        <v>0</v>
      </c>
      <c r="Z435" s="1034">
        <f>ROUNDUP(IF(OR(F435="Offiho",F435="Lauco Sofas",F435="Requiez",F435="Labenze",F435="Sunon Mty",F435="Sonara",F435="Sonara"),Y435,IF($P$10="MIXTO",IF(K435="Nacional",Y435/(1-50%),Y435/(1-50%)),IF($P$10="IMPORTADO",Y435/(1-50%),IF($P$10="NACIONAL",Y435/(1-20%),Y435/(1-20%))))),0)</f>
        <v>0</v>
      </c>
      <c r="AA435" s="1034">
        <f t="shared" ref="AA435:AA467" si="319">IF(Z435&gt;=Y435,_xlfn.MINIFS($Z$15:$Z$572,$D$15:$D$572,D435),"NO SE ESTA RESPETANDO EL MARGEN")</f>
        <v>0</v>
      </c>
      <c r="AB435" s="1034">
        <f t="shared" ref="AB435:AB467" si="320">IFERROR(AA435*H435,0)</f>
        <v>0</v>
      </c>
      <c r="AC435" s="1033">
        <f>IF($P$10="IMPORTADO",50%,IF($P$10="NACIONAL",20%,IF($P$10="MIXTO",50%,0%)))</f>
        <v>0</v>
      </c>
      <c r="AD435" s="1266">
        <f t="shared" ref="AD435:AD467" si="321">IF(H435&gt;0,$E$5,0)</f>
        <v>0</v>
      </c>
      <c r="AE435" s="1093">
        <f>IFERROR(AA435*AD435,0)</f>
        <v>0</v>
      </c>
      <c r="AF435" s="1093">
        <f>IF($E$5&gt;$E$6,"ERROR",AA435-AE435)</f>
        <v>0</v>
      </c>
      <c r="AG435" s="1093">
        <f t="shared" ref="AG435:AG467" si="322">AF435*H435</f>
        <v>0</v>
      </c>
      <c r="AH435" s="1033" t="e">
        <f t="shared" ref="AH435:AH467" si="323">IF(A436=TRUE,MAX(0,1-(AI435/Z435)),"NA")</f>
        <v>#DIV/0!</v>
      </c>
      <c r="AI435" s="1091">
        <f t="shared" ref="AI435:AI467" si="324">IF(A434=FALSE,"NO APLICA",AF435*(1+$AI$8))</f>
        <v>0</v>
      </c>
      <c r="AJ435" s="1094">
        <f t="shared" ref="AJ435:AJ467" si="325">AI435*H435</f>
        <v>0</v>
      </c>
      <c r="AK435" s="1053" t="str">
        <f t="shared" ref="AK435:AK467" si="326">IFERROR(IF(OR(F435="Offiho",F435="Vandesk",F435="Requiez",F435="Labenze",F435="Idelika",F435="Sunon Mty"),(AG435-(J435*(1-I435)*H435))/AG435,(AG435-R435)/AG435),"")</f>
        <v/>
      </c>
      <c r="AL435" s="1053"/>
      <c r="AM435" s="1290">
        <f>_xlfn.XLOOKUP(F435,Proveedores!A:A,Proveedores!G:G)</f>
        <v>0</v>
      </c>
      <c r="AN435" s="1095" t="str">
        <f>IF(AK435&lt;AM435,"ERROR","OK")</f>
        <v>OK</v>
      </c>
    </row>
    <row r="436" spans="1:40" ht="15.95">
      <c r="A436" s="1090" t="b">
        <f t="shared" si="314"/>
        <v>1</v>
      </c>
      <c r="B436" s="1091" t="b">
        <f t="shared" ref="B436:B467" si="327">A436</f>
        <v>1</v>
      </c>
      <c r="C436" s="1092" t="str">
        <f t="shared" ref="C436:C467" si="328">$C$14</f>
        <v>Dólares</v>
      </c>
      <c r="D436" s="13"/>
      <c r="E436" s="743"/>
      <c r="F436" s="17"/>
      <c r="G436" s="17" t="str">
        <f t="shared" si="315"/>
        <v xml:space="preserve"> </v>
      </c>
      <c r="H436" s="12">
        <v>0</v>
      </c>
      <c r="I436" s="16" t="str">
        <f>IFERROR(VLOOKUP(G436,Proveedores!B:C,2,0)," ")</f>
        <v xml:space="preserve"> </v>
      </c>
      <c r="J436" s="745">
        <v>0</v>
      </c>
      <c r="K436" s="745" t="str">
        <f t="shared" si="316"/>
        <v>Not Found</v>
      </c>
      <c r="L436" s="16">
        <f>IF(K436="Importado",Fletes!$B$66,0%)</f>
        <v>0</v>
      </c>
      <c r="M436" s="745">
        <f t="shared" ref="M436:M467" si="329">IF(K436="Importado",J436*(1+L436),J436*(1+L436))</f>
        <v>0</v>
      </c>
      <c r="N436" s="16">
        <f>IF(K436&lt;&gt;"Importado",0%,IF(Fletes!$B$67&lt;10,15%,IF(Fletes!$B$67&lt;20,10%,5%)))</f>
        <v>0</v>
      </c>
      <c r="O436" s="745" t="str">
        <f>IFERROR(IF(OR(F436="Offiho",F436="Lauco Sofas",F436="Requiez",F436="Labenze",F436="Sunon Mty",F436="Sonara"),(M436*(1-_xlfn.XLOOKUP(F436,Proveedores!A:A,Proveedores!I:I)))*(1+N436),((M436*(1-_xlfn.XLOOKUP(F436,Proveedores!A:A,Proveedores!I:I)))*(1+N436))+U436),"")</f>
        <v/>
      </c>
      <c r="P436" s="1031"/>
      <c r="Q436" s="1133">
        <f>IF(K436&lt;&gt;"Importado",0,IF(P436&gt;0,P436*H436,IFERROR(_xlfn.XLOOKUP(F436,Proveedores!A:A,Proveedores!F:F,0)*H436,0)))</f>
        <v>0</v>
      </c>
      <c r="R436" s="1134" t="e">
        <f t="shared" ref="R436:R467" si="330">O436*H436</f>
        <v>#VALUE!</v>
      </c>
      <c r="S436" s="743"/>
      <c r="T436" s="1034" t="e">
        <f t="shared" si="317"/>
        <v>#N/A</v>
      </c>
      <c r="U436" s="1034" t="e">
        <f t="shared" ref="U436:U467" si="331">X436/V436</f>
        <v>#N/A</v>
      </c>
      <c r="V436" s="1165" t="e">
        <f t="shared" si="318"/>
        <v>#N/A</v>
      </c>
      <c r="W436" s="1034" t="e">
        <f t="shared" ref="W436:W467" si="332">T436*V436</f>
        <v>#N/A</v>
      </c>
      <c r="X436" s="1034" t="b">
        <f t="shared" ref="X436:X467" si="333">IF(S436="Occidente",W436,IF(S436="Norte",W436*1.5,IF(S436="Centro",W436*1.2,IF(S436="Sur",W436*1.7))))</f>
        <v>0</v>
      </c>
      <c r="Y436" s="1034">
        <f t="shared" ref="Y436:Y467" si="334">ROUNDUP(IF(OR(F436="Offiho",F436="Lauco Sofas",F436="Requiez",F436="Labenze",F436="Sunon Mty",F436="Sonara",F436="Santeco"),J436,IF(K436="Nacional",O436/(1-30%),IF(K436="Importado",O436/(1-40%),IF(OR(F436="Lumbro",F436="Idelika"),O436/(1-20%))))),0)</f>
        <v>0</v>
      </c>
      <c r="Z436" s="1034">
        <f t="shared" ref="Z436:Z467" si="335">ROUNDUP(IF(OR(F436="Offiho",F436="Lauco Sofas",F436="Requiez",F436="Labenze",F436="Sunon Mty",F436="Sonara",F436="Sonara"),Y436,IF($P$10="MIXTO",IF(K436="Nacional",Y436/(1-50%),Y436/(1-50%)),IF($P$10="IMPORTADO",Y436/(1-50%),IF($P$10="NACIONAL",Y436/(1-20%),Y436/(1-20%))))),0)</f>
        <v>0</v>
      </c>
      <c r="AA436" s="1034">
        <f t="shared" si="319"/>
        <v>0</v>
      </c>
      <c r="AB436" s="1034">
        <f t="shared" si="320"/>
        <v>0</v>
      </c>
      <c r="AC436" s="1033">
        <f t="shared" ref="AC436:AC467" si="336">IF($P$10="IMPORTADO",50%,IF($P$10="NACIONAL",20%,IF($P$10="MIXTO",50%,0%)))</f>
        <v>0</v>
      </c>
      <c r="AD436" s="1266">
        <f t="shared" si="321"/>
        <v>0</v>
      </c>
      <c r="AE436" s="1093">
        <f t="shared" ref="AE436:AE467" si="337">IFERROR(AA436*AD436,0)</f>
        <v>0</v>
      </c>
      <c r="AF436" s="1093">
        <f t="shared" ref="AF436:AF467" si="338">IF($E$5&gt;$E$6,"ERROR",AA436-AE436)</f>
        <v>0</v>
      </c>
      <c r="AG436" s="1093">
        <f t="shared" si="322"/>
        <v>0</v>
      </c>
      <c r="AH436" s="1033" t="e">
        <f t="shared" si="323"/>
        <v>#DIV/0!</v>
      </c>
      <c r="AI436" s="1091">
        <f t="shared" si="324"/>
        <v>0</v>
      </c>
      <c r="AJ436" s="1094">
        <f t="shared" si="325"/>
        <v>0</v>
      </c>
      <c r="AK436" s="1053" t="str">
        <f t="shared" si="326"/>
        <v/>
      </c>
      <c r="AL436" s="1053"/>
      <c r="AM436" s="1290">
        <f>_xlfn.XLOOKUP(F436,Proveedores!A:A,Proveedores!G:G)</f>
        <v>0</v>
      </c>
      <c r="AN436" s="1095" t="str">
        <f t="shared" ref="AN436:AN467" si="339">IF(AK436&lt;AM436,"ERROR","OK")</f>
        <v>OK</v>
      </c>
    </row>
    <row r="437" spans="1:40" ht="15.95">
      <c r="A437" s="1090" t="b">
        <f t="shared" si="314"/>
        <v>1</v>
      </c>
      <c r="B437" s="1091" t="b">
        <f t="shared" si="327"/>
        <v>1</v>
      </c>
      <c r="C437" s="1092" t="str">
        <f t="shared" si="328"/>
        <v>Dólares</v>
      </c>
      <c r="D437" s="13"/>
      <c r="E437" s="743"/>
      <c r="F437" s="17"/>
      <c r="G437" s="17" t="str">
        <f t="shared" si="315"/>
        <v xml:space="preserve"> </v>
      </c>
      <c r="H437" s="12">
        <v>0</v>
      </c>
      <c r="I437" s="16" t="str">
        <f>IFERROR(VLOOKUP(G437,Proveedores!B:C,2,0)," ")</f>
        <v xml:space="preserve"> </v>
      </c>
      <c r="J437" s="745">
        <v>0</v>
      </c>
      <c r="K437" s="745" t="str">
        <f t="shared" si="316"/>
        <v>Not Found</v>
      </c>
      <c r="L437" s="16">
        <f>IF(K437="Importado",Fletes!$B$66,0%)</f>
        <v>0</v>
      </c>
      <c r="M437" s="745">
        <f t="shared" si="329"/>
        <v>0</v>
      </c>
      <c r="N437" s="16">
        <f>IF(K437&lt;&gt;"Importado",0%,IF(Fletes!$B$67&lt;10,15%,IF(Fletes!$B$67&lt;20,10%,5%)))</f>
        <v>0</v>
      </c>
      <c r="O437" s="745" t="str">
        <f>IFERROR(IF(OR(F437="Offiho",F437="Lauco Sofas",F437="Requiez",F437="Labenze",F437="Sunon Mty",F437="Sonara"),(M437*(1-_xlfn.XLOOKUP(F437,Proveedores!A:A,Proveedores!I:I)))*(1+N437),((M437*(1-_xlfn.XLOOKUP(F437,Proveedores!A:A,Proveedores!I:I)))*(1+N437))+U437),"")</f>
        <v/>
      </c>
      <c r="P437" s="1031"/>
      <c r="Q437" s="1133">
        <f>IF(K437&lt;&gt;"Importado",0,IF(P437&gt;0,P437*H437,IFERROR(_xlfn.XLOOKUP(F437,Proveedores!A:A,Proveedores!F:F,0)*H437,0)))</f>
        <v>0</v>
      </c>
      <c r="R437" s="1134" t="e">
        <f t="shared" si="330"/>
        <v>#VALUE!</v>
      </c>
      <c r="S437" s="743"/>
      <c r="T437" s="1034" t="e">
        <f t="shared" si="317"/>
        <v>#N/A</v>
      </c>
      <c r="U437" s="1034" t="e">
        <f t="shared" si="331"/>
        <v>#N/A</v>
      </c>
      <c r="V437" s="1165" t="e">
        <f t="shared" si="318"/>
        <v>#N/A</v>
      </c>
      <c r="W437" s="1034" t="e">
        <f t="shared" si="332"/>
        <v>#N/A</v>
      </c>
      <c r="X437" s="1034" t="b">
        <f t="shared" si="333"/>
        <v>0</v>
      </c>
      <c r="Y437" s="1034">
        <f t="shared" si="334"/>
        <v>0</v>
      </c>
      <c r="Z437" s="1034">
        <f t="shared" si="335"/>
        <v>0</v>
      </c>
      <c r="AA437" s="1034">
        <f t="shared" si="319"/>
        <v>0</v>
      </c>
      <c r="AB437" s="1034">
        <f t="shared" si="320"/>
        <v>0</v>
      </c>
      <c r="AC437" s="1033">
        <f t="shared" si="336"/>
        <v>0</v>
      </c>
      <c r="AD437" s="1266">
        <f t="shared" si="321"/>
        <v>0</v>
      </c>
      <c r="AE437" s="1093">
        <f t="shared" si="337"/>
        <v>0</v>
      </c>
      <c r="AF437" s="1093">
        <f t="shared" si="338"/>
        <v>0</v>
      </c>
      <c r="AG437" s="1093">
        <f t="shared" si="322"/>
        <v>0</v>
      </c>
      <c r="AH437" s="1033" t="e">
        <f t="shared" si="323"/>
        <v>#DIV/0!</v>
      </c>
      <c r="AI437" s="1091">
        <f t="shared" si="324"/>
        <v>0</v>
      </c>
      <c r="AJ437" s="1094">
        <f t="shared" si="325"/>
        <v>0</v>
      </c>
      <c r="AK437" s="1053" t="str">
        <f t="shared" si="326"/>
        <v/>
      </c>
      <c r="AL437" s="1053"/>
      <c r="AM437" s="1290">
        <f>_xlfn.XLOOKUP(F437,Proveedores!A:A,Proveedores!G:G)</f>
        <v>0</v>
      </c>
      <c r="AN437" s="1095" t="str">
        <f t="shared" si="339"/>
        <v>OK</v>
      </c>
    </row>
    <row r="438" spans="1:40" ht="15.95">
      <c r="A438" s="1090" t="b">
        <f t="shared" si="314"/>
        <v>1</v>
      </c>
      <c r="B438" s="1091" t="b">
        <f t="shared" si="327"/>
        <v>1</v>
      </c>
      <c r="C438" s="1092" t="str">
        <f t="shared" si="328"/>
        <v>Dólares</v>
      </c>
      <c r="D438" s="13"/>
      <c r="E438" s="743"/>
      <c r="F438" s="17"/>
      <c r="G438" s="17" t="str">
        <f t="shared" si="315"/>
        <v xml:space="preserve"> </v>
      </c>
      <c r="H438" s="12">
        <v>0</v>
      </c>
      <c r="I438" s="16" t="str">
        <f>IFERROR(VLOOKUP(G438,Proveedores!B:C,2,0)," ")</f>
        <v xml:space="preserve"> </v>
      </c>
      <c r="J438" s="745">
        <v>0</v>
      </c>
      <c r="K438" s="745" t="str">
        <f t="shared" si="316"/>
        <v>Not Found</v>
      </c>
      <c r="L438" s="16">
        <f>IF(K438="Importado",Fletes!$B$66,0%)</f>
        <v>0</v>
      </c>
      <c r="M438" s="745">
        <f t="shared" si="329"/>
        <v>0</v>
      </c>
      <c r="N438" s="16">
        <f>IF(K438&lt;&gt;"Importado",0%,IF(Fletes!$B$67&lt;10,15%,IF(Fletes!$B$67&lt;20,10%,5%)))</f>
        <v>0</v>
      </c>
      <c r="O438" s="745" t="str">
        <f>IFERROR(IF(OR(F438="Offiho",F438="Lauco Sofas",F438="Requiez",F438="Labenze",F438="Sunon Mty",F438="Sonara"),(M438*(1-_xlfn.XLOOKUP(F438,Proveedores!A:A,Proveedores!I:I)))*(1+N438),((M438*(1-_xlfn.XLOOKUP(F438,Proveedores!A:A,Proveedores!I:I)))*(1+N438))+U438),"")</f>
        <v/>
      </c>
      <c r="P438" s="1031"/>
      <c r="Q438" s="1133">
        <f>IF(K438&lt;&gt;"Importado",0,IF(P438&gt;0,P438*H438,IFERROR(_xlfn.XLOOKUP(F438,Proveedores!A:A,Proveedores!F:F,0)*H438,0)))</f>
        <v>0</v>
      </c>
      <c r="R438" s="1134" t="e">
        <f t="shared" si="330"/>
        <v>#VALUE!</v>
      </c>
      <c r="S438" s="743"/>
      <c r="T438" s="1034" t="e">
        <f t="shared" si="317"/>
        <v>#N/A</v>
      </c>
      <c r="U438" s="1034" t="e">
        <f t="shared" si="331"/>
        <v>#N/A</v>
      </c>
      <c r="V438" s="1165" t="e">
        <f t="shared" si="318"/>
        <v>#N/A</v>
      </c>
      <c r="W438" s="1034" t="e">
        <f t="shared" si="332"/>
        <v>#N/A</v>
      </c>
      <c r="X438" s="1034" t="b">
        <f t="shared" si="333"/>
        <v>0</v>
      </c>
      <c r="Y438" s="1034">
        <f t="shared" si="334"/>
        <v>0</v>
      </c>
      <c r="Z438" s="1034">
        <f t="shared" si="335"/>
        <v>0</v>
      </c>
      <c r="AA438" s="1034">
        <f t="shared" si="319"/>
        <v>0</v>
      </c>
      <c r="AB438" s="1034">
        <f t="shared" si="320"/>
        <v>0</v>
      </c>
      <c r="AC438" s="1033">
        <f t="shared" si="336"/>
        <v>0</v>
      </c>
      <c r="AD438" s="1266">
        <f t="shared" si="321"/>
        <v>0</v>
      </c>
      <c r="AE438" s="1093">
        <f t="shared" si="337"/>
        <v>0</v>
      </c>
      <c r="AF438" s="1093">
        <f t="shared" si="338"/>
        <v>0</v>
      </c>
      <c r="AG438" s="1093">
        <f t="shared" si="322"/>
        <v>0</v>
      </c>
      <c r="AH438" s="1033" t="e">
        <f t="shared" si="323"/>
        <v>#DIV/0!</v>
      </c>
      <c r="AI438" s="1091">
        <f t="shared" si="324"/>
        <v>0</v>
      </c>
      <c r="AJ438" s="1094">
        <f t="shared" si="325"/>
        <v>0</v>
      </c>
      <c r="AK438" s="1053" t="str">
        <f t="shared" si="326"/>
        <v/>
      </c>
      <c r="AL438" s="1053"/>
      <c r="AM438" s="1290">
        <f>_xlfn.XLOOKUP(F438,Proveedores!A:A,Proveedores!G:G)</f>
        <v>0</v>
      </c>
      <c r="AN438" s="1095" t="str">
        <f t="shared" si="339"/>
        <v>OK</v>
      </c>
    </row>
    <row r="439" spans="1:40" ht="15.95">
      <c r="A439" s="1090" t="b">
        <f t="shared" si="314"/>
        <v>1</v>
      </c>
      <c r="B439" s="1091" t="b">
        <f t="shared" si="327"/>
        <v>1</v>
      </c>
      <c r="C439" s="1092" t="str">
        <f t="shared" si="328"/>
        <v>Dólares</v>
      </c>
      <c r="D439" s="13"/>
      <c r="E439" s="743"/>
      <c r="F439" s="17"/>
      <c r="G439" s="17" t="str">
        <f t="shared" si="315"/>
        <v xml:space="preserve"> </v>
      </c>
      <c r="H439" s="12">
        <v>0</v>
      </c>
      <c r="I439" s="16" t="str">
        <f>IFERROR(VLOOKUP(G439,Proveedores!B:C,2,0)," ")</f>
        <v xml:space="preserve"> </v>
      </c>
      <c r="J439" s="745">
        <v>0</v>
      </c>
      <c r="K439" s="745" t="str">
        <f t="shared" si="316"/>
        <v>Not Found</v>
      </c>
      <c r="L439" s="16">
        <f>IF(K439="Importado",Fletes!$B$66,0%)</f>
        <v>0</v>
      </c>
      <c r="M439" s="745">
        <f t="shared" si="329"/>
        <v>0</v>
      </c>
      <c r="N439" s="16">
        <f>IF(K439&lt;&gt;"Importado",0%,IF(Fletes!$B$67&lt;10,15%,IF(Fletes!$B$67&lt;20,10%,5%)))</f>
        <v>0</v>
      </c>
      <c r="O439" s="745" t="str">
        <f>IFERROR(IF(OR(F439="Offiho",F439="Lauco Sofas",F439="Requiez",F439="Labenze",F439="Sunon Mty",F439="Sonara"),(M439*(1-_xlfn.XLOOKUP(F439,Proveedores!A:A,Proveedores!I:I)))*(1+N439),((M439*(1-_xlfn.XLOOKUP(F439,Proveedores!A:A,Proveedores!I:I)))*(1+N439))+U439),"")</f>
        <v/>
      </c>
      <c r="P439" s="1031"/>
      <c r="Q439" s="1133">
        <f>IF(K439&lt;&gt;"Importado",0,IF(P439&gt;0,P439*H439,IFERROR(_xlfn.XLOOKUP(F439,Proveedores!A:A,Proveedores!F:F,0)*H439,0)))</f>
        <v>0</v>
      </c>
      <c r="R439" s="1134" t="e">
        <f t="shared" si="330"/>
        <v>#VALUE!</v>
      </c>
      <c r="S439" s="743"/>
      <c r="T439" s="1034" t="e">
        <f t="shared" si="317"/>
        <v>#N/A</v>
      </c>
      <c r="U439" s="1034" t="e">
        <f t="shared" si="331"/>
        <v>#N/A</v>
      </c>
      <c r="V439" s="1165" t="e">
        <f t="shared" si="318"/>
        <v>#N/A</v>
      </c>
      <c r="W439" s="1034" t="e">
        <f t="shared" si="332"/>
        <v>#N/A</v>
      </c>
      <c r="X439" s="1034" t="b">
        <f t="shared" si="333"/>
        <v>0</v>
      </c>
      <c r="Y439" s="1034">
        <f t="shared" si="334"/>
        <v>0</v>
      </c>
      <c r="Z439" s="1034">
        <f t="shared" si="335"/>
        <v>0</v>
      </c>
      <c r="AA439" s="1034">
        <f t="shared" si="319"/>
        <v>0</v>
      </c>
      <c r="AB439" s="1034">
        <f t="shared" si="320"/>
        <v>0</v>
      </c>
      <c r="AC439" s="1033">
        <f t="shared" si="336"/>
        <v>0</v>
      </c>
      <c r="AD439" s="1266">
        <f t="shared" si="321"/>
        <v>0</v>
      </c>
      <c r="AE439" s="1093">
        <f t="shared" si="337"/>
        <v>0</v>
      </c>
      <c r="AF439" s="1093">
        <f t="shared" si="338"/>
        <v>0</v>
      </c>
      <c r="AG439" s="1093">
        <f t="shared" si="322"/>
        <v>0</v>
      </c>
      <c r="AH439" s="1033" t="e">
        <f t="shared" si="323"/>
        <v>#DIV/0!</v>
      </c>
      <c r="AI439" s="1091">
        <f t="shared" si="324"/>
        <v>0</v>
      </c>
      <c r="AJ439" s="1094">
        <f t="shared" si="325"/>
        <v>0</v>
      </c>
      <c r="AK439" s="1053" t="str">
        <f t="shared" si="326"/>
        <v/>
      </c>
      <c r="AL439" s="1053"/>
      <c r="AM439" s="1290">
        <f>_xlfn.XLOOKUP(F439,Proveedores!A:A,Proveedores!G:G)</f>
        <v>0</v>
      </c>
      <c r="AN439" s="1095" t="str">
        <f t="shared" si="339"/>
        <v>OK</v>
      </c>
    </row>
    <row r="440" spans="1:40" ht="15.95">
      <c r="A440" s="1090" t="b">
        <f t="shared" si="314"/>
        <v>1</v>
      </c>
      <c r="B440" s="1091" t="b">
        <f t="shared" si="327"/>
        <v>1</v>
      </c>
      <c r="C440" s="1092" t="str">
        <f t="shared" si="328"/>
        <v>Dólares</v>
      </c>
      <c r="D440" s="13"/>
      <c r="E440" s="743"/>
      <c r="F440" s="17"/>
      <c r="G440" s="17" t="str">
        <f t="shared" si="315"/>
        <v xml:space="preserve"> </v>
      </c>
      <c r="H440" s="12">
        <v>0</v>
      </c>
      <c r="I440" s="16" t="str">
        <f>IFERROR(VLOOKUP(G440,Proveedores!B:C,2,0)," ")</f>
        <v xml:space="preserve"> </v>
      </c>
      <c r="J440" s="745">
        <v>0</v>
      </c>
      <c r="K440" s="745" t="str">
        <f t="shared" si="316"/>
        <v>Not Found</v>
      </c>
      <c r="L440" s="16">
        <f>IF(K440="Importado",Fletes!$B$66,0%)</f>
        <v>0</v>
      </c>
      <c r="M440" s="745">
        <f t="shared" si="329"/>
        <v>0</v>
      </c>
      <c r="N440" s="16">
        <f>IF(K440&lt;&gt;"Importado",0%,IF(Fletes!$B$67&lt;10,15%,IF(Fletes!$B$67&lt;20,10%,5%)))</f>
        <v>0</v>
      </c>
      <c r="O440" s="745" t="str">
        <f>IFERROR(IF(OR(F440="Offiho",F440="Lauco Sofas",F440="Requiez",F440="Labenze",F440="Sunon Mty",F440="Sonara"),(M440*(1-_xlfn.XLOOKUP(F440,Proveedores!A:A,Proveedores!I:I)))*(1+N440),((M440*(1-_xlfn.XLOOKUP(F440,Proveedores!A:A,Proveedores!I:I)))*(1+N440))+U440),"")</f>
        <v/>
      </c>
      <c r="P440" s="1031"/>
      <c r="Q440" s="1133">
        <f>IF(K440&lt;&gt;"Importado",0,IF(P440&gt;0,P440*H440,IFERROR(_xlfn.XLOOKUP(F440,Proveedores!A:A,Proveedores!F:F,0)*H440,0)))</f>
        <v>0</v>
      </c>
      <c r="R440" s="1134" t="e">
        <f t="shared" si="330"/>
        <v>#VALUE!</v>
      </c>
      <c r="S440" s="743"/>
      <c r="T440" s="1034" t="e">
        <f t="shared" si="317"/>
        <v>#N/A</v>
      </c>
      <c r="U440" s="1034" t="e">
        <f t="shared" si="331"/>
        <v>#N/A</v>
      </c>
      <c r="V440" s="1165" t="e">
        <f t="shared" si="318"/>
        <v>#N/A</v>
      </c>
      <c r="W440" s="1034" t="e">
        <f t="shared" si="332"/>
        <v>#N/A</v>
      </c>
      <c r="X440" s="1034" t="b">
        <f t="shared" si="333"/>
        <v>0</v>
      </c>
      <c r="Y440" s="1034">
        <f t="shared" si="334"/>
        <v>0</v>
      </c>
      <c r="Z440" s="1034">
        <f t="shared" si="335"/>
        <v>0</v>
      </c>
      <c r="AA440" s="1034">
        <f t="shared" si="319"/>
        <v>0</v>
      </c>
      <c r="AB440" s="1034">
        <f t="shared" si="320"/>
        <v>0</v>
      </c>
      <c r="AC440" s="1033">
        <f t="shared" si="336"/>
        <v>0</v>
      </c>
      <c r="AD440" s="1266">
        <f t="shared" si="321"/>
        <v>0</v>
      </c>
      <c r="AE440" s="1093">
        <f t="shared" si="337"/>
        <v>0</v>
      </c>
      <c r="AF440" s="1093">
        <f t="shared" si="338"/>
        <v>0</v>
      </c>
      <c r="AG440" s="1093">
        <f t="shared" si="322"/>
        <v>0</v>
      </c>
      <c r="AH440" s="1033" t="e">
        <f t="shared" si="323"/>
        <v>#DIV/0!</v>
      </c>
      <c r="AI440" s="1091">
        <f t="shared" si="324"/>
        <v>0</v>
      </c>
      <c r="AJ440" s="1094">
        <f t="shared" si="325"/>
        <v>0</v>
      </c>
      <c r="AK440" s="1053" t="str">
        <f t="shared" si="326"/>
        <v/>
      </c>
      <c r="AL440" s="1053"/>
      <c r="AM440" s="1290">
        <f>_xlfn.XLOOKUP(F440,Proveedores!A:A,Proveedores!G:G)</f>
        <v>0</v>
      </c>
      <c r="AN440" s="1095" t="str">
        <f t="shared" si="339"/>
        <v>OK</v>
      </c>
    </row>
    <row r="441" spans="1:40" ht="15.95">
      <c r="A441" s="1090" t="b">
        <f t="shared" si="314"/>
        <v>1</v>
      </c>
      <c r="B441" s="1091" t="b">
        <f t="shared" si="327"/>
        <v>1</v>
      </c>
      <c r="C441" s="1092" t="str">
        <f t="shared" si="328"/>
        <v>Dólares</v>
      </c>
      <c r="D441" s="11"/>
      <c r="E441" s="743"/>
      <c r="F441" s="17"/>
      <c r="G441" s="17" t="str">
        <f t="shared" si="315"/>
        <v xml:space="preserve"> </v>
      </c>
      <c r="H441" s="12">
        <v>0</v>
      </c>
      <c r="I441" s="16" t="str">
        <f>IFERROR(VLOOKUP(G441,Proveedores!B:C,2,0)," ")</f>
        <v xml:space="preserve"> </v>
      </c>
      <c r="J441" s="745">
        <v>0</v>
      </c>
      <c r="K441" s="745" t="str">
        <f t="shared" si="316"/>
        <v>Not Found</v>
      </c>
      <c r="L441" s="16">
        <f>IF(K441="Importado",Fletes!$B$66,0%)</f>
        <v>0</v>
      </c>
      <c r="M441" s="745">
        <f t="shared" si="329"/>
        <v>0</v>
      </c>
      <c r="N441" s="16">
        <f>IF(K441&lt;&gt;"Importado",0%,IF(Fletes!$B$67&lt;10,15%,IF(Fletes!$B$67&lt;20,10%,5%)))</f>
        <v>0</v>
      </c>
      <c r="O441" s="745" t="str">
        <f>IFERROR(IF(OR(F441="Offiho",F441="Lauco Sofas",F441="Requiez",F441="Labenze",F441="Sunon Mty",F441="Sonara"),(M441*(1-_xlfn.XLOOKUP(F441,Proveedores!A:A,Proveedores!I:I)))*(1+N441),((M441*(1-_xlfn.XLOOKUP(F441,Proveedores!A:A,Proveedores!I:I)))*(1+N441))+U441),"")</f>
        <v/>
      </c>
      <c r="P441" s="1031"/>
      <c r="Q441" s="1133">
        <f>IF(K441&lt;&gt;"Importado",0,IF(P441&gt;0,P441*H441,IFERROR(_xlfn.XLOOKUP(F441,Proveedores!A:A,Proveedores!F:F,0)*H441,0)))</f>
        <v>0</v>
      </c>
      <c r="R441" s="1134" t="e">
        <f t="shared" si="330"/>
        <v>#VALUE!</v>
      </c>
      <c r="S441" s="743"/>
      <c r="T441" s="1034" t="e">
        <f t="shared" si="317"/>
        <v>#N/A</v>
      </c>
      <c r="U441" s="1034" t="e">
        <f t="shared" si="331"/>
        <v>#N/A</v>
      </c>
      <c r="V441" s="1165" t="e">
        <f t="shared" si="318"/>
        <v>#N/A</v>
      </c>
      <c r="W441" s="1034" t="e">
        <f t="shared" si="332"/>
        <v>#N/A</v>
      </c>
      <c r="X441" s="1034" t="b">
        <f t="shared" si="333"/>
        <v>0</v>
      </c>
      <c r="Y441" s="1034">
        <f t="shared" si="334"/>
        <v>0</v>
      </c>
      <c r="Z441" s="1034">
        <f t="shared" si="335"/>
        <v>0</v>
      </c>
      <c r="AA441" s="1034">
        <f t="shared" si="319"/>
        <v>0</v>
      </c>
      <c r="AB441" s="1034">
        <f t="shared" si="320"/>
        <v>0</v>
      </c>
      <c r="AC441" s="1033">
        <f t="shared" si="336"/>
        <v>0</v>
      </c>
      <c r="AD441" s="1266">
        <f t="shared" si="321"/>
        <v>0</v>
      </c>
      <c r="AE441" s="1093">
        <f t="shared" si="337"/>
        <v>0</v>
      </c>
      <c r="AF441" s="1093">
        <f t="shared" si="338"/>
        <v>0</v>
      </c>
      <c r="AG441" s="1093">
        <f t="shared" si="322"/>
        <v>0</v>
      </c>
      <c r="AH441" s="1033" t="e">
        <f t="shared" si="323"/>
        <v>#DIV/0!</v>
      </c>
      <c r="AI441" s="1091">
        <f t="shared" si="324"/>
        <v>0</v>
      </c>
      <c r="AJ441" s="1094">
        <f t="shared" si="325"/>
        <v>0</v>
      </c>
      <c r="AK441" s="1053" t="str">
        <f t="shared" si="326"/>
        <v/>
      </c>
      <c r="AL441" s="1053"/>
      <c r="AM441" s="1290">
        <f>_xlfn.XLOOKUP(F441,Proveedores!A:A,Proveedores!G:G)</f>
        <v>0</v>
      </c>
      <c r="AN441" s="1095" t="str">
        <f t="shared" si="339"/>
        <v>OK</v>
      </c>
    </row>
    <row r="442" spans="1:40" ht="15.95">
      <c r="A442" s="1090" t="b">
        <f t="shared" si="314"/>
        <v>1</v>
      </c>
      <c r="B442" s="1091" t="b">
        <f t="shared" si="327"/>
        <v>1</v>
      </c>
      <c r="C442" s="1092" t="str">
        <f t="shared" si="328"/>
        <v>Dólares</v>
      </c>
      <c r="D442" s="11"/>
      <c r="E442" s="743"/>
      <c r="F442" s="17"/>
      <c r="G442" s="17" t="str">
        <f t="shared" si="315"/>
        <v xml:space="preserve"> </v>
      </c>
      <c r="H442" s="12">
        <v>0</v>
      </c>
      <c r="I442" s="16" t="str">
        <f>IFERROR(VLOOKUP(G442,Proveedores!B:C,2,0)," ")</f>
        <v xml:space="preserve"> </v>
      </c>
      <c r="J442" s="745">
        <v>0</v>
      </c>
      <c r="K442" s="745" t="str">
        <f t="shared" si="316"/>
        <v>Not Found</v>
      </c>
      <c r="L442" s="16">
        <f>IF(K442="Importado",Fletes!$B$66,0%)</f>
        <v>0</v>
      </c>
      <c r="M442" s="745">
        <f t="shared" si="329"/>
        <v>0</v>
      </c>
      <c r="N442" s="16">
        <f>IF(K442&lt;&gt;"Importado",0%,IF(Fletes!$B$67&lt;10,15%,IF(Fletes!$B$67&lt;20,10%,5%)))</f>
        <v>0</v>
      </c>
      <c r="O442" s="745" t="str">
        <f>IFERROR(IF(OR(F442="Offiho",F442="Lauco Sofas",F442="Requiez",F442="Labenze",F442="Sunon Mty",F442="Sonara"),(M442*(1-_xlfn.XLOOKUP(F442,Proveedores!A:A,Proveedores!I:I)))*(1+N442),((M442*(1-_xlfn.XLOOKUP(F442,Proveedores!A:A,Proveedores!I:I)))*(1+N442))+U442),"")</f>
        <v/>
      </c>
      <c r="P442" s="1031"/>
      <c r="Q442" s="1133">
        <f>IF(K442&lt;&gt;"Importado",0,IF(P442&gt;0,P442*H442,IFERROR(_xlfn.XLOOKUP(F442,Proveedores!A:A,Proveedores!F:F,0)*H442,0)))</f>
        <v>0</v>
      </c>
      <c r="R442" s="1134" t="e">
        <f t="shared" si="330"/>
        <v>#VALUE!</v>
      </c>
      <c r="S442" s="743"/>
      <c r="T442" s="1034" t="e">
        <f t="shared" si="317"/>
        <v>#N/A</v>
      </c>
      <c r="U442" s="1034" t="e">
        <f t="shared" si="331"/>
        <v>#N/A</v>
      </c>
      <c r="V442" s="1165" t="e">
        <f t="shared" si="318"/>
        <v>#N/A</v>
      </c>
      <c r="W442" s="1034" t="e">
        <f t="shared" si="332"/>
        <v>#N/A</v>
      </c>
      <c r="X442" s="1034" t="b">
        <f t="shared" si="333"/>
        <v>0</v>
      </c>
      <c r="Y442" s="1034">
        <f t="shared" si="334"/>
        <v>0</v>
      </c>
      <c r="Z442" s="1034">
        <f t="shared" si="335"/>
        <v>0</v>
      </c>
      <c r="AA442" s="1034">
        <f t="shared" si="319"/>
        <v>0</v>
      </c>
      <c r="AB442" s="1034">
        <f t="shared" si="320"/>
        <v>0</v>
      </c>
      <c r="AC442" s="1033">
        <f t="shared" si="336"/>
        <v>0</v>
      </c>
      <c r="AD442" s="1266">
        <f t="shared" si="321"/>
        <v>0</v>
      </c>
      <c r="AE442" s="1093">
        <f t="shared" si="337"/>
        <v>0</v>
      </c>
      <c r="AF442" s="1093">
        <f t="shared" si="338"/>
        <v>0</v>
      </c>
      <c r="AG442" s="1093">
        <f t="shared" si="322"/>
        <v>0</v>
      </c>
      <c r="AH442" s="1033" t="e">
        <f t="shared" si="323"/>
        <v>#DIV/0!</v>
      </c>
      <c r="AI442" s="1091">
        <f t="shared" si="324"/>
        <v>0</v>
      </c>
      <c r="AJ442" s="1094">
        <f t="shared" si="325"/>
        <v>0</v>
      </c>
      <c r="AK442" s="1053" t="str">
        <f t="shared" si="326"/>
        <v/>
      </c>
      <c r="AL442" s="1053"/>
      <c r="AM442" s="1290">
        <f>_xlfn.XLOOKUP(F442,Proveedores!A:A,Proveedores!G:G)</f>
        <v>0</v>
      </c>
      <c r="AN442" s="1095" t="str">
        <f t="shared" si="339"/>
        <v>OK</v>
      </c>
    </row>
    <row r="443" spans="1:40" ht="15.95">
      <c r="A443" s="1090" t="b">
        <f t="shared" si="314"/>
        <v>1</v>
      </c>
      <c r="B443" s="1091" t="b">
        <f t="shared" si="327"/>
        <v>1</v>
      </c>
      <c r="C443" s="1092" t="str">
        <f t="shared" si="328"/>
        <v>Dólares</v>
      </c>
      <c r="D443" s="11"/>
      <c r="E443" s="743"/>
      <c r="F443" s="17"/>
      <c r="G443" s="17" t="str">
        <f t="shared" si="315"/>
        <v xml:space="preserve"> </v>
      </c>
      <c r="H443" s="12">
        <v>0</v>
      </c>
      <c r="I443" s="16" t="str">
        <f>IFERROR(VLOOKUP(G443,Proveedores!B:C,2,0)," ")</f>
        <v xml:space="preserve"> </v>
      </c>
      <c r="J443" s="745">
        <v>0</v>
      </c>
      <c r="K443" s="745" t="str">
        <f t="shared" si="316"/>
        <v>Not Found</v>
      </c>
      <c r="L443" s="16">
        <f>IF(K443="Importado",Fletes!$B$66,0%)</f>
        <v>0</v>
      </c>
      <c r="M443" s="745">
        <f t="shared" si="329"/>
        <v>0</v>
      </c>
      <c r="N443" s="16">
        <f>IF(K443&lt;&gt;"Importado",0%,IF(Fletes!$B$67&lt;10,15%,IF(Fletes!$B$67&lt;20,10%,5%)))</f>
        <v>0</v>
      </c>
      <c r="O443" s="745" t="str">
        <f>IFERROR(IF(OR(F443="Offiho",F443="Lauco Sofas",F443="Requiez",F443="Labenze",F443="Sunon Mty",F443="Sonara"),(M443*(1-_xlfn.XLOOKUP(F443,Proveedores!A:A,Proveedores!I:I)))*(1+N443),((M443*(1-_xlfn.XLOOKUP(F443,Proveedores!A:A,Proveedores!I:I)))*(1+N443))+U443),"")</f>
        <v/>
      </c>
      <c r="P443" s="1031"/>
      <c r="Q443" s="1133">
        <f>IF(K443&lt;&gt;"Importado",0,IF(P443&gt;0,P443*H443,IFERROR(_xlfn.XLOOKUP(F443,Proveedores!A:A,Proveedores!F:F,0)*H443,0)))</f>
        <v>0</v>
      </c>
      <c r="R443" s="1134" t="e">
        <f t="shared" si="330"/>
        <v>#VALUE!</v>
      </c>
      <c r="S443" s="743"/>
      <c r="T443" s="1034" t="e">
        <f t="shared" si="317"/>
        <v>#N/A</v>
      </c>
      <c r="U443" s="1034" t="e">
        <f t="shared" si="331"/>
        <v>#N/A</v>
      </c>
      <c r="V443" s="1165" t="e">
        <f t="shared" si="318"/>
        <v>#N/A</v>
      </c>
      <c r="W443" s="1034" t="e">
        <f t="shared" si="332"/>
        <v>#N/A</v>
      </c>
      <c r="X443" s="1034" t="b">
        <f t="shared" si="333"/>
        <v>0</v>
      </c>
      <c r="Y443" s="1034">
        <f t="shared" si="334"/>
        <v>0</v>
      </c>
      <c r="Z443" s="1034">
        <f t="shared" si="335"/>
        <v>0</v>
      </c>
      <c r="AA443" s="1034">
        <f t="shared" si="319"/>
        <v>0</v>
      </c>
      <c r="AB443" s="1034">
        <f t="shared" si="320"/>
        <v>0</v>
      </c>
      <c r="AC443" s="1033">
        <f t="shared" si="336"/>
        <v>0</v>
      </c>
      <c r="AD443" s="1266">
        <f t="shared" si="321"/>
        <v>0</v>
      </c>
      <c r="AE443" s="1093">
        <f t="shared" si="337"/>
        <v>0</v>
      </c>
      <c r="AF443" s="1093">
        <f t="shared" si="338"/>
        <v>0</v>
      </c>
      <c r="AG443" s="1093">
        <f t="shared" si="322"/>
        <v>0</v>
      </c>
      <c r="AH443" s="1033" t="e">
        <f t="shared" si="323"/>
        <v>#DIV/0!</v>
      </c>
      <c r="AI443" s="1091">
        <f t="shared" si="324"/>
        <v>0</v>
      </c>
      <c r="AJ443" s="1094">
        <f t="shared" si="325"/>
        <v>0</v>
      </c>
      <c r="AK443" s="1053" t="str">
        <f t="shared" si="326"/>
        <v/>
      </c>
      <c r="AL443" s="1053"/>
      <c r="AM443" s="1290">
        <f>_xlfn.XLOOKUP(F443,Proveedores!A:A,Proveedores!G:G)</f>
        <v>0</v>
      </c>
      <c r="AN443" s="1095" t="str">
        <f t="shared" si="339"/>
        <v>OK</v>
      </c>
    </row>
    <row r="444" spans="1:40" ht="15.95">
      <c r="A444" s="1090" t="b">
        <f t="shared" si="314"/>
        <v>1</v>
      </c>
      <c r="B444" s="1091" t="b">
        <f t="shared" si="327"/>
        <v>1</v>
      </c>
      <c r="C444" s="1092" t="str">
        <f t="shared" si="328"/>
        <v>Dólares</v>
      </c>
      <c r="D444" s="11"/>
      <c r="E444" s="743"/>
      <c r="F444" s="17"/>
      <c r="G444" s="17" t="str">
        <f t="shared" si="315"/>
        <v xml:space="preserve"> </v>
      </c>
      <c r="H444" s="12">
        <v>0</v>
      </c>
      <c r="I444" s="16" t="str">
        <f>IFERROR(VLOOKUP(G444,Proveedores!B:C,2,0)," ")</f>
        <v xml:space="preserve"> </v>
      </c>
      <c r="J444" s="745">
        <v>0</v>
      </c>
      <c r="K444" s="745" t="str">
        <f t="shared" si="316"/>
        <v>Not Found</v>
      </c>
      <c r="L444" s="16">
        <f>IF(K444="Importado",Fletes!$B$66,0%)</f>
        <v>0</v>
      </c>
      <c r="M444" s="745">
        <f t="shared" si="329"/>
        <v>0</v>
      </c>
      <c r="N444" s="16">
        <f>IF(K444&lt;&gt;"Importado",0%,IF(Fletes!$B$67&lt;10,15%,IF(Fletes!$B$67&lt;20,10%,5%)))</f>
        <v>0</v>
      </c>
      <c r="O444" s="745" t="str">
        <f>IFERROR(IF(OR(F444="Offiho",F444="Lauco Sofas",F444="Requiez",F444="Labenze",F444="Sunon Mty",F444="Sonara"),(M444*(1-_xlfn.XLOOKUP(F444,Proveedores!A:A,Proveedores!I:I)))*(1+N444),((M444*(1-_xlfn.XLOOKUP(F444,Proveedores!A:A,Proveedores!I:I)))*(1+N444))+U444),"")</f>
        <v/>
      </c>
      <c r="P444" s="1031"/>
      <c r="Q444" s="1133">
        <f>IF(K444&lt;&gt;"Importado",0,IF(P444&gt;0,P444*H444,IFERROR(_xlfn.XLOOKUP(F444,Proveedores!A:A,Proveedores!F:F,0)*H444,0)))</f>
        <v>0</v>
      </c>
      <c r="R444" s="1134" t="e">
        <f t="shared" si="330"/>
        <v>#VALUE!</v>
      </c>
      <c r="S444" s="743"/>
      <c r="T444" s="1034" t="e">
        <f t="shared" si="317"/>
        <v>#N/A</v>
      </c>
      <c r="U444" s="1034" t="e">
        <f t="shared" si="331"/>
        <v>#N/A</v>
      </c>
      <c r="V444" s="1165" t="e">
        <f t="shared" si="318"/>
        <v>#N/A</v>
      </c>
      <c r="W444" s="1034" t="e">
        <f t="shared" si="332"/>
        <v>#N/A</v>
      </c>
      <c r="X444" s="1034" t="b">
        <f t="shared" si="333"/>
        <v>0</v>
      </c>
      <c r="Y444" s="1034">
        <f t="shared" si="334"/>
        <v>0</v>
      </c>
      <c r="Z444" s="1034">
        <f t="shared" si="335"/>
        <v>0</v>
      </c>
      <c r="AA444" s="1034">
        <f t="shared" si="319"/>
        <v>0</v>
      </c>
      <c r="AB444" s="1034">
        <f t="shared" si="320"/>
        <v>0</v>
      </c>
      <c r="AC444" s="1033">
        <f t="shared" si="336"/>
        <v>0</v>
      </c>
      <c r="AD444" s="1266">
        <f t="shared" si="321"/>
        <v>0</v>
      </c>
      <c r="AE444" s="1093">
        <f t="shared" si="337"/>
        <v>0</v>
      </c>
      <c r="AF444" s="1093">
        <f t="shared" si="338"/>
        <v>0</v>
      </c>
      <c r="AG444" s="1093">
        <f t="shared" si="322"/>
        <v>0</v>
      </c>
      <c r="AH444" s="1033" t="e">
        <f t="shared" si="323"/>
        <v>#DIV/0!</v>
      </c>
      <c r="AI444" s="1091">
        <f t="shared" si="324"/>
        <v>0</v>
      </c>
      <c r="AJ444" s="1094">
        <f t="shared" si="325"/>
        <v>0</v>
      </c>
      <c r="AK444" s="1053" t="str">
        <f t="shared" si="326"/>
        <v/>
      </c>
      <c r="AL444" s="1053"/>
      <c r="AM444" s="1290">
        <f>_xlfn.XLOOKUP(F444,Proveedores!A:A,Proveedores!G:G)</f>
        <v>0</v>
      </c>
      <c r="AN444" s="1095" t="str">
        <f t="shared" si="339"/>
        <v>OK</v>
      </c>
    </row>
    <row r="445" spans="1:40" ht="15.95">
      <c r="A445" s="1090" t="b">
        <f t="shared" si="314"/>
        <v>1</v>
      </c>
      <c r="B445" s="1091" t="b">
        <f t="shared" si="327"/>
        <v>1</v>
      </c>
      <c r="C445" s="1092" t="str">
        <f t="shared" si="328"/>
        <v>Dólares</v>
      </c>
      <c r="D445" s="13"/>
      <c r="E445" s="743"/>
      <c r="F445" s="17"/>
      <c r="G445" s="17" t="str">
        <f t="shared" si="315"/>
        <v xml:space="preserve"> </v>
      </c>
      <c r="H445" s="12">
        <v>0</v>
      </c>
      <c r="I445" s="16" t="str">
        <f>IFERROR(VLOOKUP(G445,Proveedores!B:C,2,0)," ")</f>
        <v xml:space="preserve"> </v>
      </c>
      <c r="J445" s="745">
        <v>0</v>
      </c>
      <c r="K445" s="745" t="str">
        <f t="shared" si="316"/>
        <v>Not Found</v>
      </c>
      <c r="L445" s="16">
        <f>IF(K445="Importado",Fletes!$B$66,0%)</f>
        <v>0</v>
      </c>
      <c r="M445" s="745">
        <f t="shared" si="329"/>
        <v>0</v>
      </c>
      <c r="N445" s="16">
        <f>IF(K445&lt;&gt;"Importado",0%,IF(Fletes!$B$67&lt;10,15%,IF(Fletes!$B$67&lt;20,10%,5%)))</f>
        <v>0</v>
      </c>
      <c r="O445" s="745" t="str">
        <f>IFERROR(IF(OR(F445="Offiho",F445="Lauco Sofas",F445="Requiez",F445="Labenze",F445="Sunon Mty",F445="Sonara"),(M445*(1-_xlfn.XLOOKUP(F445,Proveedores!A:A,Proveedores!I:I)))*(1+N445),((M445*(1-_xlfn.XLOOKUP(F445,Proveedores!A:A,Proveedores!I:I)))*(1+N445))+U445),"")</f>
        <v/>
      </c>
      <c r="P445" s="1031"/>
      <c r="Q445" s="1133">
        <f>IF(K445&lt;&gt;"Importado",0,IF(P445&gt;0,P445*H445,IFERROR(_xlfn.XLOOKUP(F445,Proveedores!A:A,Proveedores!F:F,0)*H445,0)))</f>
        <v>0</v>
      </c>
      <c r="R445" s="1134" t="e">
        <f t="shared" si="330"/>
        <v>#VALUE!</v>
      </c>
      <c r="S445" s="743"/>
      <c r="T445" s="1034" t="e">
        <f t="shared" si="317"/>
        <v>#N/A</v>
      </c>
      <c r="U445" s="1034" t="e">
        <f t="shared" si="331"/>
        <v>#N/A</v>
      </c>
      <c r="V445" s="1165" t="e">
        <f t="shared" si="318"/>
        <v>#N/A</v>
      </c>
      <c r="W445" s="1034" t="e">
        <f t="shared" si="332"/>
        <v>#N/A</v>
      </c>
      <c r="X445" s="1034" t="b">
        <f t="shared" si="333"/>
        <v>0</v>
      </c>
      <c r="Y445" s="1034">
        <f t="shared" si="334"/>
        <v>0</v>
      </c>
      <c r="Z445" s="1034">
        <f t="shared" si="335"/>
        <v>0</v>
      </c>
      <c r="AA445" s="1034">
        <f t="shared" si="319"/>
        <v>0</v>
      </c>
      <c r="AB445" s="1034">
        <f t="shared" si="320"/>
        <v>0</v>
      </c>
      <c r="AC445" s="1033">
        <f t="shared" si="336"/>
        <v>0</v>
      </c>
      <c r="AD445" s="1266">
        <f t="shared" si="321"/>
        <v>0</v>
      </c>
      <c r="AE445" s="1093">
        <f t="shared" si="337"/>
        <v>0</v>
      </c>
      <c r="AF445" s="1093">
        <f t="shared" si="338"/>
        <v>0</v>
      </c>
      <c r="AG445" s="1093">
        <f t="shared" si="322"/>
        <v>0</v>
      </c>
      <c r="AH445" s="1033" t="e">
        <f t="shared" si="323"/>
        <v>#DIV/0!</v>
      </c>
      <c r="AI445" s="1091">
        <f t="shared" si="324"/>
        <v>0</v>
      </c>
      <c r="AJ445" s="1094">
        <f t="shared" si="325"/>
        <v>0</v>
      </c>
      <c r="AK445" s="1053" t="str">
        <f t="shared" si="326"/>
        <v/>
      </c>
      <c r="AL445" s="1053"/>
      <c r="AM445" s="1290">
        <f>_xlfn.XLOOKUP(F445,Proveedores!A:A,Proveedores!G:G)</f>
        <v>0</v>
      </c>
      <c r="AN445" s="1095" t="str">
        <f t="shared" si="339"/>
        <v>OK</v>
      </c>
    </row>
    <row r="446" spans="1:40" ht="15.95">
      <c r="A446" s="1090" t="b">
        <f t="shared" si="314"/>
        <v>1</v>
      </c>
      <c r="B446" s="1091" t="b">
        <f t="shared" si="327"/>
        <v>1</v>
      </c>
      <c r="C446" s="1092" t="str">
        <f t="shared" si="328"/>
        <v>Dólares</v>
      </c>
      <c r="D446" s="13"/>
      <c r="E446" s="743"/>
      <c r="F446" s="17"/>
      <c r="G446" s="17" t="str">
        <f t="shared" si="315"/>
        <v xml:space="preserve"> </v>
      </c>
      <c r="H446" s="12">
        <v>0</v>
      </c>
      <c r="I446" s="16" t="str">
        <f>IFERROR(VLOOKUP(G446,Proveedores!B:C,2,0)," ")</f>
        <v xml:space="preserve"> </v>
      </c>
      <c r="J446" s="745">
        <v>0</v>
      </c>
      <c r="K446" s="745" t="str">
        <f t="shared" si="316"/>
        <v>Not Found</v>
      </c>
      <c r="L446" s="16">
        <f>IF(K446="Importado",Fletes!$B$66,0%)</f>
        <v>0</v>
      </c>
      <c r="M446" s="745">
        <f t="shared" si="329"/>
        <v>0</v>
      </c>
      <c r="N446" s="16">
        <f>IF(K446&lt;&gt;"Importado",0%,IF(Fletes!$B$67&lt;10,15%,IF(Fletes!$B$67&lt;20,10%,5%)))</f>
        <v>0</v>
      </c>
      <c r="O446" s="745" t="str">
        <f>IFERROR(IF(OR(F446="Offiho",F446="Lauco Sofas",F446="Requiez",F446="Labenze",F446="Sunon Mty",F446="Sonara"),(M446*(1-_xlfn.XLOOKUP(F446,Proveedores!A:A,Proveedores!I:I)))*(1+N446),((M446*(1-_xlfn.XLOOKUP(F446,Proveedores!A:A,Proveedores!I:I)))*(1+N446))+U446),"")</f>
        <v/>
      </c>
      <c r="P446" s="1031"/>
      <c r="Q446" s="1133">
        <f>IF(K446&lt;&gt;"Importado",0,IF(P446&gt;0,P446*H446,IFERROR(_xlfn.XLOOKUP(F446,Proveedores!A:A,Proveedores!F:F,0)*H446,0)))</f>
        <v>0</v>
      </c>
      <c r="R446" s="1134" t="e">
        <f t="shared" si="330"/>
        <v>#VALUE!</v>
      </c>
      <c r="S446" s="743"/>
      <c r="T446" s="1034" t="e">
        <f t="shared" si="317"/>
        <v>#N/A</v>
      </c>
      <c r="U446" s="1034" t="e">
        <f t="shared" si="331"/>
        <v>#N/A</v>
      </c>
      <c r="V446" s="1165" t="e">
        <f t="shared" si="318"/>
        <v>#N/A</v>
      </c>
      <c r="W446" s="1034" t="e">
        <f t="shared" si="332"/>
        <v>#N/A</v>
      </c>
      <c r="X446" s="1034" t="b">
        <f t="shared" si="333"/>
        <v>0</v>
      </c>
      <c r="Y446" s="1034">
        <f t="shared" si="334"/>
        <v>0</v>
      </c>
      <c r="Z446" s="1034">
        <f t="shared" si="335"/>
        <v>0</v>
      </c>
      <c r="AA446" s="1034">
        <f t="shared" si="319"/>
        <v>0</v>
      </c>
      <c r="AB446" s="1034">
        <f t="shared" si="320"/>
        <v>0</v>
      </c>
      <c r="AC446" s="1033">
        <f t="shared" si="336"/>
        <v>0</v>
      </c>
      <c r="AD446" s="1266">
        <f t="shared" si="321"/>
        <v>0</v>
      </c>
      <c r="AE446" s="1093">
        <f t="shared" si="337"/>
        <v>0</v>
      </c>
      <c r="AF446" s="1093">
        <f t="shared" si="338"/>
        <v>0</v>
      </c>
      <c r="AG446" s="1093">
        <f t="shared" si="322"/>
        <v>0</v>
      </c>
      <c r="AH446" s="1033" t="e">
        <f t="shared" si="323"/>
        <v>#DIV/0!</v>
      </c>
      <c r="AI446" s="1091">
        <f t="shared" si="324"/>
        <v>0</v>
      </c>
      <c r="AJ446" s="1094">
        <f t="shared" si="325"/>
        <v>0</v>
      </c>
      <c r="AK446" s="1053" t="str">
        <f t="shared" si="326"/>
        <v/>
      </c>
      <c r="AL446" s="1053"/>
      <c r="AM446" s="1290">
        <f>_xlfn.XLOOKUP(F446,Proveedores!A:A,Proveedores!G:G)</f>
        <v>0</v>
      </c>
      <c r="AN446" s="1095" t="str">
        <f t="shared" si="339"/>
        <v>OK</v>
      </c>
    </row>
    <row r="447" spans="1:40" ht="15.95">
      <c r="A447" s="1090" t="b">
        <f t="shared" si="314"/>
        <v>1</v>
      </c>
      <c r="B447" s="1091" t="b">
        <f t="shared" si="327"/>
        <v>1</v>
      </c>
      <c r="C447" s="1092" t="str">
        <f t="shared" si="328"/>
        <v>Dólares</v>
      </c>
      <c r="D447" s="13"/>
      <c r="E447" s="743"/>
      <c r="F447" s="17"/>
      <c r="G447" s="17" t="str">
        <f t="shared" si="315"/>
        <v xml:space="preserve"> </v>
      </c>
      <c r="H447" s="12">
        <v>0</v>
      </c>
      <c r="I447" s="16" t="str">
        <f>IFERROR(VLOOKUP(G447,Proveedores!B:C,2,0)," ")</f>
        <v xml:space="preserve"> </v>
      </c>
      <c r="J447" s="745">
        <v>0</v>
      </c>
      <c r="K447" s="745" t="str">
        <f t="shared" si="316"/>
        <v>Not Found</v>
      </c>
      <c r="L447" s="16">
        <f>IF(K447="Importado",Fletes!$B$66,0%)</f>
        <v>0</v>
      </c>
      <c r="M447" s="745">
        <f t="shared" si="329"/>
        <v>0</v>
      </c>
      <c r="N447" s="16">
        <f>IF(K447&lt;&gt;"Importado",0%,IF(Fletes!$B$67&lt;10,15%,IF(Fletes!$B$67&lt;20,10%,5%)))</f>
        <v>0</v>
      </c>
      <c r="O447" s="745" t="str">
        <f>IFERROR(IF(OR(F447="Offiho",F447="Lauco Sofas",F447="Requiez",F447="Labenze",F447="Sunon Mty",F447="Sonara"),(M447*(1-_xlfn.XLOOKUP(F447,Proveedores!A:A,Proveedores!I:I)))*(1+N447),((M447*(1-_xlfn.XLOOKUP(F447,Proveedores!A:A,Proveedores!I:I)))*(1+N447))+U447),"")</f>
        <v/>
      </c>
      <c r="P447" s="1031"/>
      <c r="Q447" s="1133">
        <f>IF(K447&lt;&gt;"Importado",0,IF(P447&gt;0,P447*H447,IFERROR(_xlfn.XLOOKUP(F447,Proveedores!A:A,Proveedores!F:F,0)*H447,0)))</f>
        <v>0</v>
      </c>
      <c r="R447" s="1134" t="e">
        <f t="shared" si="330"/>
        <v>#VALUE!</v>
      </c>
      <c r="S447" s="743"/>
      <c r="T447" s="1034" t="e">
        <f t="shared" si="317"/>
        <v>#N/A</v>
      </c>
      <c r="U447" s="1034" t="e">
        <f t="shared" si="331"/>
        <v>#N/A</v>
      </c>
      <c r="V447" s="1165" t="e">
        <f t="shared" si="318"/>
        <v>#N/A</v>
      </c>
      <c r="W447" s="1034" t="e">
        <f t="shared" si="332"/>
        <v>#N/A</v>
      </c>
      <c r="X447" s="1034" t="b">
        <f t="shared" si="333"/>
        <v>0</v>
      </c>
      <c r="Y447" s="1034">
        <f t="shared" si="334"/>
        <v>0</v>
      </c>
      <c r="Z447" s="1034">
        <f t="shared" si="335"/>
        <v>0</v>
      </c>
      <c r="AA447" s="1034">
        <f t="shared" si="319"/>
        <v>0</v>
      </c>
      <c r="AB447" s="1034">
        <f t="shared" si="320"/>
        <v>0</v>
      </c>
      <c r="AC447" s="1033">
        <f t="shared" si="336"/>
        <v>0</v>
      </c>
      <c r="AD447" s="1266">
        <f t="shared" si="321"/>
        <v>0</v>
      </c>
      <c r="AE447" s="1093">
        <f t="shared" si="337"/>
        <v>0</v>
      </c>
      <c r="AF447" s="1093">
        <f t="shared" si="338"/>
        <v>0</v>
      </c>
      <c r="AG447" s="1093">
        <f t="shared" si="322"/>
        <v>0</v>
      </c>
      <c r="AH447" s="1033" t="e">
        <f t="shared" si="323"/>
        <v>#DIV/0!</v>
      </c>
      <c r="AI447" s="1091">
        <f t="shared" si="324"/>
        <v>0</v>
      </c>
      <c r="AJ447" s="1094">
        <f t="shared" si="325"/>
        <v>0</v>
      </c>
      <c r="AK447" s="1053" t="str">
        <f t="shared" si="326"/>
        <v/>
      </c>
      <c r="AL447" s="1053"/>
      <c r="AM447" s="1290">
        <f>_xlfn.XLOOKUP(F447,Proveedores!A:A,Proveedores!G:G)</f>
        <v>0</v>
      </c>
      <c r="AN447" s="1095" t="str">
        <f t="shared" si="339"/>
        <v>OK</v>
      </c>
    </row>
    <row r="448" spans="1:40" ht="15.95">
      <c r="A448" s="1090" t="b">
        <f t="shared" si="314"/>
        <v>1</v>
      </c>
      <c r="B448" s="1091" t="b">
        <f t="shared" si="327"/>
        <v>1</v>
      </c>
      <c r="C448" s="1092" t="str">
        <f t="shared" si="328"/>
        <v>Dólares</v>
      </c>
      <c r="D448" s="13"/>
      <c r="E448" s="743"/>
      <c r="F448" s="17"/>
      <c r="G448" s="17" t="str">
        <f t="shared" si="315"/>
        <v xml:space="preserve"> </v>
      </c>
      <c r="H448" s="12">
        <v>0</v>
      </c>
      <c r="I448" s="16" t="str">
        <f>IFERROR(VLOOKUP(G448,Proveedores!B:C,2,0)," ")</f>
        <v xml:space="preserve"> </v>
      </c>
      <c r="J448" s="745">
        <v>0</v>
      </c>
      <c r="K448" s="745" t="str">
        <f t="shared" si="316"/>
        <v>Not Found</v>
      </c>
      <c r="L448" s="16">
        <f>IF(K448="Importado",Fletes!$B$66,0%)</f>
        <v>0</v>
      </c>
      <c r="M448" s="745">
        <f t="shared" si="329"/>
        <v>0</v>
      </c>
      <c r="N448" s="16">
        <f>IF(K448&lt;&gt;"Importado",0%,IF(Fletes!$B$67&lt;10,15%,IF(Fletes!$B$67&lt;20,10%,5%)))</f>
        <v>0</v>
      </c>
      <c r="O448" s="745" t="str">
        <f>IFERROR(IF(OR(F448="Offiho",F448="Lauco Sofas",F448="Requiez",F448="Labenze",F448="Sunon Mty",F448="Sonara"),(M448*(1-_xlfn.XLOOKUP(F448,Proveedores!A:A,Proveedores!I:I)))*(1+N448),((M448*(1-_xlfn.XLOOKUP(F448,Proveedores!A:A,Proveedores!I:I)))*(1+N448))+U448),"")</f>
        <v/>
      </c>
      <c r="P448" s="1031"/>
      <c r="Q448" s="1133">
        <f>IF(K448&lt;&gt;"Importado",0,IF(P448&gt;0,P448*H448,IFERROR(_xlfn.XLOOKUP(F448,Proveedores!A:A,Proveedores!F:F,0)*H448,0)))</f>
        <v>0</v>
      </c>
      <c r="R448" s="1134" t="e">
        <f t="shared" si="330"/>
        <v>#VALUE!</v>
      </c>
      <c r="S448" s="743"/>
      <c r="T448" s="1034" t="e">
        <f t="shared" si="317"/>
        <v>#N/A</v>
      </c>
      <c r="U448" s="1034" t="e">
        <f t="shared" si="331"/>
        <v>#N/A</v>
      </c>
      <c r="V448" s="1165" t="e">
        <f t="shared" si="318"/>
        <v>#N/A</v>
      </c>
      <c r="W448" s="1034" t="e">
        <f t="shared" si="332"/>
        <v>#N/A</v>
      </c>
      <c r="X448" s="1034" t="b">
        <f t="shared" si="333"/>
        <v>0</v>
      </c>
      <c r="Y448" s="1034">
        <f t="shared" si="334"/>
        <v>0</v>
      </c>
      <c r="Z448" s="1034">
        <f t="shared" si="335"/>
        <v>0</v>
      </c>
      <c r="AA448" s="1034">
        <f t="shared" si="319"/>
        <v>0</v>
      </c>
      <c r="AB448" s="1034">
        <f t="shared" si="320"/>
        <v>0</v>
      </c>
      <c r="AC448" s="1033">
        <f t="shared" si="336"/>
        <v>0</v>
      </c>
      <c r="AD448" s="1266">
        <f t="shared" si="321"/>
        <v>0</v>
      </c>
      <c r="AE448" s="1093">
        <f t="shared" si="337"/>
        <v>0</v>
      </c>
      <c r="AF448" s="1093">
        <f t="shared" si="338"/>
        <v>0</v>
      </c>
      <c r="AG448" s="1093">
        <f t="shared" si="322"/>
        <v>0</v>
      </c>
      <c r="AH448" s="1033" t="e">
        <f t="shared" si="323"/>
        <v>#DIV/0!</v>
      </c>
      <c r="AI448" s="1091">
        <f t="shared" si="324"/>
        <v>0</v>
      </c>
      <c r="AJ448" s="1094">
        <f t="shared" si="325"/>
        <v>0</v>
      </c>
      <c r="AK448" s="1053" t="str">
        <f t="shared" si="326"/>
        <v/>
      </c>
      <c r="AL448" s="1053"/>
      <c r="AM448" s="1290">
        <f>_xlfn.XLOOKUP(F448,Proveedores!A:A,Proveedores!G:G)</f>
        <v>0</v>
      </c>
      <c r="AN448" s="1095" t="str">
        <f t="shared" si="339"/>
        <v>OK</v>
      </c>
    </row>
    <row r="449" spans="1:40" ht="15.95">
      <c r="A449" s="1090" t="b">
        <f t="shared" si="314"/>
        <v>1</v>
      </c>
      <c r="B449" s="1091" t="b">
        <f t="shared" si="327"/>
        <v>1</v>
      </c>
      <c r="C449" s="1092" t="str">
        <f t="shared" si="328"/>
        <v>Dólares</v>
      </c>
      <c r="D449" s="13"/>
      <c r="E449" s="743"/>
      <c r="F449" s="17"/>
      <c r="G449" s="17" t="str">
        <f t="shared" si="315"/>
        <v xml:space="preserve"> </v>
      </c>
      <c r="H449" s="12">
        <v>0</v>
      </c>
      <c r="I449" s="16" t="str">
        <f>IFERROR(VLOOKUP(G449,Proveedores!B:C,2,0)," ")</f>
        <v xml:space="preserve"> </v>
      </c>
      <c r="J449" s="745">
        <v>0</v>
      </c>
      <c r="K449" s="745" t="str">
        <f t="shared" si="316"/>
        <v>Not Found</v>
      </c>
      <c r="L449" s="16">
        <f>IF(K449="Importado",Fletes!$B$66,0%)</f>
        <v>0</v>
      </c>
      <c r="M449" s="745">
        <f t="shared" si="329"/>
        <v>0</v>
      </c>
      <c r="N449" s="16">
        <f>IF(K449&lt;&gt;"Importado",0%,IF(Fletes!$B$67&lt;10,15%,IF(Fletes!$B$67&lt;20,10%,5%)))</f>
        <v>0</v>
      </c>
      <c r="O449" s="745" t="str">
        <f>IFERROR(IF(OR(F449="Offiho",F449="Lauco Sofas",F449="Requiez",F449="Labenze",F449="Sunon Mty",F449="Sonara"),(M449*(1-_xlfn.XLOOKUP(F449,Proveedores!A:A,Proveedores!I:I)))*(1+N449),((M449*(1-_xlfn.XLOOKUP(F449,Proveedores!A:A,Proveedores!I:I)))*(1+N449))+U449),"")</f>
        <v/>
      </c>
      <c r="P449" s="1031"/>
      <c r="Q449" s="1133">
        <f>IF(K449&lt;&gt;"Importado",0,IF(P449&gt;0,P449*H449,IFERROR(_xlfn.XLOOKUP(F449,Proveedores!A:A,Proveedores!F:F,0)*H449,0)))</f>
        <v>0</v>
      </c>
      <c r="R449" s="1134" t="e">
        <f t="shared" si="330"/>
        <v>#VALUE!</v>
      </c>
      <c r="S449" s="743"/>
      <c r="T449" s="1034" t="e">
        <f t="shared" si="317"/>
        <v>#N/A</v>
      </c>
      <c r="U449" s="1034" t="e">
        <f t="shared" si="331"/>
        <v>#N/A</v>
      </c>
      <c r="V449" s="1165" t="e">
        <f t="shared" si="318"/>
        <v>#N/A</v>
      </c>
      <c r="W449" s="1034" t="e">
        <f t="shared" si="332"/>
        <v>#N/A</v>
      </c>
      <c r="X449" s="1034" t="b">
        <f t="shared" si="333"/>
        <v>0</v>
      </c>
      <c r="Y449" s="1034">
        <f t="shared" si="334"/>
        <v>0</v>
      </c>
      <c r="Z449" s="1034">
        <f t="shared" si="335"/>
        <v>0</v>
      </c>
      <c r="AA449" s="1034">
        <f t="shared" si="319"/>
        <v>0</v>
      </c>
      <c r="AB449" s="1034">
        <f t="shared" si="320"/>
        <v>0</v>
      </c>
      <c r="AC449" s="1033">
        <f t="shared" si="336"/>
        <v>0</v>
      </c>
      <c r="AD449" s="1266">
        <f t="shared" si="321"/>
        <v>0</v>
      </c>
      <c r="AE449" s="1093">
        <f t="shared" si="337"/>
        <v>0</v>
      </c>
      <c r="AF449" s="1093">
        <f t="shared" si="338"/>
        <v>0</v>
      </c>
      <c r="AG449" s="1093">
        <f t="shared" si="322"/>
        <v>0</v>
      </c>
      <c r="AH449" s="1033" t="e">
        <f t="shared" si="323"/>
        <v>#DIV/0!</v>
      </c>
      <c r="AI449" s="1091">
        <f t="shared" si="324"/>
        <v>0</v>
      </c>
      <c r="AJ449" s="1094">
        <f t="shared" si="325"/>
        <v>0</v>
      </c>
      <c r="AK449" s="1053" t="str">
        <f t="shared" si="326"/>
        <v/>
      </c>
      <c r="AL449" s="1053"/>
      <c r="AM449" s="1290">
        <f>_xlfn.XLOOKUP(F449,Proveedores!A:A,Proveedores!G:G)</f>
        <v>0</v>
      </c>
      <c r="AN449" s="1095" t="str">
        <f t="shared" si="339"/>
        <v>OK</v>
      </c>
    </row>
    <row r="450" spans="1:40" ht="15.95">
      <c r="A450" s="1090" t="b">
        <f t="shared" si="314"/>
        <v>1</v>
      </c>
      <c r="B450" s="1091" t="b">
        <f t="shared" si="327"/>
        <v>1</v>
      </c>
      <c r="C450" s="1092" t="str">
        <f t="shared" si="328"/>
        <v>Dólares</v>
      </c>
      <c r="D450" s="13"/>
      <c r="E450" s="743"/>
      <c r="F450" s="17"/>
      <c r="G450" s="17" t="str">
        <f t="shared" si="315"/>
        <v xml:space="preserve"> </v>
      </c>
      <c r="H450" s="12">
        <v>0</v>
      </c>
      <c r="I450" s="16" t="str">
        <f>IFERROR(VLOOKUP(G450,Proveedores!B:C,2,0)," ")</f>
        <v xml:space="preserve"> </v>
      </c>
      <c r="J450" s="745">
        <v>0</v>
      </c>
      <c r="K450" s="745" t="str">
        <f t="shared" si="316"/>
        <v>Not Found</v>
      </c>
      <c r="L450" s="16">
        <f>IF(K450="Importado",Fletes!$B$66,0%)</f>
        <v>0</v>
      </c>
      <c r="M450" s="745">
        <f t="shared" si="329"/>
        <v>0</v>
      </c>
      <c r="N450" s="16">
        <f>IF(K450&lt;&gt;"Importado",0%,IF(Fletes!$B$67&lt;10,15%,IF(Fletes!$B$67&lt;20,10%,5%)))</f>
        <v>0</v>
      </c>
      <c r="O450" s="745" t="str">
        <f>IFERROR(IF(OR(F450="Offiho",F450="Lauco Sofas",F450="Requiez",F450="Labenze",F450="Sunon Mty",F450="Sonara"),(M450*(1-_xlfn.XLOOKUP(F450,Proveedores!A:A,Proveedores!I:I)))*(1+N450),((M450*(1-_xlfn.XLOOKUP(F450,Proveedores!A:A,Proveedores!I:I)))*(1+N450))+U450),"")</f>
        <v/>
      </c>
      <c r="P450" s="1031"/>
      <c r="Q450" s="1133">
        <f>IF(K450&lt;&gt;"Importado",0,IF(P450&gt;0,P450*H450,IFERROR(_xlfn.XLOOKUP(F450,Proveedores!A:A,Proveedores!F:F,0)*H450,0)))</f>
        <v>0</v>
      </c>
      <c r="R450" s="1134" t="e">
        <f t="shared" si="330"/>
        <v>#VALUE!</v>
      </c>
      <c r="S450" s="743"/>
      <c r="T450" s="1034" t="e">
        <f t="shared" si="317"/>
        <v>#N/A</v>
      </c>
      <c r="U450" s="1034" t="e">
        <f t="shared" si="331"/>
        <v>#N/A</v>
      </c>
      <c r="V450" s="1165" t="e">
        <f t="shared" si="318"/>
        <v>#N/A</v>
      </c>
      <c r="W450" s="1034" t="e">
        <f t="shared" si="332"/>
        <v>#N/A</v>
      </c>
      <c r="X450" s="1034" t="b">
        <f t="shared" si="333"/>
        <v>0</v>
      </c>
      <c r="Y450" s="1034">
        <f t="shared" si="334"/>
        <v>0</v>
      </c>
      <c r="Z450" s="1034">
        <f t="shared" si="335"/>
        <v>0</v>
      </c>
      <c r="AA450" s="1034">
        <f t="shared" si="319"/>
        <v>0</v>
      </c>
      <c r="AB450" s="1034">
        <f t="shared" si="320"/>
        <v>0</v>
      </c>
      <c r="AC450" s="1033">
        <f t="shared" si="336"/>
        <v>0</v>
      </c>
      <c r="AD450" s="1266">
        <f t="shared" si="321"/>
        <v>0</v>
      </c>
      <c r="AE450" s="1093">
        <f t="shared" si="337"/>
        <v>0</v>
      </c>
      <c r="AF450" s="1093">
        <f t="shared" si="338"/>
        <v>0</v>
      </c>
      <c r="AG450" s="1093">
        <f t="shared" si="322"/>
        <v>0</v>
      </c>
      <c r="AH450" s="1033" t="e">
        <f t="shared" si="323"/>
        <v>#DIV/0!</v>
      </c>
      <c r="AI450" s="1091">
        <f t="shared" si="324"/>
        <v>0</v>
      </c>
      <c r="AJ450" s="1094">
        <f t="shared" si="325"/>
        <v>0</v>
      </c>
      <c r="AK450" s="1053" t="str">
        <f t="shared" si="326"/>
        <v/>
      </c>
      <c r="AL450" s="1053"/>
      <c r="AM450" s="1290">
        <f>_xlfn.XLOOKUP(F450,Proveedores!A:A,Proveedores!G:G)</f>
        <v>0</v>
      </c>
      <c r="AN450" s="1095" t="str">
        <f t="shared" si="339"/>
        <v>OK</v>
      </c>
    </row>
    <row r="451" spans="1:40" ht="15.95">
      <c r="A451" s="1090" t="b">
        <f t="shared" si="314"/>
        <v>1</v>
      </c>
      <c r="B451" s="1091" t="b">
        <f t="shared" si="327"/>
        <v>1</v>
      </c>
      <c r="C451" s="1092" t="str">
        <f t="shared" si="328"/>
        <v>Dólares</v>
      </c>
      <c r="D451" s="13"/>
      <c r="E451" s="743"/>
      <c r="F451" s="17"/>
      <c r="G451" s="17" t="str">
        <f t="shared" si="315"/>
        <v xml:space="preserve"> </v>
      </c>
      <c r="H451" s="12">
        <v>0</v>
      </c>
      <c r="I451" s="16" t="str">
        <f>IFERROR(VLOOKUP(G451,Proveedores!B:C,2,0)," ")</f>
        <v xml:space="preserve"> </v>
      </c>
      <c r="J451" s="745">
        <v>0</v>
      </c>
      <c r="K451" s="745" t="str">
        <f t="shared" si="316"/>
        <v>Not Found</v>
      </c>
      <c r="L451" s="16">
        <f>IF(K451="Importado",Fletes!$B$66,0%)</f>
        <v>0</v>
      </c>
      <c r="M451" s="745">
        <f t="shared" si="329"/>
        <v>0</v>
      </c>
      <c r="N451" s="16">
        <f>IF(K451&lt;&gt;"Importado",0%,IF(Fletes!$B$67&lt;10,15%,IF(Fletes!$B$67&lt;20,10%,5%)))</f>
        <v>0</v>
      </c>
      <c r="O451" s="745" t="str">
        <f>IFERROR(IF(OR(F451="Offiho",F451="Lauco Sofas",F451="Requiez",F451="Labenze",F451="Sunon Mty",F451="Sonara"),(M451*(1-_xlfn.XLOOKUP(F451,Proveedores!A:A,Proveedores!I:I)))*(1+N451),((M451*(1-_xlfn.XLOOKUP(F451,Proveedores!A:A,Proveedores!I:I)))*(1+N451))+U451),"")</f>
        <v/>
      </c>
      <c r="P451" s="1031"/>
      <c r="Q451" s="1133">
        <f>IF(K451&lt;&gt;"Importado",0,IF(P451&gt;0,P451*H451,IFERROR(_xlfn.XLOOKUP(F451,Proveedores!A:A,Proveedores!F:F,0)*H451,0)))</f>
        <v>0</v>
      </c>
      <c r="R451" s="1134" t="e">
        <f t="shared" si="330"/>
        <v>#VALUE!</v>
      </c>
      <c r="S451" s="743"/>
      <c r="T451" s="1034" t="e">
        <f t="shared" si="317"/>
        <v>#N/A</v>
      </c>
      <c r="U451" s="1034" t="e">
        <f t="shared" si="331"/>
        <v>#N/A</v>
      </c>
      <c r="V451" s="1165" t="e">
        <f t="shared" si="318"/>
        <v>#N/A</v>
      </c>
      <c r="W451" s="1034" t="e">
        <f t="shared" si="332"/>
        <v>#N/A</v>
      </c>
      <c r="X451" s="1034" t="b">
        <f t="shared" si="333"/>
        <v>0</v>
      </c>
      <c r="Y451" s="1034">
        <f t="shared" si="334"/>
        <v>0</v>
      </c>
      <c r="Z451" s="1034">
        <f t="shared" si="335"/>
        <v>0</v>
      </c>
      <c r="AA451" s="1034">
        <f t="shared" si="319"/>
        <v>0</v>
      </c>
      <c r="AB451" s="1034">
        <f t="shared" si="320"/>
        <v>0</v>
      </c>
      <c r="AC451" s="1033">
        <f t="shared" si="336"/>
        <v>0</v>
      </c>
      <c r="AD451" s="1266">
        <f t="shared" si="321"/>
        <v>0</v>
      </c>
      <c r="AE451" s="1093">
        <f t="shared" si="337"/>
        <v>0</v>
      </c>
      <c r="AF451" s="1093">
        <f t="shared" si="338"/>
        <v>0</v>
      </c>
      <c r="AG451" s="1093">
        <f t="shared" si="322"/>
        <v>0</v>
      </c>
      <c r="AH451" s="1033" t="e">
        <f t="shared" si="323"/>
        <v>#DIV/0!</v>
      </c>
      <c r="AI451" s="1091">
        <f t="shared" si="324"/>
        <v>0</v>
      </c>
      <c r="AJ451" s="1094">
        <f t="shared" si="325"/>
        <v>0</v>
      </c>
      <c r="AK451" s="1053" t="str">
        <f t="shared" si="326"/>
        <v/>
      </c>
      <c r="AL451" s="1053"/>
      <c r="AM451" s="1290">
        <f>_xlfn.XLOOKUP(F451,Proveedores!A:A,Proveedores!G:G)</f>
        <v>0</v>
      </c>
      <c r="AN451" s="1095" t="str">
        <f t="shared" si="339"/>
        <v>OK</v>
      </c>
    </row>
    <row r="452" spans="1:40" ht="15.95">
      <c r="A452" s="1090" t="b">
        <f t="shared" si="314"/>
        <v>1</v>
      </c>
      <c r="B452" s="1091" t="b">
        <f t="shared" si="327"/>
        <v>1</v>
      </c>
      <c r="C452" s="1092" t="str">
        <f t="shared" si="328"/>
        <v>Dólares</v>
      </c>
      <c r="D452" s="14"/>
      <c r="E452" s="743"/>
      <c r="F452" s="17"/>
      <c r="G452" s="17" t="str">
        <f t="shared" si="315"/>
        <v xml:space="preserve"> </v>
      </c>
      <c r="H452" s="12">
        <v>0</v>
      </c>
      <c r="I452" s="16" t="str">
        <f>IFERROR(VLOOKUP(G452,Proveedores!B:C,2,0)," ")</f>
        <v xml:space="preserve"> </v>
      </c>
      <c r="J452" s="745">
        <v>0</v>
      </c>
      <c r="K452" s="745" t="str">
        <f t="shared" si="316"/>
        <v>Not Found</v>
      </c>
      <c r="L452" s="16">
        <f>IF(K452="Importado",Fletes!$B$66,0%)</f>
        <v>0</v>
      </c>
      <c r="M452" s="745">
        <f t="shared" si="329"/>
        <v>0</v>
      </c>
      <c r="N452" s="16">
        <f>IF(K452&lt;&gt;"Importado",0%,IF(Fletes!$B$67&lt;10,15%,IF(Fletes!$B$67&lt;20,10%,5%)))</f>
        <v>0</v>
      </c>
      <c r="O452" s="745" t="str">
        <f>IFERROR(IF(OR(F452="Offiho",F452="Lauco Sofas",F452="Requiez",F452="Labenze",F452="Sunon Mty",F452="Sonara"),(M452*(1-_xlfn.XLOOKUP(F452,Proveedores!A:A,Proveedores!I:I)))*(1+N452),((M452*(1-_xlfn.XLOOKUP(F452,Proveedores!A:A,Proveedores!I:I)))*(1+N452))+U452),"")</f>
        <v/>
      </c>
      <c r="P452" s="1031"/>
      <c r="Q452" s="1133">
        <f>IF(K452&lt;&gt;"Importado",0,IF(P452&gt;0,P452*H452,IFERROR(_xlfn.XLOOKUP(F452,Proveedores!A:A,Proveedores!F:F,0)*H452,0)))</f>
        <v>0</v>
      </c>
      <c r="R452" s="1134" t="e">
        <f t="shared" si="330"/>
        <v>#VALUE!</v>
      </c>
      <c r="S452" s="743"/>
      <c r="T452" s="1034" t="e">
        <f t="shared" si="317"/>
        <v>#N/A</v>
      </c>
      <c r="U452" s="1034" t="e">
        <f t="shared" si="331"/>
        <v>#N/A</v>
      </c>
      <c r="V452" s="1165" t="e">
        <f t="shared" si="318"/>
        <v>#N/A</v>
      </c>
      <c r="W452" s="1034" t="e">
        <f t="shared" si="332"/>
        <v>#N/A</v>
      </c>
      <c r="X452" s="1034" t="b">
        <f t="shared" si="333"/>
        <v>0</v>
      </c>
      <c r="Y452" s="1034">
        <f t="shared" si="334"/>
        <v>0</v>
      </c>
      <c r="Z452" s="1034">
        <f t="shared" si="335"/>
        <v>0</v>
      </c>
      <c r="AA452" s="1034">
        <f t="shared" si="319"/>
        <v>0</v>
      </c>
      <c r="AB452" s="1034">
        <f t="shared" si="320"/>
        <v>0</v>
      </c>
      <c r="AC452" s="1033">
        <f t="shared" si="336"/>
        <v>0</v>
      </c>
      <c r="AD452" s="1266">
        <f t="shared" si="321"/>
        <v>0</v>
      </c>
      <c r="AE452" s="1093">
        <f t="shared" si="337"/>
        <v>0</v>
      </c>
      <c r="AF452" s="1093">
        <f t="shared" si="338"/>
        <v>0</v>
      </c>
      <c r="AG452" s="1093">
        <f t="shared" si="322"/>
        <v>0</v>
      </c>
      <c r="AH452" s="1033" t="e">
        <f t="shared" si="323"/>
        <v>#DIV/0!</v>
      </c>
      <c r="AI452" s="1091">
        <f t="shared" si="324"/>
        <v>0</v>
      </c>
      <c r="AJ452" s="1094">
        <f t="shared" si="325"/>
        <v>0</v>
      </c>
      <c r="AK452" s="1053" t="str">
        <f t="shared" si="326"/>
        <v/>
      </c>
      <c r="AL452" s="1053"/>
      <c r="AM452" s="1290">
        <f>_xlfn.XLOOKUP(F452,Proveedores!A:A,Proveedores!G:G)</f>
        <v>0</v>
      </c>
      <c r="AN452" s="1095" t="str">
        <f t="shared" si="339"/>
        <v>OK</v>
      </c>
    </row>
    <row r="453" spans="1:40" ht="15.95">
      <c r="A453" s="1090" t="b">
        <f t="shared" si="314"/>
        <v>1</v>
      </c>
      <c r="B453" s="1091" t="b">
        <f t="shared" si="327"/>
        <v>1</v>
      </c>
      <c r="C453" s="1092" t="str">
        <f t="shared" si="328"/>
        <v>Dólares</v>
      </c>
      <c r="D453" s="15"/>
      <c r="E453" s="743"/>
      <c r="F453" s="17"/>
      <c r="G453" s="17" t="str">
        <f t="shared" si="315"/>
        <v xml:space="preserve"> </v>
      </c>
      <c r="H453" s="12">
        <v>0</v>
      </c>
      <c r="I453" s="16" t="str">
        <f>IFERROR(VLOOKUP(G453,Proveedores!B:C,2,0)," ")</f>
        <v xml:space="preserve"> </v>
      </c>
      <c r="J453" s="745">
        <v>0</v>
      </c>
      <c r="K453" s="745" t="str">
        <f t="shared" si="316"/>
        <v>Not Found</v>
      </c>
      <c r="L453" s="16">
        <f>IF(K453="Importado",Fletes!$B$66,0%)</f>
        <v>0</v>
      </c>
      <c r="M453" s="745">
        <f t="shared" si="329"/>
        <v>0</v>
      </c>
      <c r="N453" s="16">
        <f>IF(K453&lt;&gt;"Importado",0%,IF(Fletes!$B$67&lt;10,15%,IF(Fletes!$B$67&lt;20,10%,5%)))</f>
        <v>0</v>
      </c>
      <c r="O453" s="745" t="str">
        <f>IFERROR(IF(OR(F453="Offiho",F453="Lauco Sofas",F453="Requiez",F453="Labenze",F453="Sunon Mty",F453="Sonara"),(M453*(1-_xlfn.XLOOKUP(F453,Proveedores!A:A,Proveedores!I:I)))*(1+N453),((M453*(1-_xlfn.XLOOKUP(F453,Proveedores!A:A,Proveedores!I:I)))*(1+N453))+U453),"")</f>
        <v/>
      </c>
      <c r="P453" s="1031"/>
      <c r="Q453" s="1133">
        <f>IF(K453&lt;&gt;"Importado",0,IF(P453&gt;0,P453*H453,IFERROR(_xlfn.XLOOKUP(F453,Proveedores!A:A,Proveedores!F:F,0)*H453,0)))</f>
        <v>0</v>
      </c>
      <c r="R453" s="1134" t="e">
        <f t="shared" si="330"/>
        <v>#VALUE!</v>
      </c>
      <c r="S453" s="743"/>
      <c r="T453" s="1034" t="e">
        <f t="shared" si="317"/>
        <v>#N/A</v>
      </c>
      <c r="U453" s="1034" t="e">
        <f t="shared" si="331"/>
        <v>#N/A</v>
      </c>
      <c r="V453" s="1165" t="e">
        <f t="shared" si="318"/>
        <v>#N/A</v>
      </c>
      <c r="W453" s="1034" t="e">
        <f t="shared" si="332"/>
        <v>#N/A</v>
      </c>
      <c r="X453" s="1034" t="b">
        <f t="shared" si="333"/>
        <v>0</v>
      </c>
      <c r="Y453" s="1034">
        <f t="shared" si="334"/>
        <v>0</v>
      </c>
      <c r="Z453" s="1034">
        <f t="shared" si="335"/>
        <v>0</v>
      </c>
      <c r="AA453" s="1034">
        <f t="shared" si="319"/>
        <v>0</v>
      </c>
      <c r="AB453" s="1034">
        <f t="shared" si="320"/>
        <v>0</v>
      </c>
      <c r="AC453" s="1033">
        <f t="shared" si="336"/>
        <v>0</v>
      </c>
      <c r="AD453" s="1266">
        <f t="shared" si="321"/>
        <v>0</v>
      </c>
      <c r="AE453" s="1093">
        <f t="shared" si="337"/>
        <v>0</v>
      </c>
      <c r="AF453" s="1093">
        <f t="shared" si="338"/>
        <v>0</v>
      </c>
      <c r="AG453" s="1093">
        <f t="shared" si="322"/>
        <v>0</v>
      </c>
      <c r="AH453" s="1033" t="e">
        <f t="shared" si="323"/>
        <v>#DIV/0!</v>
      </c>
      <c r="AI453" s="1091">
        <f t="shared" si="324"/>
        <v>0</v>
      </c>
      <c r="AJ453" s="1094">
        <f t="shared" si="325"/>
        <v>0</v>
      </c>
      <c r="AK453" s="1053" t="str">
        <f t="shared" si="326"/>
        <v/>
      </c>
      <c r="AL453" s="1053"/>
      <c r="AM453" s="1290">
        <f>_xlfn.XLOOKUP(F453,Proveedores!A:A,Proveedores!G:G)</f>
        <v>0</v>
      </c>
      <c r="AN453" s="1095" t="str">
        <f t="shared" si="339"/>
        <v>OK</v>
      </c>
    </row>
    <row r="454" spans="1:40" ht="15.95">
      <c r="A454" s="1090" t="b">
        <f t="shared" si="314"/>
        <v>1</v>
      </c>
      <c r="B454" s="1091" t="b">
        <f t="shared" si="327"/>
        <v>1</v>
      </c>
      <c r="C454" s="1092" t="str">
        <f t="shared" si="328"/>
        <v>Dólares</v>
      </c>
      <c r="D454" s="15"/>
      <c r="E454" s="743"/>
      <c r="F454" s="17"/>
      <c r="G454" s="17" t="str">
        <f t="shared" si="315"/>
        <v xml:space="preserve"> </v>
      </c>
      <c r="H454" s="12">
        <v>0</v>
      </c>
      <c r="I454" s="16" t="str">
        <f>IFERROR(VLOOKUP(G454,Proveedores!B:C,2,0)," ")</f>
        <v xml:space="preserve"> </v>
      </c>
      <c r="J454" s="745">
        <v>0</v>
      </c>
      <c r="K454" s="745" t="str">
        <f t="shared" si="316"/>
        <v>Not Found</v>
      </c>
      <c r="L454" s="16">
        <f>IF(K454="Importado",Fletes!$B$66,0%)</f>
        <v>0</v>
      </c>
      <c r="M454" s="745">
        <f t="shared" si="329"/>
        <v>0</v>
      </c>
      <c r="N454" s="16">
        <f>IF(K454&lt;&gt;"Importado",0%,IF(Fletes!$B$67&lt;10,15%,IF(Fletes!$B$67&lt;20,10%,5%)))</f>
        <v>0</v>
      </c>
      <c r="O454" s="745" t="str">
        <f>IFERROR(IF(OR(F454="Offiho",F454="Lauco Sofas",F454="Requiez",F454="Labenze",F454="Sunon Mty",F454="Sonara"),(M454*(1-_xlfn.XLOOKUP(F454,Proveedores!A:A,Proveedores!I:I)))*(1+N454),((M454*(1-_xlfn.XLOOKUP(F454,Proveedores!A:A,Proveedores!I:I)))*(1+N454))+U454),"")</f>
        <v/>
      </c>
      <c r="P454" s="1031"/>
      <c r="Q454" s="1133">
        <f>IF(K454&lt;&gt;"Importado",0,IF(P454&gt;0,P454*H454,IFERROR(_xlfn.XLOOKUP(F454,Proveedores!A:A,Proveedores!F:F,0)*H454,0)))</f>
        <v>0</v>
      </c>
      <c r="R454" s="1134" t="e">
        <f t="shared" si="330"/>
        <v>#VALUE!</v>
      </c>
      <c r="S454" s="743"/>
      <c r="T454" s="1034" t="e">
        <f t="shared" si="317"/>
        <v>#N/A</v>
      </c>
      <c r="U454" s="1034" t="e">
        <f t="shared" si="331"/>
        <v>#N/A</v>
      </c>
      <c r="V454" s="1165" t="e">
        <f t="shared" si="318"/>
        <v>#N/A</v>
      </c>
      <c r="W454" s="1034" t="e">
        <f t="shared" si="332"/>
        <v>#N/A</v>
      </c>
      <c r="X454" s="1034" t="b">
        <f t="shared" si="333"/>
        <v>0</v>
      </c>
      <c r="Y454" s="1034">
        <f t="shared" si="334"/>
        <v>0</v>
      </c>
      <c r="Z454" s="1034">
        <f t="shared" si="335"/>
        <v>0</v>
      </c>
      <c r="AA454" s="1034">
        <f t="shared" si="319"/>
        <v>0</v>
      </c>
      <c r="AB454" s="1034">
        <f t="shared" si="320"/>
        <v>0</v>
      </c>
      <c r="AC454" s="1033">
        <f t="shared" si="336"/>
        <v>0</v>
      </c>
      <c r="AD454" s="1266">
        <f t="shared" si="321"/>
        <v>0</v>
      </c>
      <c r="AE454" s="1093">
        <f t="shared" si="337"/>
        <v>0</v>
      </c>
      <c r="AF454" s="1093">
        <f t="shared" si="338"/>
        <v>0</v>
      </c>
      <c r="AG454" s="1093">
        <f t="shared" si="322"/>
        <v>0</v>
      </c>
      <c r="AH454" s="1033" t="e">
        <f t="shared" si="323"/>
        <v>#DIV/0!</v>
      </c>
      <c r="AI454" s="1091">
        <f t="shared" si="324"/>
        <v>0</v>
      </c>
      <c r="AJ454" s="1094">
        <f t="shared" si="325"/>
        <v>0</v>
      </c>
      <c r="AK454" s="1053" t="str">
        <f t="shared" si="326"/>
        <v/>
      </c>
      <c r="AL454" s="1053"/>
      <c r="AM454" s="1290">
        <f>_xlfn.XLOOKUP(F454,Proveedores!A:A,Proveedores!G:G)</f>
        <v>0</v>
      </c>
      <c r="AN454" s="1095" t="str">
        <f t="shared" si="339"/>
        <v>OK</v>
      </c>
    </row>
    <row r="455" spans="1:40" ht="15.95">
      <c r="A455" s="1090" t="b">
        <f t="shared" si="314"/>
        <v>1</v>
      </c>
      <c r="B455" s="1091" t="b">
        <f t="shared" si="327"/>
        <v>1</v>
      </c>
      <c r="C455" s="1092" t="str">
        <f t="shared" si="328"/>
        <v>Dólares</v>
      </c>
      <c r="D455" s="15"/>
      <c r="E455" s="743"/>
      <c r="F455" s="17"/>
      <c r="G455" s="17" t="str">
        <f t="shared" si="315"/>
        <v xml:space="preserve"> </v>
      </c>
      <c r="H455" s="12">
        <v>0</v>
      </c>
      <c r="I455" s="16" t="str">
        <f>IFERROR(VLOOKUP(G455,Proveedores!B:C,2,0)," ")</f>
        <v xml:space="preserve"> </v>
      </c>
      <c r="J455" s="745">
        <v>0</v>
      </c>
      <c r="K455" s="745" t="str">
        <f t="shared" si="316"/>
        <v>Not Found</v>
      </c>
      <c r="L455" s="16">
        <f>IF(K455="Importado",Fletes!$B$66,0%)</f>
        <v>0</v>
      </c>
      <c r="M455" s="745">
        <f t="shared" si="329"/>
        <v>0</v>
      </c>
      <c r="N455" s="16">
        <f>IF(K455&lt;&gt;"Importado",0%,IF(Fletes!$B$67&lt;10,15%,IF(Fletes!$B$67&lt;20,10%,5%)))</f>
        <v>0</v>
      </c>
      <c r="O455" s="745" t="str">
        <f>IFERROR(IF(OR(F455="Offiho",F455="Lauco Sofas",F455="Requiez",F455="Labenze",F455="Sunon Mty",F455="Sonara"),(M455*(1-_xlfn.XLOOKUP(F455,Proveedores!A:A,Proveedores!I:I)))*(1+N455),((M455*(1-_xlfn.XLOOKUP(F455,Proveedores!A:A,Proveedores!I:I)))*(1+N455))+U455),"")</f>
        <v/>
      </c>
      <c r="P455" s="1031"/>
      <c r="Q455" s="1133">
        <f>IF(K455&lt;&gt;"Importado",0,IF(P455&gt;0,P455*H455,IFERROR(_xlfn.XLOOKUP(F455,Proveedores!A:A,Proveedores!F:F,0)*H455,0)))</f>
        <v>0</v>
      </c>
      <c r="R455" s="1134" t="e">
        <f t="shared" si="330"/>
        <v>#VALUE!</v>
      </c>
      <c r="S455" s="743"/>
      <c r="T455" s="1034" t="e">
        <f t="shared" si="317"/>
        <v>#N/A</v>
      </c>
      <c r="U455" s="1034" t="e">
        <f t="shared" si="331"/>
        <v>#N/A</v>
      </c>
      <c r="V455" s="1165" t="e">
        <f t="shared" si="318"/>
        <v>#N/A</v>
      </c>
      <c r="W455" s="1034" t="e">
        <f t="shared" si="332"/>
        <v>#N/A</v>
      </c>
      <c r="X455" s="1034" t="b">
        <f t="shared" si="333"/>
        <v>0</v>
      </c>
      <c r="Y455" s="1034">
        <f t="shared" si="334"/>
        <v>0</v>
      </c>
      <c r="Z455" s="1034">
        <f t="shared" si="335"/>
        <v>0</v>
      </c>
      <c r="AA455" s="1034">
        <f t="shared" si="319"/>
        <v>0</v>
      </c>
      <c r="AB455" s="1034">
        <f t="shared" si="320"/>
        <v>0</v>
      </c>
      <c r="AC455" s="1033">
        <f t="shared" si="336"/>
        <v>0</v>
      </c>
      <c r="AD455" s="1266">
        <f t="shared" si="321"/>
        <v>0</v>
      </c>
      <c r="AE455" s="1093">
        <f t="shared" si="337"/>
        <v>0</v>
      </c>
      <c r="AF455" s="1093">
        <f t="shared" si="338"/>
        <v>0</v>
      </c>
      <c r="AG455" s="1093">
        <f t="shared" si="322"/>
        <v>0</v>
      </c>
      <c r="AH455" s="1033" t="e">
        <f t="shared" si="323"/>
        <v>#DIV/0!</v>
      </c>
      <c r="AI455" s="1091">
        <f t="shared" si="324"/>
        <v>0</v>
      </c>
      <c r="AJ455" s="1094">
        <f t="shared" si="325"/>
        <v>0</v>
      </c>
      <c r="AK455" s="1053" t="str">
        <f t="shared" si="326"/>
        <v/>
      </c>
      <c r="AL455" s="1053"/>
      <c r="AM455" s="1290">
        <f>_xlfn.XLOOKUP(F455,Proveedores!A:A,Proveedores!G:G)</f>
        <v>0</v>
      </c>
      <c r="AN455" s="1095" t="str">
        <f t="shared" si="339"/>
        <v>OK</v>
      </c>
    </row>
    <row r="456" spans="1:40" ht="15.95">
      <c r="A456" s="1090" t="b">
        <f t="shared" si="314"/>
        <v>1</v>
      </c>
      <c r="B456" s="1091" t="b">
        <f t="shared" si="327"/>
        <v>1</v>
      </c>
      <c r="C456" s="1092" t="str">
        <f t="shared" si="328"/>
        <v>Dólares</v>
      </c>
      <c r="D456" s="15"/>
      <c r="E456" s="743"/>
      <c r="F456" s="17"/>
      <c r="G456" s="17" t="str">
        <f t="shared" si="315"/>
        <v xml:space="preserve"> </v>
      </c>
      <c r="H456" s="12">
        <v>0</v>
      </c>
      <c r="I456" s="16" t="str">
        <f>IFERROR(VLOOKUP(G456,Proveedores!B:C,2,0)," ")</f>
        <v xml:space="preserve"> </v>
      </c>
      <c r="J456" s="745">
        <v>0</v>
      </c>
      <c r="K456" s="745" t="str">
        <f t="shared" si="316"/>
        <v>Not Found</v>
      </c>
      <c r="L456" s="16">
        <f>IF(K456="Importado",Fletes!$B$66,0%)</f>
        <v>0</v>
      </c>
      <c r="M456" s="745">
        <f t="shared" si="329"/>
        <v>0</v>
      </c>
      <c r="N456" s="16">
        <f>IF(K456&lt;&gt;"Importado",0%,IF(Fletes!$B$67&lt;10,15%,IF(Fletes!$B$67&lt;20,10%,5%)))</f>
        <v>0</v>
      </c>
      <c r="O456" s="745" t="str">
        <f>IFERROR(IF(OR(F456="Offiho",F456="Lauco Sofas",F456="Requiez",F456="Labenze",F456="Sunon Mty",F456="Sonara"),(M456*(1-_xlfn.XLOOKUP(F456,Proveedores!A:A,Proveedores!I:I)))*(1+N456),((M456*(1-_xlfn.XLOOKUP(F456,Proveedores!A:A,Proveedores!I:I)))*(1+N456))+U456),"")</f>
        <v/>
      </c>
      <c r="P456" s="1031"/>
      <c r="Q456" s="1133">
        <f>IF(K456&lt;&gt;"Importado",0,IF(P456&gt;0,P456*H456,IFERROR(_xlfn.XLOOKUP(F456,Proveedores!A:A,Proveedores!F:F,0)*H456,0)))</f>
        <v>0</v>
      </c>
      <c r="R456" s="1134" t="e">
        <f t="shared" si="330"/>
        <v>#VALUE!</v>
      </c>
      <c r="S456" s="743"/>
      <c r="T456" s="1034" t="e">
        <f t="shared" si="317"/>
        <v>#N/A</v>
      </c>
      <c r="U456" s="1034" t="e">
        <f t="shared" si="331"/>
        <v>#N/A</v>
      </c>
      <c r="V456" s="1165" t="e">
        <f t="shared" si="318"/>
        <v>#N/A</v>
      </c>
      <c r="W456" s="1034" t="e">
        <f t="shared" si="332"/>
        <v>#N/A</v>
      </c>
      <c r="X456" s="1034" t="b">
        <f t="shared" si="333"/>
        <v>0</v>
      </c>
      <c r="Y456" s="1034">
        <f t="shared" si="334"/>
        <v>0</v>
      </c>
      <c r="Z456" s="1034">
        <f t="shared" si="335"/>
        <v>0</v>
      </c>
      <c r="AA456" s="1034">
        <f t="shared" si="319"/>
        <v>0</v>
      </c>
      <c r="AB456" s="1034">
        <f t="shared" si="320"/>
        <v>0</v>
      </c>
      <c r="AC456" s="1033">
        <f t="shared" si="336"/>
        <v>0</v>
      </c>
      <c r="AD456" s="1266">
        <f t="shared" si="321"/>
        <v>0</v>
      </c>
      <c r="AE456" s="1093">
        <f t="shared" si="337"/>
        <v>0</v>
      </c>
      <c r="AF456" s="1093">
        <f t="shared" si="338"/>
        <v>0</v>
      </c>
      <c r="AG456" s="1093">
        <f t="shared" si="322"/>
        <v>0</v>
      </c>
      <c r="AH456" s="1033" t="e">
        <f t="shared" si="323"/>
        <v>#DIV/0!</v>
      </c>
      <c r="AI456" s="1091">
        <f t="shared" si="324"/>
        <v>0</v>
      </c>
      <c r="AJ456" s="1094">
        <f t="shared" si="325"/>
        <v>0</v>
      </c>
      <c r="AK456" s="1053" t="str">
        <f t="shared" si="326"/>
        <v/>
      </c>
      <c r="AL456" s="1053"/>
      <c r="AM456" s="1290">
        <f>_xlfn.XLOOKUP(F456,Proveedores!A:A,Proveedores!G:G)</f>
        <v>0</v>
      </c>
      <c r="AN456" s="1095" t="str">
        <f t="shared" si="339"/>
        <v>OK</v>
      </c>
    </row>
    <row r="457" spans="1:40" ht="15.95">
      <c r="A457" s="1090" t="b">
        <f t="shared" si="314"/>
        <v>1</v>
      </c>
      <c r="B457" s="1091" t="b">
        <f t="shared" si="327"/>
        <v>1</v>
      </c>
      <c r="C457" s="1092" t="str">
        <f t="shared" si="328"/>
        <v>Dólares</v>
      </c>
      <c r="D457" s="14"/>
      <c r="E457" s="743"/>
      <c r="F457" s="17"/>
      <c r="G457" s="17" t="str">
        <f t="shared" si="315"/>
        <v xml:space="preserve"> </v>
      </c>
      <c r="H457" s="12">
        <v>0</v>
      </c>
      <c r="I457" s="16" t="str">
        <f>IFERROR(VLOOKUP(G457,Proveedores!B:C,2,0)," ")</f>
        <v xml:space="preserve"> </v>
      </c>
      <c r="J457" s="745">
        <v>0</v>
      </c>
      <c r="K457" s="745" t="str">
        <f t="shared" si="316"/>
        <v>Not Found</v>
      </c>
      <c r="L457" s="16">
        <f>IF(K457="Importado",Fletes!$B$66,0%)</f>
        <v>0</v>
      </c>
      <c r="M457" s="745">
        <f t="shared" si="329"/>
        <v>0</v>
      </c>
      <c r="N457" s="16">
        <f>IF(K457&lt;&gt;"Importado",0%,IF(Fletes!$B$67&lt;10,15%,IF(Fletes!$B$67&lt;20,10%,5%)))</f>
        <v>0</v>
      </c>
      <c r="O457" s="745" t="str">
        <f>IFERROR(IF(OR(F457="Offiho",F457="Lauco Sofas",F457="Requiez",F457="Labenze",F457="Sunon Mty",F457="Sonara"),(M457*(1-_xlfn.XLOOKUP(F457,Proveedores!A:A,Proveedores!I:I)))*(1+N457),((M457*(1-_xlfn.XLOOKUP(F457,Proveedores!A:A,Proveedores!I:I)))*(1+N457))+U457),"")</f>
        <v/>
      </c>
      <c r="P457" s="1031"/>
      <c r="Q457" s="1133">
        <f>IF(K457&lt;&gt;"Importado",0,IF(P457&gt;0,P457*H457,IFERROR(_xlfn.XLOOKUP(F457,Proveedores!A:A,Proveedores!F:F,0)*H457,0)))</f>
        <v>0</v>
      </c>
      <c r="R457" s="1134" t="e">
        <f t="shared" si="330"/>
        <v>#VALUE!</v>
      </c>
      <c r="S457" s="743"/>
      <c r="T457" s="1034" t="e">
        <f t="shared" si="317"/>
        <v>#N/A</v>
      </c>
      <c r="U457" s="1034" t="e">
        <f t="shared" si="331"/>
        <v>#N/A</v>
      </c>
      <c r="V457" s="1165" t="e">
        <f t="shared" si="318"/>
        <v>#N/A</v>
      </c>
      <c r="W457" s="1034" t="e">
        <f t="shared" si="332"/>
        <v>#N/A</v>
      </c>
      <c r="X457" s="1034" t="b">
        <f t="shared" si="333"/>
        <v>0</v>
      </c>
      <c r="Y457" s="1034">
        <f t="shared" si="334"/>
        <v>0</v>
      </c>
      <c r="Z457" s="1034">
        <f t="shared" si="335"/>
        <v>0</v>
      </c>
      <c r="AA457" s="1034">
        <f t="shared" si="319"/>
        <v>0</v>
      </c>
      <c r="AB457" s="1034">
        <f t="shared" si="320"/>
        <v>0</v>
      </c>
      <c r="AC457" s="1033">
        <f t="shared" si="336"/>
        <v>0</v>
      </c>
      <c r="AD457" s="1266">
        <f t="shared" si="321"/>
        <v>0</v>
      </c>
      <c r="AE457" s="1093">
        <f t="shared" si="337"/>
        <v>0</v>
      </c>
      <c r="AF457" s="1093">
        <f t="shared" si="338"/>
        <v>0</v>
      </c>
      <c r="AG457" s="1093">
        <f t="shared" si="322"/>
        <v>0</v>
      </c>
      <c r="AH457" s="1033" t="e">
        <f t="shared" si="323"/>
        <v>#DIV/0!</v>
      </c>
      <c r="AI457" s="1091">
        <f t="shared" si="324"/>
        <v>0</v>
      </c>
      <c r="AJ457" s="1094">
        <f t="shared" si="325"/>
        <v>0</v>
      </c>
      <c r="AK457" s="1053" t="str">
        <f t="shared" si="326"/>
        <v/>
      </c>
      <c r="AL457" s="1053"/>
      <c r="AM457" s="1290">
        <f>_xlfn.XLOOKUP(F457,Proveedores!A:A,Proveedores!G:G)</f>
        <v>0</v>
      </c>
      <c r="AN457" s="1095" t="str">
        <f t="shared" si="339"/>
        <v>OK</v>
      </c>
    </row>
    <row r="458" spans="1:40" ht="15.95">
      <c r="A458" s="1090" t="b">
        <f t="shared" si="314"/>
        <v>1</v>
      </c>
      <c r="B458" s="1091" t="b">
        <f t="shared" si="327"/>
        <v>1</v>
      </c>
      <c r="C458" s="1092" t="str">
        <f t="shared" si="328"/>
        <v>Dólares</v>
      </c>
      <c r="D458" s="14"/>
      <c r="E458" s="743"/>
      <c r="F458" s="17"/>
      <c r="G458" s="17" t="str">
        <f t="shared" si="315"/>
        <v xml:space="preserve"> </v>
      </c>
      <c r="H458" s="12">
        <v>0</v>
      </c>
      <c r="I458" s="16" t="str">
        <f>IFERROR(VLOOKUP(G458,Proveedores!B:C,2,0)," ")</f>
        <v xml:space="preserve"> </v>
      </c>
      <c r="J458" s="745">
        <v>0</v>
      </c>
      <c r="K458" s="745" t="str">
        <f t="shared" si="316"/>
        <v>Not Found</v>
      </c>
      <c r="L458" s="16">
        <f>IF(K458="Importado",Fletes!$B$66,0%)</f>
        <v>0</v>
      </c>
      <c r="M458" s="745">
        <f t="shared" si="329"/>
        <v>0</v>
      </c>
      <c r="N458" s="16">
        <f>IF(K458&lt;&gt;"Importado",0%,IF(Fletes!$B$67&lt;10,15%,IF(Fletes!$B$67&lt;20,10%,5%)))</f>
        <v>0</v>
      </c>
      <c r="O458" s="745" t="str">
        <f>IFERROR(IF(OR(F458="Offiho",F458="Lauco Sofas",F458="Requiez",F458="Labenze",F458="Sunon Mty",F458="Sonara"),(M458*(1-_xlfn.XLOOKUP(F458,Proveedores!A:A,Proveedores!I:I)))*(1+N458),((M458*(1-_xlfn.XLOOKUP(F458,Proveedores!A:A,Proveedores!I:I)))*(1+N458))+U458),"")</f>
        <v/>
      </c>
      <c r="P458" s="1031"/>
      <c r="Q458" s="1133">
        <f>IF(K458&lt;&gt;"Importado",0,IF(P458&gt;0,P458*H458,IFERROR(_xlfn.XLOOKUP(F458,Proveedores!A:A,Proveedores!F:F,0)*H458,0)))</f>
        <v>0</v>
      </c>
      <c r="R458" s="1134" t="e">
        <f t="shared" si="330"/>
        <v>#VALUE!</v>
      </c>
      <c r="S458" s="743"/>
      <c r="T458" s="1034" t="e">
        <f t="shared" si="317"/>
        <v>#N/A</v>
      </c>
      <c r="U458" s="1034" t="e">
        <f t="shared" si="331"/>
        <v>#N/A</v>
      </c>
      <c r="V458" s="1165" t="e">
        <f t="shared" si="318"/>
        <v>#N/A</v>
      </c>
      <c r="W458" s="1034" t="e">
        <f t="shared" si="332"/>
        <v>#N/A</v>
      </c>
      <c r="X458" s="1034" t="b">
        <f t="shared" si="333"/>
        <v>0</v>
      </c>
      <c r="Y458" s="1034">
        <f t="shared" si="334"/>
        <v>0</v>
      </c>
      <c r="Z458" s="1034">
        <f t="shared" si="335"/>
        <v>0</v>
      </c>
      <c r="AA458" s="1034">
        <f t="shared" si="319"/>
        <v>0</v>
      </c>
      <c r="AB458" s="1034">
        <f t="shared" si="320"/>
        <v>0</v>
      </c>
      <c r="AC458" s="1033">
        <f t="shared" si="336"/>
        <v>0</v>
      </c>
      <c r="AD458" s="1266">
        <f t="shared" si="321"/>
        <v>0</v>
      </c>
      <c r="AE458" s="1093">
        <f t="shared" si="337"/>
        <v>0</v>
      </c>
      <c r="AF458" s="1093">
        <f t="shared" si="338"/>
        <v>0</v>
      </c>
      <c r="AG458" s="1093">
        <f t="shared" si="322"/>
        <v>0</v>
      </c>
      <c r="AH458" s="1033" t="e">
        <f t="shared" si="323"/>
        <v>#DIV/0!</v>
      </c>
      <c r="AI458" s="1091">
        <f t="shared" si="324"/>
        <v>0</v>
      </c>
      <c r="AJ458" s="1094">
        <f t="shared" si="325"/>
        <v>0</v>
      </c>
      <c r="AK458" s="1053" t="str">
        <f t="shared" si="326"/>
        <v/>
      </c>
      <c r="AL458" s="1053"/>
      <c r="AM458" s="1290">
        <f>_xlfn.XLOOKUP(F458,Proveedores!A:A,Proveedores!G:G)</f>
        <v>0</v>
      </c>
      <c r="AN458" s="1095" t="str">
        <f t="shared" si="339"/>
        <v>OK</v>
      </c>
    </row>
    <row r="459" spans="1:40" ht="15.95">
      <c r="A459" s="1090" t="b">
        <f t="shared" si="314"/>
        <v>1</v>
      </c>
      <c r="B459" s="1091" t="b">
        <f t="shared" si="327"/>
        <v>1</v>
      </c>
      <c r="C459" s="1092" t="str">
        <f t="shared" si="328"/>
        <v>Dólares</v>
      </c>
      <c r="D459" s="14"/>
      <c r="E459" s="743"/>
      <c r="F459" s="17"/>
      <c r="G459" s="17" t="str">
        <f t="shared" si="315"/>
        <v xml:space="preserve"> </v>
      </c>
      <c r="H459" s="12">
        <v>0</v>
      </c>
      <c r="I459" s="16" t="str">
        <f>IFERROR(VLOOKUP(G459,Proveedores!B:C,2,0)," ")</f>
        <v xml:space="preserve"> </v>
      </c>
      <c r="J459" s="745">
        <v>0</v>
      </c>
      <c r="K459" s="745" t="str">
        <f t="shared" si="316"/>
        <v>Not Found</v>
      </c>
      <c r="L459" s="16">
        <f>IF(K459="Importado",Fletes!$B$66,0%)</f>
        <v>0</v>
      </c>
      <c r="M459" s="745">
        <f t="shared" si="329"/>
        <v>0</v>
      </c>
      <c r="N459" s="16">
        <f>IF(K459&lt;&gt;"Importado",0%,IF(Fletes!$B$67&lt;10,15%,IF(Fletes!$B$67&lt;20,10%,5%)))</f>
        <v>0</v>
      </c>
      <c r="O459" s="745" t="str">
        <f>IFERROR(IF(OR(F459="Offiho",F459="Lauco Sofas",F459="Requiez",F459="Labenze",F459="Sunon Mty",F459="Sonara"),(M459*(1-_xlfn.XLOOKUP(F459,Proveedores!A:A,Proveedores!I:I)))*(1+N459),((M459*(1-_xlfn.XLOOKUP(F459,Proveedores!A:A,Proveedores!I:I)))*(1+N459))+U459),"")</f>
        <v/>
      </c>
      <c r="P459" s="1031"/>
      <c r="Q459" s="1133">
        <f>IF(K459&lt;&gt;"Importado",0,IF(P459&gt;0,P459*H459,IFERROR(_xlfn.XLOOKUP(F459,Proveedores!A:A,Proveedores!F:F,0)*H459,0)))</f>
        <v>0</v>
      </c>
      <c r="R459" s="1134" t="e">
        <f t="shared" si="330"/>
        <v>#VALUE!</v>
      </c>
      <c r="S459" s="743"/>
      <c r="T459" s="1034" t="e">
        <f t="shared" si="317"/>
        <v>#N/A</v>
      </c>
      <c r="U459" s="1034" t="e">
        <f t="shared" si="331"/>
        <v>#N/A</v>
      </c>
      <c r="V459" s="1165" t="e">
        <f t="shared" si="318"/>
        <v>#N/A</v>
      </c>
      <c r="W459" s="1034" t="e">
        <f t="shared" si="332"/>
        <v>#N/A</v>
      </c>
      <c r="X459" s="1034" t="b">
        <f t="shared" si="333"/>
        <v>0</v>
      </c>
      <c r="Y459" s="1034">
        <f t="shared" si="334"/>
        <v>0</v>
      </c>
      <c r="Z459" s="1034">
        <f t="shared" si="335"/>
        <v>0</v>
      </c>
      <c r="AA459" s="1034">
        <f t="shared" si="319"/>
        <v>0</v>
      </c>
      <c r="AB459" s="1034">
        <f t="shared" si="320"/>
        <v>0</v>
      </c>
      <c r="AC459" s="1033">
        <f t="shared" si="336"/>
        <v>0</v>
      </c>
      <c r="AD459" s="1266">
        <f t="shared" si="321"/>
        <v>0</v>
      </c>
      <c r="AE459" s="1093">
        <f t="shared" si="337"/>
        <v>0</v>
      </c>
      <c r="AF459" s="1093">
        <f t="shared" si="338"/>
        <v>0</v>
      </c>
      <c r="AG459" s="1093">
        <f t="shared" si="322"/>
        <v>0</v>
      </c>
      <c r="AH459" s="1033" t="e">
        <f t="shared" si="323"/>
        <v>#DIV/0!</v>
      </c>
      <c r="AI459" s="1091">
        <f t="shared" si="324"/>
        <v>0</v>
      </c>
      <c r="AJ459" s="1094">
        <f t="shared" si="325"/>
        <v>0</v>
      </c>
      <c r="AK459" s="1053" t="str">
        <f t="shared" si="326"/>
        <v/>
      </c>
      <c r="AL459" s="1053"/>
      <c r="AM459" s="1290">
        <f>_xlfn.XLOOKUP(F459,Proveedores!A:A,Proveedores!G:G)</f>
        <v>0</v>
      </c>
      <c r="AN459" s="1095" t="str">
        <f t="shared" si="339"/>
        <v>OK</v>
      </c>
    </row>
    <row r="460" spans="1:40" ht="15.95">
      <c r="A460" s="1090" t="b">
        <f t="shared" si="314"/>
        <v>1</v>
      </c>
      <c r="B460" s="1091" t="b">
        <f t="shared" si="327"/>
        <v>1</v>
      </c>
      <c r="C460" s="1092" t="str">
        <f t="shared" si="328"/>
        <v>Dólares</v>
      </c>
      <c r="D460" s="15"/>
      <c r="E460" s="743"/>
      <c r="F460" s="17"/>
      <c r="G460" s="17" t="str">
        <f t="shared" si="315"/>
        <v xml:space="preserve"> </v>
      </c>
      <c r="H460" s="12">
        <v>0</v>
      </c>
      <c r="I460" s="16" t="str">
        <f>IFERROR(VLOOKUP(G460,Proveedores!B:C,2,0)," ")</f>
        <v xml:space="preserve"> </v>
      </c>
      <c r="J460" s="745">
        <v>0</v>
      </c>
      <c r="K460" s="745" t="str">
        <f t="shared" si="316"/>
        <v>Not Found</v>
      </c>
      <c r="L460" s="16">
        <f>IF(K460="Importado",Fletes!$B$66,0%)</f>
        <v>0</v>
      </c>
      <c r="M460" s="745">
        <f t="shared" si="329"/>
        <v>0</v>
      </c>
      <c r="N460" s="16">
        <f>IF(K460&lt;&gt;"Importado",0%,IF(Fletes!$B$67&lt;10,15%,IF(Fletes!$B$67&lt;20,10%,5%)))</f>
        <v>0</v>
      </c>
      <c r="O460" s="745" t="str">
        <f>IFERROR(IF(OR(F460="Offiho",F460="Lauco Sofas",F460="Requiez",F460="Labenze",F460="Sunon Mty",F460="Sonara"),(M460*(1-_xlfn.XLOOKUP(F460,Proveedores!A:A,Proveedores!I:I)))*(1+N460),((M460*(1-_xlfn.XLOOKUP(F460,Proveedores!A:A,Proveedores!I:I)))*(1+N460))+U460),"")</f>
        <v/>
      </c>
      <c r="P460" s="1031"/>
      <c r="Q460" s="1133">
        <f>IF(K460&lt;&gt;"Importado",0,IF(P460&gt;0,P460*H460,IFERROR(_xlfn.XLOOKUP(F460,Proveedores!A:A,Proveedores!F:F,0)*H460,0)))</f>
        <v>0</v>
      </c>
      <c r="R460" s="1134" t="e">
        <f t="shared" si="330"/>
        <v>#VALUE!</v>
      </c>
      <c r="S460" s="743"/>
      <c r="T460" s="1034" t="e">
        <f t="shared" si="317"/>
        <v>#N/A</v>
      </c>
      <c r="U460" s="1034" t="e">
        <f t="shared" si="331"/>
        <v>#N/A</v>
      </c>
      <c r="V460" s="1165" t="e">
        <f t="shared" si="318"/>
        <v>#N/A</v>
      </c>
      <c r="W460" s="1034" t="e">
        <f t="shared" si="332"/>
        <v>#N/A</v>
      </c>
      <c r="X460" s="1034" t="b">
        <f t="shared" si="333"/>
        <v>0</v>
      </c>
      <c r="Y460" s="1034">
        <f t="shared" si="334"/>
        <v>0</v>
      </c>
      <c r="Z460" s="1034">
        <f t="shared" si="335"/>
        <v>0</v>
      </c>
      <c r="AA460" s="1034">
        <f t="shared" si="319"/>
        <v>0</v>
      </c>
      <c r="AB460" s="1034">
        <f t="shared" si="320"/>
        <v>0</v>
      </c>
      <c r="AC460" s="1033">
        <f t="shared" si="336"/>
        <v>0</v>
      </c>
      <c r="AD460" s="1266">
        <f t="shared" si="321"/>
        <v>0</v>
      </c>
      <c r="AE460" s="1093">
        <f t="shared" si="337"/>
        <v>0</v>
      </c>
      <c r="AF460" s="1093">
        <f t="shared" si="338"/>
        <v>0</v>
      </c>
      <c r="AG460" s="1093">
        <f t="shared" si="322"/>
        <v>0</v>
      </c>
      <c r="AH460" s="1033" t="e">
        <f t="shared" si="323"/>
        <v>#DIV/0!</v>
      </c>
      <c r="AI460" s="1091">
        <f t="shared" si="324"/>
        <v>0</v>
      </c>
      <c r="AJ460" s="1094">
        <f t="shared" si="325"/>
        <v>0</v>
      </c>
      <c r="AK460" s="1053" t="str">
        <f t="shared" si="326"/>
        <v/>
      </c>
      <c r="AL460" s="1053"/>
      <c r="AM460" s="1290">
        <f>_xlfn.XLOOKUP(F460,Proveedores!A:A,Proveedores!G:G)</f>
        <v>0</v>
      </c>
      <c r="AN460" s="1095" t="str">
        <f t="shared" si="339"/>
        <v>OK</v>
      </c>
    </row>
    <row r="461" spans="1:40" ht="15.95">
      <c r="A461" s="1090" t="b">
        <f t="shared" si="314"/>
        <v>1</v>
      </c>
      <c r="B461" s="1091" t="b">
        <f t="shared" si="327"/>
        <v>1</v>
      </c>
      <c r="C461" s="1092" t="str">
        <f t="shared" si="328"/>
        <v>Dólares</v>
      </c>
      <c r="D461" s="15"/>
      <c r="E461" s="743"/>
      <c r="F461" s="17"/>
      <c r="G461" s="17" t="str">
        <f t="shared" si="315"/>
        <v xml:space="preserve"> </v>
      </c>
      <c r="H461" s="12">
        <v>0</v>
      </c>
      <c r="I461" s="16" t="str">
        <f>IFERROR(VLOOKUP(G461,Proveedores!B:C,2,0)," ")</f>
        <v xml:space="preserve"> </v>
      </c>
      <c r="J461" s="745">
        <v>0</v>
      </c>
      <c r="K461" s="745" t="str">
        <f t="shared" si="316"/>
        <v>Not Found</v>
      </c>
      <c r="L461" s="16">
        <f>IF(K461="Importado",Fletes!$B$66,0%)</f>
        <v>0</v>
      </c>
      <c r="M461" s="745">
        <f t="shared" si="329"/>
        <v>0</v>
      </c>
      <c r="N461" s="16">
        <f>IF(K461&lt;&gt;"Importado",0%,IF(Fletes!$B$67&lt;10,15%,IF(Fletes!$B$67&lt;20,10%,5%)))</f>
        <v>0</v>
      </c>
      <c r="O461" s="745" t="str">
        <f>IFERROR(IF(OR(F461="Offiho",F461="Lauco Sofas",F461="Requiez",F461="Labenze",F461="Sunon Mty",F461="Sonara"),(M461*(1-_xlfn.XLOOKUP(F461,Proveedores!A:A,Proveedores!I:I)))*(1+N461),((M461*(1-_xlfn.XLOOKUP(F461,Proveedores!A:A,Proveedores!I:I)))*(1+N461))+U461),"")</f>
        <v/>
      </c>
      <c r="P461" s="1031"/>
      <c r="Q461" s="1133">
        <f>IF(K461&lt;&gt;"Importado",0,IF(P461&gt;0,P461*H461,IFERROR(_xlfn.XLOOKUP(F461,Proveedores!A:A,Proveedores!F:F,0)*H461,0)))</f>
        <v>0</v>
      </c>
      <c r="R461" s="1134" t="e">
        <f t="shared" si="330"/>
        <v>#VALUE!</v>
      </c>
      <c r="S461" s="743"/>
      <c r="T461" s="1034" t="e">
        <f t="shared" si="317"/>
        <v>#N/A</v>
      </c>
      <c r="U461" s="1034" t="e">
        <f t="shared" si="331"/>
        <v>#N/A</v>
      </c>
      <c r="V461" s="1165" t="e">
        <f t="shared" si="318"/>
        <v>#N/A</v>
      </c>
      <c r="W461" s="1034" t="e">
        <f t="shared" si="332"/>
        <v>#N/A</v>
      </c>
      <c r="X461" s="1034" t="b">
        <f t="shared" si="333"/>
        <v>0</v>
      </c>
      <c r="Y461" s="1034">
        <f t="shared" si="334"/>
        <v>0</v>
      </c>
      <c r="Z461" s="1034">
        <f t="shared" si="335"/>
        <v>0</v>
      </c>
      <c r="AA461" s="1034">
        <f t="shared" si="319"/>
        <v>0</v>
      </c>
      <c r="AB461" s="1034">
        <f t="shared" si="320"/>
        <v>0</v>
      </c>
      <c r="AC461" s="1033">
        <f t="shared" si="336"/>
        <v>0</v>
      </c>
      <c r="AD461" s="1266">
        <f t="shared" si="321"/>
        <v>0</v>
      </c>
      <c r="AE461" s="1093">
        <f t="shared" si="337"/>
        <v>0</v>
      </c>
      <c r="AF461" s="1093">
        <f t="shared" si="338"/>
        <v>0</v>
      </c>
      <c r="AG461" s="1093">
        <f t="shared" si="322"/>
        <v>0</v>
      </c>
      <c r="AH461" s="1033" t="e">
        <f t="shared" si="323"/>
        <v>#DIV/0!</v>
      </c>
      <c r="AI461" s="1091">
        <f t="shared" si="324"/>
        <v>0</v>
      </c>
      <c r="AJ461" s="1094">
        <f t="shared" si="325"/>
        <v>0</v>
      </c>
      <c r="AK461" s="1053" t="str">
        <f t="shared" si="326"/>
        <v/>
      </c>
      <c r="AL461" s="1053"/>
      <c r="AM461" s="1290">
        <f>_xlfn.XLOOKUP(F461,Proveedores!A:A,Proveedores!G:G)</f>
        <v>0</v>
      </c>
      <c r="AN461" s="1095" t="str">
        <f t="shared" si="339"/>
        <v>OK</v>
      </c>
    </row>
    <row r="462" spans="1:40" ht="15.95">
      <c r="A462" s="1090" t="b">
        <f t="shared" si="314"/>
        <v>1</v>
      </c>
      <c r="B462" s="1091" t="b">
        <f t="shared" si="327"/>
        <v>1</v>
      </c>
      <c r="C462" s="1092" t="str">
        <f t="shared" si="328"/>
        <v>Dólares</v>
      </c>
      <c r="D462" s="14"/>
      <c r="E462" s="743"/>
      <c r="F462" s="17"/>
      <c r="G462" s="17" t="str">
        <f t="shared" si="315"/>
        <v xml:space="preserve"> </v>
      </c>
      <c r="H462" s="12">
        <v>0</v>
      </c>
      <c r="I462" s="16" t="str">
        <f>IFERROR(VLOOKUP(G462,Proveedores!B:C,2,0)," ")</f>
        <v xml:space="preserve"> </v>
      </c>
      <c r="J462" s="745">
        <v>0</v>
      </c>
      <c r="K462" s="745" t="str">
        <f t="shared" si="316"/>
        <v>Not Found</v>
      </c>
      <c r="L462" s="16">
        <f>IF(K462="Importado",Fletes!$B$66,0%)</f>
        <v>0</v>
      </c>
      <c r="M462" s="745">
        <f t="shared" si="329"/>
        <v>0</v>
      </c>
      <c r="N462" s="16">
        <f>IF(K462&lt;&gt;"Importado",0%,IF(Fletes!$B$67&lt;10,15%,IF(Fletes!$B$67&lt;20,10%,5%)))</f>
        <v>0</v>
      </c>
      <c r="O462" s="745" t="str">
        <f>IFERROR(IF(OR(F462="Offiho",F462="Lauco Sofas",F462="Requiez",F462="Labenze",F462="Sunon Mty",F462="Sonara"),(M462*(1-_xlfn.XLOOKUP(F462,Proveedores!A:A,Proveedores!I:I)))*(1+N462),((M462*(1-_xlfn.XLOOKUP(F462,Proveedores!A:A,Proveedores!I:I)))*(1+N462))+U462),"")</f>
        <v/>
      </c>
      <c r="P462" s="1031"/>
      <c r="Q462" s="1133">
        <f>IF(K462&lt;&gt;"Importado",0,IF(P462&gt;0,P462*H462,IFERROR(_xlfn.XLOOKUP(F462,Proveedores!A:A,Proveedores!F:F,0)*H462,0)))</f>
        <v>0</v>
      </c>
      <c r="R462" s="1134" t="e">
        <f t="shared" si="330"/>
        <v>#VALUE!</v>
      </c>
      <c r="S462" s="743"/>
      <c r="T462" s="1034" t="e">
        <f t="shared" si="317"/>
        <v>#N/A</v>
      </c>
      <c r="U462" s="1034" t="e">
        <f t="shared" si="331"/>
        <v>#N/A</v>
      </c>
      <c r="V462" s="1165" t="e">
        <f t="shared" si="318"/>
        <v>#N/A</v>
      </c>
      <c r="W462" s="1034" t="e">
        <f t="shared" si="332"/>
        <v>#N/A</v>
      </c>
      <c r="X462" s="1034" t="b">
        <f t="shared" si="333"/>
        <v>0</v>
      </c>
      <c r="Y462" s="1034">
        <f t="shared" si="334"/>
        <v>0</v>
      </c>
      <c r="Z462" s="1034">
        <f t="shared" si="335"/>
        <v>0</v>
      </c>
      <c r="AA462" s="1034">
        <f t="shared" si="319"/>
        <v>0</v>
      </c>
      <c r="AB462" s="1034">
        <f t="shared" si="320"/>
        <v>0</v>
      </c>
      <c r="AC462" s="1033">
        <f t="shared" si="336"/>
        <v>0</v>
      </c>
      <c r="AD462" s="1266">
        <f t="shared" si="321"/>
        <v>0</v>
      </c>
      <c r="AE462" s="1093">
        <f t="shared" si="337"/>
        <v>0</v>
      </c>
      <c r="AF462" s="1093">
        <f t="shared" si="338"/>
        <v>0</v>
      </c>
      <c r="AG462" s="1093">
        <f t="shared" si="322"/>
        <v>0</v>
      </c>
      <c r="AH462" s="1033" t="e">
        <f t="shared" si="323"/>
        <v>#DIV/0!</v>
      </c>
      <c r="AI462" s="1091">
        <f t="shared" si="324"/>
        <v>0</v>
      </c>
      <c r="AJ462" s="1094">
        <f t="shared" si="325"/>
        <v>0</v>
      </c>
      <c r="AK462" s="1053" t="str">
        <f t="shared" si="326"/>
        <v/>
      </c>
      <c r="AL462" s="1053"/>
      <c r="AM462" s="1290">
        <f>_xlfn.XLOOKUP(F462,Proveedores!A:A,Proveedores!G:G)</f>
        <v>0</v>
      </c>
      <c r="AN462" s="1095" t="str">
        <f t="shared" si="339"/>
        <v>OK</v>
      </c>
    </row>
    <row r="463" spans="1:40" ht="15.95">
      <c r="A463" s="1090" t="b">
        <f t="shared" si="314"/>
        <v>1</v>
      </c>
      <c r="B463" s="1091" t="b">
        <f t="shared" si="327"/>
        <v>1</v>
      </c>
      <c r="C463" s="1092" t="str">
        <f t="shared" si="328"/>
        <v>Dólares</v>
      </c>
      <c r="D463" s="14"/>
      <c r="E463" s="743"/>
      <c r="F463" s="17"/>
      <c r="G463" s="17" t="str">
        <f t="shared" si="315"/>
        <v xml:space="preserve"> </v>
      </c>
      <c r="H463" s="12">
        <v>0</v>
      </c>
      <c r="I463" s="16" t="str">
        <f>IFERROR(VLOOKUP(G463,Proveedores!B:C,2,0)," ")</f>
        <v xml:space="preserve"> </v>
      </c>
      <c r="J463" s="745">
        <v>0</v>
      </c>
      <c r="K463" s="745" t="str">
        <f t="shared" si="316"/>
        <v>Not Found</v>
      </c>
      <c r="L463" s="16">
        <f>IF(K463="Importado",Fletes!$B$66,0%)</f>
        <v>0</v>
      </c>
      <c r="M463" s="745">
        <f t="shared" si="329"/>
        <v>0</v>
      </c>
      <c r="N463" s="16">
        <f>IF(K463&lt;&gt;"Importado",0%,IF(Fletes!$B$67&lt;10,15%,IF(Fletes!$B$67&lt;20,10%,5%)))</f>
        <v>0</v>
      </c>
      <c r="O463" s="745" t="str">
        <f>IFERROR(IF(OR(F463="Offiho",F463="Lauco Sofas",F463="Requiez",F463="Labenze",F463="Sunon Mty",F463="Sonara"),(M463*(1-_xlfn.XLOOKUP(F463,Proveedores!A:A,Proveedores!I:I)))*(1+N463),((M463*(1-_xlfn.XLOOKUP(F463,Proveedores!A:A,Proveedores!I:I)))*(1+N463))+U463),"")</f>
        <v/>
      </c>
      <c r="P463" s="1031"/>
      <c r="Q463" s="1133">
        <f>IF(K463&lt;&gt;"Importado",0,IF(P463&gt;0,P463*H463,IFERROR(_xlfn.XLOOKUP(F463,Proveedores!A:A,Proveedores!F:F,0)*H463,0)))</f>
        <v>0</v>
      </c>
      <c r="R463" s="1134" t="e">
        <f t="shared" si="330"/>
        <v>#VALUE!</v>
      </c>
      <c r="S463" s="743"/>
      <c r="T463" s="1034" t="e">
        <f t="shared" si="317"/>
        <v>#N/A</v>
      </c>
      <c r="U463" s="1034" t="e">
        <f t="shared" si="331"/>
        <v>#N/A</v>
      </c>
      <c r="V463" s="1165" t="e">
        <f t="shared" si="318"/>
        <v>#N/A</v>
      </c>
      <c r="W463" s="1034" t="e">
        <f t="shared" si="332"/>
        <v>#N/A</v>
      </c>
      <c r="X463" s="1034" t="b">
        <f t="shared" si="333"/>
        <v>0</v>
      </c>
      <c r="Y463" s="1034">
        <f t="shared" si="334"/>
        <v>0</v>
      </c>
      <c r="Z463" s="1034">
        <f t="shared" si="335"/>
        <v>0</v>
      </c>
      <c r="AA463" s="1034">
        <f t="shared" si="319"/>
        <v>0</v>
      </c>
      <c r="AB463" s="1034">
        <f t="shared" si="320"/>
        <v>0</v>
      </c>
      <c r="AC463" s="1033">
        <f t="shared" si="336"/>
        <v>0</v>
      </c>
      <c r="AD463" s="1266">
        <f t="shared" si="321"/>
        <v>0</v>
      </c>
      <c r="AE463" s="1093">
        <f t="shared" si="337"/>
        <v>0</v>
      </c>
      <c r="AF463" s="1093">
        <f t="shared" si="338"/>
        <v>0</v>
      </c>
      <c r="AG463" s="1093">
        <f t="shared" si="322"/>
        <v>0</v>
      </c>
      <c r="AH463" s="1033" t="e">
        <f t="shared" si="323"/>
        <v>#DIV/0!</v>
      </c>
      <c r="AI463" s="1091">
        <f t="shared" si="324"/>
        <v>0</v>
      </c>
      <c r="AJ463" s="1094">
        <f t="shared" si="325"/>
        <v>0</v>
      </c>
      <c r="AK463" s="1053" t="str">
        <f t="shared" si="326"/>
        <v/>
      </c>
      <c r="AL463" s="1053"/>
      <c r="AM463" s="1290">
        <f>_xlfn.XLOOKUP(F463,Proveedores!A:A,Proveedores!G:G)</f>
        <v>0</v>
      </c>
      <c r="AN463" s="1095" t="str">
        <f t="shared" si="339"/>
        <v>OK</v>
      </c>
    </row>
    <row r="464" spans="1:40" ht="15.95">
      <c r="A464" s="1090" t="b">
        <f t="shared" si="314"/>
        <v>1</v>
      </c>
      <c r="B464" s="1091" t="b">
        <f t="shared" si="327"/>
        <v>1</v>
      </c>
      <c r="C464" s="1092" t="str">
        <f t="shared" si="328"/>
        <v>Dólares</v>
      </c>
      <c r="D464" s="14"/>
      <c r="E464" s="743"/>
      <c r="F464" s="17"/>
      <c r="G464" s="17" t="str">
        <f t="shared" si="315"/>
        <v xml:space="preserve"> </v>
      </c>
      <c r="H464" s="12">
        <v>0</v>
      </c>
      <c r="I464" s="16" t="str">
        <f>IFERROR(VLOOKUP(G464,Proveedores!B:C,2,0)," ")</f>
        <v xml:space="preserve"> </v>
      </c>
      <c r="J464" s="745">
        <v>0</v>
      </c>
      <c r="K464" s="745" t="str">
        <f t="shared" si="316"/>
        <v>Not Found</v>
      </c>
      <c r="L464" s="16">
        <f>IF(K464="Importado",Fletes!$B$66,0%)</f>
        <v>0</v>
      </c>
      <c r="M464" s="745">
        <f t="shared" si="329"/>
        <v>0</v>
      </c>
      <c r="N464" s="16">
        <f>IF(K464&lt;&gt;"Importado",0%,IF(Fletes!$B$67&lt;10,15%,IF(Fletes!$B$67&lt;20,10%,5%)))</f>
        <v>0</v>
      </c>
      <c r="O464" s="745" t="str">
        <f>IFERROR(IF(OR(F464="Offiho",F464="Lauco Sofas",F464="Requiez",F464="Labenze",F464="Sunon Mty",F464="Sonara"),(M464*(1-_xlfn.XLOOKUP(F464,Proveedores!A:A,Proveedores!I:I)))*(1+N464),((M464*(1-_xlfn.XLOOKUP(F464,Proveedores!A:A,Proveedores!I:I)))*(1+N464))+U464),"")</f>
        <v/>
      </c>
      <c r="P464" s="1031"/>
      <c r="Q464" s="1133">
        <f>IF(K464&lt;&gt;"Importado",0,IF(P464&gt;0,P464*H464,IFERROR(_xlfn.XLOOKUP(F464,Proveedores!A:A,Proveedores!F:F,0)*H464,0)))</f>
        <v>0</v>
      </c>
      <c r="R464" s="1134" t="e">
        <f t="shared" si="330"/>
        <v>#VALUE!</v>
      </c>
      <c r="S464" s="743"/>
      <c r="T464" s="1034" t="e">
        <f t="shared" si="317"/>
        <v>#N/A</v>
      </c>
      <c r="U464" s="1034" t="e">
        <f t="shared" si="331"/>
        <v>#N/A</v>
      </c>
      <c r="V464" s="1165" t="e">
        <f t="shared" si="318"/>
        <v>#N/A</v>
      </c>
      <c r="W464" s="1034" t="e">
        <f t="shared" si="332"/>
        <v>#N/A</v>
      </c>
      <c r="X464" s="1034" t="b">
        <f t="shared" si="333"/>
        <v>0</v>
      </c>
      <c r="Y464" s="1034">
        <f t="shared" si="334"/>
        <v>0</v>
      </c>
      <c r="Z464" s="1034">
        <f t="shared" si="335"/>
        <v>0</v>
      </c>
      <c r="AA464" s="1034">
        <f t="shared" si="319"/>
        <v>0</v>
      </c>
      <c r="AB464" s="1034">
        <f t="shared" si="320"/>
        <v>0</v>
      </c>
      <c r="AC464" s="1033">
        <f t="shared" si="336"/>
        <v>0</v>
      </c>
      <c r="AD464" s="1266">
        <f t="shared" si="321"/>
        <v>0</v>
      </c>
      <c r="AE464" s="1093">
        <f t="shared" si="337"/>
        <v>0</v>
      </c>
      <c r="AF464" s="1093">
        <f t="shared" si="338"/>
        <v>0</v>
      </c>
      <c r="AG464" s="1093">
        <f t="shared" si="322"/>
        <v>0</v>
      </c>
      <c r="AH464" s="1033" t="e">
        <f t="shared" si="323"/>
        <v>#DIV/0!</v>
      </c>
      <c r="AI464" s="1091">
        <f t="shared" si="324"/>
        <v>0</v>
      </c>
      <c r="AJ464" s="1094">
        <f t="shared" si="325"/>
        <v>0</v>
      </c>
      <c r="AK464" s="1053" t="str">
        <f t="shared" si="326"/>
        <v/>
      </c>
      <c r="AL464" s="1053"/>
      <c r="AM464" s="1290">
        <f>_xlfn.XLOOKUP(F464,Proveedores!A:A,Proveedores!G:G)</f>
        <v>0</v>
      </c>
      <c r="AN464" s="1095" t="str">
        <f t="shared" si="339"/>
        <v>OK</v>
      </c>
    </row>
    <row r="465" spans="1:40" ht="15.95">
      <c r="A465" s="1090" t="b">
        <f t="shared" si="314"/>
        <v>1</v>
      </c>
      <c r="B465" s="1091" t="b">
        <f t="shared" si="327"/>
        <v>1</v>
      </c>
      <c r="C465" s="1092" t="str">
        <f t="shared" si="328"/>
        <v>Dólares</v>
      </c>
      <c r="D465" s="14"/>
      <c r="E465" s="743"/>
      <c r="F465" s="17"/>
      <c r="G465" s="17" t="str">
        <f t="shared" si="315"/>
        <v xml:space="preserve"> </v>
      </c>
      <c r="H465" s="12">
        <v>0</v>
      </c>
      <c r="I465" s="16" t="str">
        <f>IFERROR(VLOOKUP(G465,Proveedores!B:C,2,0)," ")</f>
        <v xml:space="preserve"> </v>
      </c>
      <c r="J465" s="745">
        <v>0</v>
      </c>
      <c r="K465" s="745" t="str">
        <f t="shared" si="316"/>
        <v>Not Found</v>
      </c>
      <c r="L465" s="16">
        <f>IF(K465="Importado",Fletes!$B$66,0%)</f>
        <v>0</v>
      </c>
      <c r="M465" s="745">
        <f t="shared" si="329"/>
        <v>0</v>
      </c>
      <c r="N465" s="16">
        <f>IF(K465&lt;&gt;"Importado",0%,IF(Fletes!$B$67&lt;10,15%,IF(Fletes!$B$67&lt;20,10%,5%)))</f>
        <v>0</v>
      </c>
      <c r="O465" s="745" t="str">
        <f>IFERROR(IF(OR(F465="Offiho",F465="Lauco Sofas",F465="Requiez",F465="Labenze",F465="Sunon Mty",F465="Sonara"),(M465*(1-_xlfn.XLOOKUP(F465,Proveedores!A:A,Proveedores!I:I)))*(1+N465),((M465*(1-_xlfn.XLOOKUP(F465,Proveedores!A:A,Proveedores!I:I)))*(1+N465))+U465),"")</f>
        <v/>
      </c>
      <c r="P465" s="1031"/>
      <c r="Q465" s="1133">
        <f>IF(K465&lt;&gt;"Importado",0,IF(P465&gt;0,P465*H465,IFERROR(_xlfn.XLOOKUP(F465,Proveedores!A:A,Proveedores!F:F,0)*H465,0)))</f>
        <v>0</v>
      </c>
      <c r="R465" s="1134" t="e">
        <f t="shared" si="330"/>
        <v>#VALUE!</v>
      </c>
      <c r="S465" s="743"/>
      <c r="T465" s="1034" t="e">
        <f t="shared" si="317"/>
        <v>#N/A</v>
      </c>
      <c r="U465" s="1034" t="e">
        <f t="shared" si="331"/>
        <v>#N/A</v>
      </c>
      <c r="V465" s="1165" t="e">
        <f t="shared" si="318"/>
        <v>#N/A</v>
      </c>
      <c r="W465" s="1034" t="e">
        <f t="shared" si="332"/>
        <v>#N/A</v>
      </c>
      <c r="X465" s="1034" t="b">
        <f t="shared" si="333"/>
        <v>0</v>
      </c>
      <c r="Y465" s="1034">
        <f t="shared" si="334"/>
        <v>0</v>
      </c>
      <c r="Z465" s="1034">
        <f t="shared" si="335"/>
        <v>0</v>
      </c>
      <c r="AA465" s="1034">
        <f t="shared" si="319"/>
        <v>0</v>
      </c>
      <c r="AB465" s="1034">
        <f t="shared" si="320"/>
        <v>0</v>
      </c>
      <c r="AC465" s="1033">
        <f t="shared" si="336"/>
        <v>0</v>
      </c>
      <c r="AD465" s="1266">
        <f t="shared" si="321"/>
        <v>0</v>
      </c>
      <c r="AE465" s="1093">
        <f t="shared" si="337"/>
        <v>0</v>
      </c>
      <c r="AF465" s="1093">
        <f t="shared" si="338"/>
        <v>0</v>
      </c>
      <c r="AG465" s="1093">
        <f t="shared" si="322"/>
        <v>0</v>
      </c>
      <c r="AH465" s="1033" t="e">
        <f t="shared" si="323"/>
        <v>#DIV/0!</v>
      </c>
      <c r="AI465" s="1091">
        <f t="shared" si="324"/>
        <v>0</v>
      </c>
      <c r="AJ465" s="1094">
        <f t="shared" si="325"/>
        <v>0</v>
      </c>
      <c r="AK465" s="1053" t="str">
        <f t="shared" si="326"/>
        <v/>
      </c>
      <c r="AL465" s="1053"/>
      <c r="AM465" s="1290">
        <f>_xlfn.XLOOKUP(F465,Proveedores!A:A,Proveedores!G:G)</f>
        <v>0</v>
      </c>
      <c r="AN465" s="1095" t="str">
        <f t="shared" si="339"/>
        <v>OK</v>
      </c>
    </row>
    <row r="466" spans="1:40" ht="15.95">
      <c r="A466" s="1090" t="b">
        <f t="shared" si="314"/>
        <v>1</v>
      </c>
      <c r="B466" s="1091" t="b">
        <f t="shared" si="327"/>
        <v>1</v>
      </c>
      <c r="C466" s="1092" t="str">
        <f t="shared" si="328"/>
        <v>Dólares</v>
      </c>
      <c r="D466" s="14"/>
      <c r="E466" s="743"/>
      <c r="F466" s="17"/>
      <c r="G466" s="17" t="str">
        <f t="shared" si="315"/>
        <v xml:space="preserve"> </v>
      </c>
      <c r="H466" s="12">
        <v>0</v>
      </c>
      <c r="I466" s="16" t="str">
        <f>IFERROR(VLOOKUP(G466,Proveedores!B:C,2,0)," ")</f>
        <v xml:space="preserve"> </v>
      </c>
      <c r="J466" s="745">
        <v>0</v>
      </c>
      <c r="K466" s="745" t="str">
        <f t="shared" si="316"/>
        <v>Not Found</v>
      </c>
      <c r="L466" s="16">
        <f>IF(K466="Importado",Fletes!$B$66,0%)</f>
        <v>0</v>
      </c>
      <c r="M466" s="745">
        <f t="shared" si="329"/>
        <v>0</v>
      </c>
      <c r="N466" s="16">
        <f>IF(K466&lt;&gt;"Importado",0%,IF(Fletes!$B$67&lt;10,15%,IF(Fletes!$B$67&lt;20,10%,5%)))</f>
        <v>0</v>
      </c>
      <c r="O466" s="745" t="str">
        <f>IFERROR(IF(OR(F466="Offiho",F466="Lauco Sofas",F466="Requiez",F466="Labenze",F466="Sunon Mty",F466="Sonara"),(M466*(1-_xlfn.XLOOKUP(F466,Proveedores!A:A,Proveedores!I:I)))*(1+N466),((M466*(1-_xlfn.XLOOKUP(F466,Proveedores!A:A,Proveedores!I:I)))*(1+N466))+U466),"")</f>
        <v/>
      </c>
      <c r="P466" s="1031"/>
      <c r="Q466" s="1133">
        <f>IF(K466&lt;&gt;"Importado",0,IF(P466&gt;0,P466*H466,IFERROR(_xlfn.XLOOKUP(F466,Proveedores!A:A,Proveedores!F:F,0)*H466,0)))</f>
        <v>0</v>
      </c>
      <c r="R466" s="1134" t="e">
        <f t="shared" si="330"/>
        <v>#VALUE!</v>
      </c>
      <c r="S466" s="743"/>
      <c r="T466" s="1034" t="e">
        <f t="shared" si="317"/>
        <v>#N/A</v>
      </c>
      <c r="U466" s="1034" t="e">
        <f t="shared" si="331"/>
        <v>#N/A</v>
      </c>
      <c r="V466" s="1165" t="e">
        <f t="shared" si="318"/>
        <v>#N/A</v>
      </c>
      <c r="W466" s="1034" t="e">
        <f t="shared" si="332"/>
        <v>#N/A</v>
      </c>
      <c r="X466" s="1034" t="b">
        <f t="shared" si="333"/>
        <v>0</v>
      </c>
      <c r="Y466" s="1034">
        <f t="shared" si="334"/>
        <v>0</v>
      </c>
      <c r="Z466" s="1034">
        <f t="shared" si="335"/>
        <v>0</v>
      </c>
      <c r="AA466" s="1034">
        <f t="shared" si="319"/>
        <v>0</v>
      </c>
      <c r="AB466" s="1034">
        <f t="shared" si="320"/>
        <v>0</v>
      </c>
      <c r="AC466" s="1033">
        <f t="shared" si="336"/>
        <v>0</v>
      </c>
      <c r="AD466" s="1266">
        <f t="shared" si="321"/>
        <v>0</v>
      </c>
      <c r="AE466" s="1093">
        <f t="shared" si="337"/>
        <v>0</v>
      </c>
      <c r="AF466" s="1093">
        <f t="shared" si="338"/>
        <v>0</v>
      </c>
      <c r="AG466" s="1093">
        <f t="shared" si="322"/>
        <v>0</v>
      </c>
      <c r="AH466" s="1033" t="e">
        <f t="shared" si="323"/>
        <v>#DIV/0!</v>
      </c>
      <c r="AI466" s="1091">
        <f t="shared" si="324"/>
        <v>0</v>
      </c>
      <c r="AJ466" s="1094">
        <f t="shared" si="325"/>
        <v>0</v>
      </c>
      <c r="AK466" s="1053" t="str">
        <f t="shared" si="326"/>
        <v/>
      </c>
      <c r="AL466" s="1053"/>
      <c r="AM466" s="1290">
        <f>_xlfn.XLOOKUP(F466,Proveedores!A:A,Proveedores!G:G)</f>
        <v>0</v>
      </c>
      <c r="AN466" s="1095" t="str">
        <f t="shared" si="339"/>
        <v>OK</v>
      </c>
    </row>
    <row r="467" spans="1:40" ht="15.95">
      <c r="A467" s="1090" t="b">
        <f t="shared" si="314"/>
        <v>1</v>
      </c>
      <c r="B467" s="1091" t="b">
        <f t="shared" si="327"/>
        <v>1</v>
      </c>
      <c r="C467" s="1092" t="str">
        <f t="shared" si="328"/>
        <v>Dólares</v>
      </c>
      <c r="D467" s="14"/>
      <c r="E467" s="743"/>
      <c r="F467" s="17"/>
      <c r="G467" s="17" t="str">
        <f t="shared" si="315"/>
        <v xml:space="preserve"> </v>
      </c>
      <c r="H467" s="12">
        <v>0</v>
      </c>
      <c r="I467" s="16" t="str">
        <f>IFERROR(VLOOKUP(G467,Proveedores!B:C,2,0)," ")</f>
        <v xml:space="preserve"> </v>
      </c>
      <c r="J467" s="745">
        <v>0</v>
      </c>
      <c r="K467" s="745" t="str">
        <f t="shared" si="316"/>
        <v>Not Found</v>
      </c>
      <c r="L467" s="16">
        <f>IF(K467="Importado",Fletes!$B$66,0%)</f>
        <v>0</v>
      </c>
      <c r="M467" s="745">
        <f t="shared" si="329"/>
        <v>0</v>
      </c>
      <c r="N467" s="16">
        <f>IF(K467&lt;&gt;"Importado",0%,IF(Fletes!$B$67&lt;10,15%,IF(Fletes!$B$67&lt;20,10%,5%)))</f>
        <v>0</v>
      </c>
      <c r="O467" s="745" t="str">
        <f>IFERROR(IF(OR(F467="Offiho",F467="Lauco Sofas",F467="Requiez",F467="Labenze",F467="Sunon Mty",F467="Sonara"),(M467*(1-_xlfn.XLOOKUP(F467,Proveedores!A:A,Proveedores!I:I)))*(1+N467),((M467*(1-_xlfn.XLOOKUP(F467,Proveedores!A:A,Proveedores!I:I)))*(1+N467))+U467),"")</f>
        <v/>
      </c>
      <c r="P467" s="1031"/>
      <c r="Q467" s="1133">
        <f>IF(K467&lt;&gt;"Importado",0,IF(P467&gt;0,P467*H467,IFERROR(_xlfn.XLOOKUP(F467,Proveedores!A:A,Proveedores!F:F,0)*H467,0)))</f>
        <v>0</v>
      </c>
      <c r="R467" s="1134" t="e">
        <f t="shared" si="330"/>
        <v>#VALUE!</v>
      </c>
      <c r="S467" s="743"/>
      <c r="T467" s="1034" t="e">
        <f t="shared" si="317"/>
        <v>#N/A</v>
      </c>
      <c r="U467" s="1034" t="e">
        <f t="shared" si="331"/>
        <v>#N/A</v>
      </c>
      <c r="V467" s="1165" t="e">
        <f t="shared" si="318"/>
        <v>#N/A</v>
      </c>
      <c r="W467" s="1034" t="e">
        <f t="shared" si="332"/>
        <v>#N/A</v>
      </c>
      <c r="X467" s="1034" t="b">
        <f t="shared" si="333"/>
        <v>0</v>
      </c>
      <c r="Y467" s="1034">
        <f t="shared" si="334"/>
        <v>0</v>
      </c>
      <c r="Z467" s="1034">
        <f t="shared" si="335"/>
        <v>0</v>
      </c>
      <c r="AA467" s="1034">
        <f t="shared" si="319"/>
        <v>0</v>
      </c>
      <c r="AB467" s="1034">
        <f t="shared" si="320"/>
        <v>0</v>
      </c>
      <c r="AC467" s="1033">
        <f t="shared" si="336"/>
        <v>0</v>
      </c>
      <c r="AD467" s="1266">
        <f t="shared" si="321"/>
        <v>0</v>
      </c>
      <c r="AE467" s="1093">
        <f t="shared" si="337"/>
        <v>0</v>
      </c>
      <c r="AF467" s="1093">
        <f t="shared" si="338"/>
        <v>0</v>
      </c>
      <c r="AG467" s="1093">
        <f t="shared" si="322"/>
        <v>0</v>
      </c>
      <c r="AH467" s="1033" t="str">
        <f t="shared" si="323"/>
        <v>NA</v>
      </c>
      <c r="AI467" s="1091">
        <f t="shared" si="324"/>
        <v>0</v>
      </c>
      <c r="AJ467" s="1094">
        <f t="shared" si="325"/>
        <v>0</v>
      </c>
      <c r="AK467" s="1053" t="str">
        <f t="shared" si="326"/>
        <v/>
      </c>
      <c r="AL467" s="1053"/>
      <c r="AM467" s="1290">
        <f>_xlfn.XLOOKUP(F467,Proveedores!A:A,Proveedores!G:G)</f>
        <v>0</v>
      </c>
      <c r="AN467" s="1095" t="str">
        <f t="shared" si="339"/>
        <v>OK</v>
      </c>
    </row>
    <row r="468" spans="1:40" ht="24" customHeight="1">
      <c r="A468" s="1375" t="s">
        <v>151</v>
      </c>
      <c r="B468" s="1375"/>
      <c r="C468" s="1375"/>
      <c r="D468" s="1375"/>
      <c r="E468" s="1375"/>
      <c r="F468" s="1375"/>
      <c r="G468" s="1098"/>
      <c r="H468" s="1100" cm="1">
        <f t="array" ref="H468">SUM(IFERROR(H435:H467,0))</f>
        <v>0</v>
      </c>
      <c r="I468" s="1098"/>
      <c r="J468" s="1098"/>
      <c r="K468" s="1098"/>
      <c r="L468" s="1098"/>
      <c r="M468" s="1098"/>
      <c r="N468" s="1098"/>
      <c r="O468" s="1098"/>
      <c r="P468" s="1102"/>
      <c r="Q468" s="1100" cm="1">
        <f t="array" ref="Q468">SUM(IFERROR(Q435:Q467,0))</f>
        <v>0</v>
      </c>
      <c r="R468" s="1103" cm="1">
        <f t="array" ref="R468">SUM(IFERROR(R435:R467,0))</f>
        <v>0</v>
      </c>
      <c r="S468" s="1104"/>
      <c r="T468" s="1104"/>
      <c r="U468" s="1104"/>
      <c r="V468" s="1104"/>
      <c r="W468" s="1104"/>
      <c r="X468" s="1104"/>
      <c r="Y468" s="1102"/>
      <c r="Z468" s="1102"/>
      <c r="AA468" s="1102"/>
      <c r="AB468" s="1103" cm="1">
        <f t="array" ref="AB468">SUM(IFERROR(AB435:AB467,0))</f>
        <v>0</v>
      </c>
      <c r="AC468" s="1104" t="s">
        <v>127</v>
      </c>
      <c r="AD468" s="1104"/>
      <c r="AE468" s="1104"/>
      <c r="AF468" s="1104"/>
      <c r="AG468" s="1103" cm="1">
        <f t="array" ref="AG468">SUM(IFERROR(AG435:AG467,0))</f>
        <v>0</v>
      </c>
      <c r="AH468" s="1103"/>
      <c r="AI468" s="1103"/>
      <c r="AJ468" s="1103" cm="1">
        <f t="array" ref="AJ468">SUM(IFERROR(AJ435:AJ467,0))</f>
        <v>0</v>
      </c>
      <c r="AK468" s="1054" cm="1">
        <f t="array" ref="AK468">IFERROR(SUMPRODUCT(IFERROR(AG435:AG467,0),IFERROR(AK435:AK467,0))/SUMPRODUCT(IFERROR(AG435:AG467,0)),0)</f>
        <v>0</v>
      </c>
      <c r="AL468" s="1288"/>
      <c r="AM468" s="1288"/>
      <c r="AN468"/>
    </row>
    <row r="469" spans="1:40" ht="26.1" customHeight="1">
      <c r="A469" s="1397" t="s">
        <v>152</v>
      </c>
      <c r="B469" s="1397"/>
      <c r="C469" s="1397"/>
      <c r="D469" s="1397"/>
      <c r="E469" s="1397"/>
      <c r="F469" s="1397"/>
      <c r="G469" s="1397"/>
      <c r="H469" s="1397"/>
      <c r="I469" s="1397"/>
      <c r="J469" s="1398"/>
      <c r="K469" s="1160"/>
      <c r="L469" s="1160"/>
      <c r="M469" s="1160"/>
      <c r="N469" s="1160"/>
      <c r="O469" s="1160"/>
      <c r="P469" s="1088"/>
      <c r="Q469" s="1088"/>
      <c r="R469" s="1088"/>
      <c r="S469" s="1087"/>
      <c r="T469" s="1087"/>
      <c r="U469" s="1087"/>
      <c r="V469" s="1087"/>
      <c r="W469" s="1087"/>
      <c r="X469" s="1087"/>
      <c r="Y469" s="1055"/>
      <c r="Z469" s="1055"/>
      <c r="AA469" s="1055"/>
      <c r="AB469" s="1055"/>
      <c r="AC469" s="1055"/>
      <c r="AD469" s="1087"/>
      <c r="AE469" s="1087"/>
      <c r="AF469" s="1087"/>
      <c r="AG469" s="1087"/>
      <c r="AH469" s="1087"/>
      <c r="AI469" s="1087"/>
      <c r="AJ469" s="1087"/>
      <c r="AK469" s="1089"/>
      <c r="AL469" s="1287"/>
      <c r="AM469" s="1287"/>
      <c r="AN469"/>
    </row>
    <row r="470" spans="1:40" ht="15.95">
      <c r="A470" s="1090" t="b">
        <f t="shared" ref="A470:A502" si="340">$A$14</f>
        <v>1</v>
      </c>
      <c r="B470" s="1091" t="b">
        <f>A470</f>
        <v>1</v>
      </c>
      <c r="C470" s="1092" t="str">
        <f>$C$14</f>
        <v>Dólares</v>
      </c>
      <c r="D470" s="11"/>
      <c r="E470" s="743"/>
      <c r="F470" s="17"/>
      <c r="G470" s="17" t="str">
        <f t="shared" ref="G470:G502" si="341">IFERROR(VLOOKUP(F470,Tabla_Proveedores_1,2,0)," ")</f>
        <v xml:space="preserve"> </v>
      </c>
      <c r="H470" s="12">
        <v>0</v>
      </c>
      <c r="I470" s="16" t="str">
        <f>IFERROR(VLOOKUP(G470,Proveedores!B:C,2,0)," ")</f>
        <v xml:space="preserve"> </v>
      </c>
      <c r="J470" s="745">
        <v>0</v>
      </c>
      <c r="K470" s="745" t="str">
        <f t="shared" ref="K470:K502" si="342">IFERROR(VLOOKUP(TRIM(F470), ProveedoreS_TC, 5, FALSE), "Not Found")</f>
        <v>Not Found</v>
      </c>
      <c r="L470" s="16">
        <f>IF(K470="Importado",Fletes!$B$66,0%)</f>
        <v>0</v>
      </c>
      <c r="M470" s="745">
        <f>IF(K470="Importado",J470*(1+L470),J470*(1+L470))</f>
        <v>0</v>
      </c>
      <c r="N470" s="16">
        <f>IF(K470&lt;&gt;"Importado",0%,IF(Fletes!$B$67&lt;10,15%,IF(Fletes!$B$67&lt;20,10%,5%)))</f>
        <v>0</v>
      </c>
      <c r="O470" s="745" t="str">
        <f>IFERROR(IF(OR(F470="Offiho",F470="Lauco Sofas",F470="Requiez",F470="Labenze",F470="Sunon Mty",F470="Sonara"),(M470*(1-_xlfn.XLOOKUP(F470,Proveedores!A:A,Proveedores!I:I)))*(1+N470),((M470*(1-_xlfn.XLOOKUP(F470,Proveedores!A:A,Proveedores!I:I)))*(1+N470))+U470),"")</f>
        <v/>
      </c>
      <c r="P470" s="1031"/>
      <c r="Q470" s="1133">
        <f>IF(K470&lt;&gt;"Importado",0,IF(P470&gt;0,P470*H470,IFERROR(_xlfn.XLOOKUP(F470,Proveedores!A:A,Proveedores!F:F,0)*H470,0)))</f>
        <v>0</v>
      </c>
      <c r="R470" s="1134" t="e">
        <f>O470*H470</f>
        <v>#VALUE!</v>
      </c>
      <c r="S470" s="743"/>
      <c r="T470" s="1034" t="e">
        <f t="shared" ref="T470:T502" si="343">IF(H470&gt;15,0,VLOOKUP(E470,Tabla_Instalacion,2,FALSE))</f>
        <v>#N/A</v>
      </c>
      <c r="U470" s="1034" t="e">
        <f>X470/V470</f>
        <v>#N/A</v>
      </c>
      <c r="V470" s="1165" t="e">
        <f t="shared" ref="V470:V502" si="344">VLOOKUP(E470,Tabla_Factor,2,FALSE)</f>
        <v>#N/A</v>
      </c>
      <c r="W470" s="1034" t="e">
        <f>T470*V470</f>
        <v>#N/A</v>
      </c>
      <c r="X470" s="1034" t="b">
        <f>IF(S470="Occidente",W470,IF(S470="Norte",W470*1.5,IF(S470="Centro",W470*1.2,IF(S470="Sur",W470*1.7))))</f>
        <v>0</v>
      </c>
      <c r="Y470" s="1034">
        <f>ROUNDUP(IF(OR(F470="Offiho",F470="Lauco Sofas",F470="Requiez",F470="Labenze",F470="Sunon Mty",F470="Sonara",F470="Santeco"),J470,IF(K470="Nacional",O470/(1-30%),IF(K470="Importado",O470/(1-40%),IF(OR(F470="Lumbro",F470="Idelika"),O470/(1-20%))))),0)</f>
        <v>0</v>
      </c>
      <c r="Z470" s="1034">
        <f>ROUNDUP(IF(OR(F470="Offiho",F470="Lauco Sofas",F470="Requiez",F470="Labenze",F470="Sunon Mty",F470="Sonara",F470="Sonara"),Y470,IF($P$10="MIXTO",IF(K470="Nacional",Y470/(1-50%),Y470/(1-50%)),IF($P$10="IMPORTADO",Y470/(1-50%),IF($P$10="NACIONAL",Y470/(1-20%),Y470/(1-20%))))),0)</f>
        <v>0</v>
      </c>
      <c r="AA470" s="1034">
        <f t="shared" ref="AA470:AA502" si="345">IF(Z470&gt;=Y470,_xlfn.MINIFS($Z$15:$Z$572,$D$15:$D$572,D470),"NO SE ESTA RESPETANDO EL MARGEN")</f>
        <v>0</v>
      </c>
      <c r="AB470" s="1034">
        <f t="shared" ref="AB470:AB502" si="346">IFERROR(AA470*H470,0)</f>
        <v>0</v>
      </c>
      <c r="AC470" s="1033">
        <f>IF($P$10="IMPORTADO",50%,IF($P$10="NACIONAL",20%,IF($P$10="MIXTO",50%,0%)))</f>
        <v>0</v>
      </c>
      <c r="AD470" s="1266">
        <f t="shared" ref="AD470:AD502" si="347">IF(H470&gt;0,$E$5,0)</f>
        <v>0</v>
      </c>
      <c r="AE470" s="1093">
        <f>IFERROR(AA470*AD470,0)</f>
        <v>0</v>
      </c>
      <c r="AF470" s="1093">
        <f>IF($E$5&gt;$E$6,"ERROR",AA470-AE470)</f>
        <v>0</v>
      </c>
      <c r="AG470" s="1093">
        <f t="shared" ref="AG470:AG502" si="348">AF470*H470</f>
        <v>0</v>
      </c>
      <c r="AH470" s="1033" t="e">
        <f t="shared" ref="AH470:AH502" si="349">IF(A471=TRUE,MAX(0,1-(AI470/Z470)),"NA")</f>
        <v>#DIV/0!</v>
      </c>
      <c r="AI470" s="1091">
        <f t="shared" ref="AI470:AI502" si="350">IF(A469=FALSE,"NO APLICA",AF470*(1+$AI$8))</f>
        <v>0</v>
      </c>
      <c r="AJ470" s="1094">
        <f t="shared" ref="AJ470:AJ502" si="351">AI470*H470</f>
        <v>0</v>
      </c>
      <c r="AK470" s="1053" t="str">
        <f t="shared" ref="AK470:AK502" si="352">IFERROR(IF(OR(F470="Offiho",F470="Vandesk",F470="Requiez",F470="Labenze",F470="Idelika",F470="Sunon Mty"),(AG470-(J470*(1-I470)*H470))/AG470,(AG470-R470)/AG470),"")</f>
        <v/>
      </c>
      <c r="AL470" s="1053"/>
      <c r="AM470" s="1290">
        <f>_xlfn.XLOOKUP(F470,Proveedores!A:A,Proveedores!G:G)</f>
        <v>0</v>
      </c>
      <c r="AN470" s="1095" t="str">
        <f>IF(AK470&lt;AM470,"ERROR","OK")</f>
        <v>OK</v>
      </c>
    </row>
    <row r="471" spans="1:40" ht="15.95">
      <c r="A471" s="1090" t="b">
        <f t="shared" si="340"/>
        <v>1</v>
      </c>
      <c r="B471" s="1091" t="b">
        <f t="shared" ref="B471:B502" si="353">A471</f>
        <v>1</v>
      </c>
      <c r="C471" s="1092" t="str">
        <f t="shared" ref="C471:C502" si="354">$C$14</f>
        <v>Dólares</v>
      </c>
      <c r="D471" s="13"/>
      <c r="E471" s="743"/>
      <c r="F471" s="17"/>
      <c r="G471" s="17" t="str">
        <f t="shared" si="341"/>
        <v xml:space="preserve"> </v>
      </c>
      <c r="H471" s="12">
        <v>0</v>
      </c>
      <c r="I471" s="16" t="str">
        <f>IFERROR(VLOOKUP(G471,Proveedores!B:C,2,0)," ")</f>
        <v xml:space="preserve"> </v>
      </c>
      <c r="J471" s="745">
        <v>0</v>
      </c>
      <c r="K471" s="745" t="str">
        <f t="shared" si="342"/>
        <v>Not Found</v>
      </c>
      <c r="L471" s="16">
        <f>IF(K471="Importado",Fletes!$B$66,0%)</f>
        <v>0</v>
      </c>
      <c r="M471" s="745">
        <f t="shared" ref="M471:M502" si="355">IF(K471="Importado",J471*(1+L471),J471*(1+L471))</f>
        <v>0</v>
      </c>
      <c r="N471" s="16">
        <f>IF(K471&lt;&gt;"Importado",0%,IF(Fletes!$B$67&lt;10,15%,IF(Fletes!$B$67&lt;20,10%,5%)))</f>
        <v>0</v>
      </c>
      <c r="O471" s="745" t="str">
        <f>IFERROR(IF(OR(F471="Offiho",F471="Lauco Sofas",F471="Requiez",F471="Labenze",F471="Sunon Mty",F471="Sonara"),(M471*(1-_xlfn.XLOOKUP(F471,Proveedores!A:A,Proveedores!I:I)))*(1+N471),((M471*(1-_xlfn.XLOOKUP(F471,Proveedores!A:A,Proveedores!I:I)))*(1+N471))+U471),"")</f>
        <v/>
      </c>
      <c r="P471" s="1031"/>
      <c r="Q471" s="1133">
        <f>IF(K471&lt;&gt;"Importado",0,IF(P471&gt;0,P471*H471,IFERROR(_xlfn.XLOOKUP(F471,Proveedores!A:A,Proveedores!F:F,0)*H471,0)))</f>
        <v>0</v>
      </c>
      <c r="R471" s="1134" t="e">
        <f t="shared" ref="R471:R502" si="356">O471*H471</f>
        <v>#VALUE!</v>
      </c>
      <c r="S471" s="743"/>
      <c r="T471" s="1034" t="e">
        <f t="shared" si="343"/>
        <v>#N/A</v>
      </c>
      <c r="U471" s="1034" t="e">
        <f t="shared" ref="U471:U502" si="357">X471/V471</f>
        <v>#N/A</v>
      </c>
      <c r="V471" s="1165" t="e">
        <f t="shared" si="344"/>
        <v>#N/A</v>
      </c>
      <c r="W471" s="1034" t="e">
        <f t="shared" ref="W471:W502" si="358">T471*V471</f>
        <v>#N/A</v>
      </c>
      <c r="X471" s="1034" t="b">
        <f t="shared" ref="X471:X502" si="359">IF(S471="Occidente",W471,IF(S471="Norte",W471*1.5,IF(S471="Centro",W471*1.2,IF(S471="Sur",W471*1.7))))</f>
        <v>0</v>
      </c>
      <c r="Y471" s="1034">
        <f t="shared" ref="Y471:Y502" si="360">ROUNDUP(IF(OR(F471="Offiho",F471="Lauco Sofas",F471="Requiez",F471="Labenze",F471="Sunon Mty",F471="Sonara",F471="Santeco"),J471,IF(K471="Nacional",O471/(1-30%),IF(K471="Importado",O471/(1-40%),IF(OR(F471="Lumbro",F471="Idelika"),O471/(1-20%))))),0)</f>
        <v>0</v>
      </c>
      <c r="Z471" s="1034">
        <f t="shared" ref="Z471:Z502" si="361">ROUNDUP(IF(OR(F471="Offiho",F471="Lauco Sofas",F471="Requiez",F471="Labenze",F471="Sunon Mty",F471="Sonara",F471="Sonara"),Y471,IF($P$10="MIXTO",IF(K471="Nacional",Y471/(1-50%),Y471/(1-50%)),IF($P$10="IMPORTADO",Y471/(1-50%),IF($P$10="NACIONAL",Y471/(1-20%),Y471/(1-20%))))),0)</f>
        <v>0</v>
      </c>
      <c r="AA471" s="1034">
        <f t="shared" si="345"/>
        <v>0</v>
      </c>
      <c r="AB471" s="1034">
        <f t="shared" si="346"/>
        <v>0</v>
      </c>
      <c r="AC471" s="1033">
        <f t="shared" ref="AC471:AC502" si="362">IF($P$10="IMPORTADO",50%,IF($P$10="NACIONAL",20%,IF($P$10="MIXTO",50%,0%)))</f>
        <v>0</v>
      </c>
      <c r="AD471" s="1266">
        <f t="shared" si="347"/>
        <v>0</v>
      </c>
      <c r="AE471" s="1093">
        <f t="shared" ref="AE471:AE502" si="363">IFERROR(AA471*AD471,0)</f>
        <v>0</v>
      </c>
      <c r="AF471" s="1093">
        <f t="shared" ref="AF471:AF502" si="364">IF($E$5&gt;$E$6,"ERROR",AA471-AE471)</f>
        <v>0</v>
      </c>
      <c r="AG471" s="1093">
        <f t="shared" si="348"/>
        <v>0</v>
      </c>
      <c r="AH471" s="1033" t="e">
        <f t="shared" si="349"/>
        <v>#DIV/0!</v>
      </c>
      <c r="AI471" s="1091">
        <f t="shared" si="350"/>
        <v>0</v>
      </c>
      <c r="AJ471" s="1094">
        <f t="shared" si="351"/>
        <v>0</v>
      </c>
      <c r="AK471" s="1053" t="str">
        <f t="shared" si="352"/>
        <v/>
      </c>
      <c r="AL471" s="1053"/>
      <c r="AM471" s="1290">
        <f>_xlfn.XLOOKUP(F471,Proveedores!A:A,Proveedores!G:G)</f>
        <v>0</v>
      </c>
      <c r="AN471" s="1095" t="str">
        <f t="shared" ref="AN471:AN502" si="365">IF(AK471&lt;AM471,"ERROR","OK")</f>
        <v>OK</v>
      </c>
    </row>
    <row r="472" spans="1:40" ht="15.95">
      <c r="A472" s="1090" t="b">
        <f t="shared" si="340"/>
        <v>1</v>
      </c>
      <c r="B472" s="1091" t="b">
        <f t="shared" si="353"/>
        <v>1</v>
      </c>
      <c r="C472" s="1092" t="str">
        <f t="shared" si="354"/>
        <v>Dólares</v>
      </c>
      <c r="D472" s="13"/>
      <c r="E472" s="743"/>
      <c r="F472" s="17"/>
      <c r="G472" s="17" t="str">
        <f t="shared" si="341"/>
        <v xml:space="preserve"> </v>
      </c>
      <c r="H472" s="12">
        <v>0</v>
      </c>
      <c r="I472" s="16" t="str">
        <f>IFERROR(VLOOKUP(G472,Proveedores!B:C,2,0)," ")</f>
        <v xml:space="preserve"> </v>
      </c>
      <c r="J472" s="745">
        <v>0</v>
      </c>
      <c r="K472" s="745" t="str">
        <f t="shared" si="342"/>
        <v>Not Found</v>
      </c>
      <c r="L472" s="16">
        <f>IF(K472="Importado",Fletes!$B$66,0%)</f>
        <v>0</v>
      </c>
      <c r="M472" s="745">
        <f t="shared" si="355"/>
        <v>0</v>
      </c>
      <c r="N472" s="16">
        <f>IF(K472&lt;&gt;"Importado",0%,IF(Fletes!$B$67&lt;10,15%,IF(Fletes!$B$67&lt;20,10%,5%)))</f>
        <v>0</v>
      </c>
      <c r="O472" s="745" t="str">
        <f>IFERROR(IF(OR(F472="Offiho",F472="Lauco Sofas",F472="Requiez",F472="Labenze",F472="Sunon Mty",F472="Sonara"),(M472*(1-_xlfn.XLOOKUP(F472,Proveedores!A:A,Proveedores!I:I)))*(1+N472),((M472*(1-_xlfn.XLOOKUP(F472,Proveedores!A:A,Proveedores!I:I)))*(1+N472))+U472),"")</f>
        <v/>
      </c>
      <c r="P472" s="1031"/>
      <c r="Q472" s="1133">
        <f>IF(K472&lt;&gt;"Importado",0,IF(P472&gt;0,P472*H472,IFERROR(_xlfn.XLOOKUP(F472,Proveedores!A:A,Proveedores!F:F,0)*H472,0)))</f>
        <v>0</v>
      </c>
      <c r="R472" s="1134" t="e">
        <f t="shared" si="356"/>
        <v>#VALUE!</v>
      </c>
      <c r="S472" s="743"/>
      <c r="T472" s="1034" t="e">
        <f t="shared" si="343"/>
        <v>#N/A</v>
      </c>
      <c r="U472" s="1034" t="e">
        <f t="shared" si="357"/>
        <v>#N/A</v>
      </c>
      <c r="V472" s="1165" t="e">
        <f t="shared" si="344"/>
        <v>#N/A</v>
      </c>
      <c r="W472" s="1034" t="e">
        <f t="shared" si="358"/>
        <v>#N/A</v>
      </c>
      <c r="X472" s="1034" t="b">
        <f t="shared" si="359"/>
        <v>0</v>
      </c>
      <c r="Y472" s="1034">
        <f t="shared" si="360"/>
        <v>0</v>
      </c>
      <c r="Z472" s="1034">
        <f t="shared" si="361"/>
        <v>0</v>
      </c>
      <c r="AA472" s="1034">
        <f t="shared" si="345"/>
        <v>0</v>
      </c>
      <c r="AB472" s="1034">
        <f t="shared" si="346"/>
        <v>0</v>
      </c>
      <c r="AC472" s="1033">
        <f t="shared" si="362"/>
        <v>0</v>
      </c>
      <c r="AD472" s="1266">
        <f t="shared" si="347"/>
        <v>0</v>
      </c>
      <c r="AE472" s="1093">
        <f t="shared" si="363"/>
        <v>0</v>
      </c>
      <c r="AF472" s="1093">
        <f t="shared" si="364"/>
        <v>0</v>
      </c>
      <c r="AG472" s="1093">
        <f t="shared" si="348"/>
        <v>0</v>
      </c>
      <c r="AH472" s="1033" t="e">
        <f t="shared" si="349"/>
        <v>#DIV/0!</v>
      </c>
      <c r="AI472" s="1091">
        <f t="shared" si="350"/>
        <v>0</v>
      </c>
      <c r="AJ472" s="1094">
        <f t="shared" si="351"/>
        <v>0</v>
      </c>
      <c r="AK472" s="1053" t="str">
        <f t="shared" si="352"/>
        <v/>
      </c>
      <c r="AL472" s="1053"/>
      <c r="AM472" s="1290">
        <f>_xlfn.XLOOKUP(F472,Proveedores!A:A,Proveedores!G:G)</f>
        <v>0</v>
      </c>
      <c r="AN472" s="1095" t="str">
        <f t="shared" si="365"/>
        <v>OK</v>
      </c>
    </row>
    <row r="473" spans="1:40" ht="15.95">
      <c r="A473" s="1090" t="b">
        <f t="shared" si="340"/>
        <v>1</v>
      </c>
      <c r="B473" s="1091" t="b">
        <f t="shared" si="353"/>
        <v>1</v>
      </c>
      <c r="C473" s="1092" t="str">
        <f t="shared" si="354"/>
        <v>Dólares</v>
      </c>
      <c r="D473" s="13"/>
      <c r="E473" s="743"/>
      <c r="F473" s="17"/>
      <c r="G473" s="17" t="str">
        <f t="shared" si="341"/>
        <v xml:space="preserve"> </v>
      </c>
      <c r="H473" s="12">
        <v>0</v>
      </c>
      <c r="I473" s="16" t="str">
        <f>IFERROR(VLOOKUP(G473,Proveedores!B:C,2,0)," ")</f>
        <v xml:space="preserve"> </v>
      </c>
      <c r="J473" s="745">
        <v>0</v>
      </c>
      <c r="K473" s="745" t="str">
        <f t="shared" si="342"/>
        <v>Not Found</v>
      </c>
      <c r="L473" s="16">
        <f>IF(K473="Importado",Fletes!$B$66,0%)</f>
        <v>0</v>
      </c>
      <c r="M473" s="745">
        <f t="shared" si="355"/>
        <v>0</v>
      </c>
      <c r="N473" s="16">
        <f>IF(K473&lt;&gt;"Importado",0%,IF(Fletes!$B$67&lt;10,15%,IF(Fletes!$B$67&lt;20,10%,5%)))</f>
        <v>0</v>
      </c>
      <c r="O473" s="745" t="str">
        <f>IFERROR(IF(OR(F473="Offiho",F473="Lauco Sofas",F473="Requiez",F473="Labenze",F473="Sunon Mty",F473="Sonara"),(M473*(1-_xlfn.XLOOKUP(F473,Proveedores!A:A,Proveedores!I:I)))*(1+N473),((M473*(1-_xlfn.XLOOKUP(F473,Proveedores!A:A,Proveedores!I:I)))*(1+N473))+U473),"")</f>
        <v/>
      </c>
      <c r="P473" s="1031"/>
      <c r="Q473" s="1133">
        <f>IF(K473&lt;&gt;"Importado",0,IF(P473&gt;0,P473*H473,IFERROR(_xlfn.XLOOKUP(F473,Proveedores!A:A,Proveedores!F:F,0)*H473,0)))</f>
        <v>0</v>
      </c>
      <c r="R473" s="1134" t="e">
        <f t="shared" si="356"/>
        <v>#VALUE!</v>
      </c>
      <c r="S473" s="743"/>
      <c r="T473" s="1034" t="e">
        <f t="shared" si="343"/>
        <v>#N/A</v>
      </c>
      <c r="U473" s="1034" t="e">
        <f t="shared" si="357"/>
        <v>#N/A</v>
      </c>
      <c r="V473" s="1165" t="e">
        <f t="shared" si="344"/>
        <v>#N/A</v>
      </c>
      <c r="W473" s="1034" t="e">
        <f t="shared" si="358"/>
        <v>#N/A</v>
      </c>
      <c r="X473" s="1034" t="b">
        <f t="shared" si="359"/>
        <v>0</v>
      </c>
      <c r="Y473" s="1034">
        <f t="shared" si="360"/>
        <v>0</v>
      </c>
      <c r="Z473" s="1034">
        <f t="shared" si="361"/>
        <v>0</v>
      </c>
      <c r="AA473" s="1034">
        <f t="shared" si="345"/>
        <v>0</v>
      </c>
      <c r="AB473" s="1034">
        <f t="shared" si="346"/>
        <v>0</v>
      </c>
      <c r="AC473" s="1033">
        <f t="shared" si="362"/>
        <v>0</v>
      </c>
      <c r="AD473" s="1266">
        <f t="shared" si="347"/>
        <v>0</v>
      </c>
      <c r="AE473" s="1093">
        <f t="shared" si="363"/>
        <v>0</v>
      </c>
      <c r="AF473" s="1093">
        <f t="shared" si="364"/>
        <v>0</v>
      </c>
      <c r="AG473" s="1093">
        <f t="shared" si="348"/>
        <v>0</v>
      </c>
      <c r="AH473" s="1033" t="e">
        <f t="shared" si="349"/>
        <v>#DIV/0!</v>
      </c>
      <c r="AI473" s="1091">
        <f t="shared" si="350"/>
        <v>0</v>
      </c>
      <c r="AJ473" s="1094">
        <f t="shared" si="351"/>
        <v>0</v>
      </c>
      <c r="AK473" s="1053" t="str">
        <f t="shared" si="352"/>
        <v/>
      </c>
      <c r="AL473" s="1053"/>
      <c r="AM473" s="1290">
        <f>_xlfn.XLOOKUP(F473,Proveedores!A:A,Proveedores!G:G)</f>
        <v>0</v>
      </c>
      <c r="AN473" s="1095" t="str">
        <f t="shared" si="365"/>
        <v>OK</v>
      </c>
    </row>
    <row r="474" spans="1:40" ht="15.95">
      <c r="A474" s="1090" t="b">
        <f t="shared" si="340"/>
        <v>1</v>
      </c>
      <c r="B474" s="1091" t="b">
        <f t="shared" si="353"/>
        <v>1</v>
      </c>
      <c r="C474" s="1092" t="str">
        <f t="shared" si="354"/>
        <v>Dólares</v>
      </c>
      <c r="D474" s="13"/>
      <c r="E474" s="743"/>
      <c r="F474" s="17"/>
      <c r="G474" s="17" t="str">
        <f t="shared" si="341"/>
        <v xml:space="preserve"> </v>
      </c>
      <c r="H474" s="12">
        <v>0</v>
      </c>
      <c r="I474" s="16" t="str">
        <f>IFERROR(VLOOKUP(G474,Proveedores!B:C,2,0)," ")</f>
        <v xml:space="preserve"> </v>
      </c>
      <c r="J474" s="745">
        <v>0</v>
      </c>
      <c r="K474" s="745" t="str">
        <f t="shared" si="342"/>
        <v>Not Found</v>
      </c>
      <c r="L474" s="16">
        <f>IF(K474="Importado",Fletes!$B$66,0%)</f>
        <v>0</v>
      </c>
      <c r="M474" s="745">
        <f t="shared" si="355"/>
        <v>0</v>
      </c>
      <c r="N474" s="16">
        <f>IF(K474&lt;&gt;"Importado",0%,IF(Fletes!$B$67&lt;10,15%,IF(Fletes!$B$67&lt;20,10%,5%)))</f>
        <v>0</v>
      </c>
      <c r="O474" s="745" t="str">
        <f>IFERROR(IF(OR(F474="Offiho",F474="Lauco Sofas",F474="Requiez",F474="Labenze",F474="Sunon Mty",F474="Sonara"),(M474*(1-_xlfn.XLOOKUP(F474,Proveedores!A:A,Proveedores!I:I)))*(1+N474),((M474*(1-_xlfn.XLOOKUP(F474,Proveedores!A:A,Proveedores!I:I)))*(1+N474))+U474),"")</f>
        <v/>
      </c>
      <c r="P474" s="1031"/>
      <c r="Q474" s="1133">
        <f>IF(K474&lt;&gt;"Importado",0,IF(P474&gt;0,P474*H474,IFERROR(_xlfn.XLOOKUP(F474,Proveedores!A:A,Proveedores!F:F,0)*H474,0)))</f>
        <v>0</v>
      </c>
      <c r="R474" s="1134" t="e">
        <f t="shared" si="356"/>
        <v>#VALUE!</v>
      </c>
      <c r="S474" s="743"/>
      <c r="T474" s="1034" t="e">
        <f t="shared" si="343"/>
        <v>#N/A</v>
      </c>
      <c r="U474" s="1034" t="e">
        <f t="shared" si="357"/>
        <v>#N/A</v>
      </c>
      <c r="V474" s="1165" t="e">
        <f t="shared" si="344"/>
        <v>#N/A</v>
      </c>
      <c r="W474" s="1034" t="e">
        <f t="shared" si="358"/>
        <v>#N/A</v>
      </c>
      <c r="X474" s="1034" t="b">
        <f t="shared" si="359"/>
        <v>0</v>
      </c>
      <c r="Y474" s="1034">
        <f t="shared" si="360"/>
        <v>0</v>
      </c>
      <c r="Z474" s="1034">
        <f t="shared" si="361"/>
        <v>0</v>
      </c>
      <c r="AA474" s="1034">
        <f t="shared" si="345"/>
        <v>0</v>
      </c>
      <c r="AB474" s="1034">
        <f t="shared" si="346"/>
        <v>0</v>
      </c>
      <c r="AC474" s="1033">
        <f t="shared" si="362"/>
        <v>0</v>
      </c>
      <c r="AD474" s="1266">
        <f t="shared" si="347"/>
        <v>0</v>
      </c>
      <c r="AE474" s="1093">
        <f t="shared" si="363"/>
        <v>0</v>
      </c>
      <c r="AF474" s="1093">
        <f t="shared" si="364"/>
        <v>0</v>
      </c>
      <c r="AG474" s="1093">
        <f t="shared" si="348"/>
        <v>0</v>
      </c>
      <c r="AH474" s="1033" t="e">
        <f t="shared" si="349"/>
        <v>#DIV/0!</v>
      </c>
      <c r="AI474" s="1091">
        <f t="shared" si="350"/>
        <v>0</v>
      </c>
      <c r="AJ474" s="1094">
        <f t="shared" si="351"/>
        <v>0</v>
      </c>
      <c r="AK474" s="1053" t="str">
        <f t="shared" si="352"/>
        <v/>
      </c>
      <c r="AL474" s="1053"/>
      <c r="AM474" s="1290">
        <f>_xlfn.XLOOKUP(F474,Proveedores!A:A,Proveedores!G:G)</f>
        <v>0</v>
      </c>
      <c r="AN474" s="1095" t="str">
        <f t="shared" si="365"/>
        <v>OK</v>
      </c>
    </row>
    <row r="475" spans="1:40" ht="15.95">
      <c r="A475" s="1090" t="b">
        <f t="shared" si="340"/>
        <v>1</v>
      </c>
      <c r="B475" s="1091" t="b">
        <f t="shared" si="353"/>
        <v>1</v>
      </c>
      <c r="C475" s="1092" t="str">
        <f t="shared" si="354"/>
        <v>Dólares</v>
      </c>
      <c r="D475" s="13"/>
      <c r="E475" s="743"/>
      <c r="F475" s="17"/>
      <c r="G475" s="17" t="str">
        <f t="shared" si="341"/>
        <v xml:space="preserve"> </v>
      </c>
      <c r="H475" s="12">
        <v>0</v>
      </c>
      <c r="I475" s="16" t="str">
        <f>IFERROR(VLOOKUP(G475,Proveedores!B:C,2,0)," ")</f>
        <v xml:space="preserve"> </v>
      </c>
      <c r="J475" s="745">
        <v>0</v>
      </c>
      <c r="K475" s="745" t="str">
        <f t="shared" si="342"/>
        <v>Not Found</v>
      </c>
      <c r="L475" s="16">
        <f>IF(K475="Importado",Fletes!$B$66,0%)</f>
        <v>0</v>
      </c>
      <c r="M475" s="745">
        <f t="shared" si="355"/>
        <v>0</v>
      </c>
      <c r="N475" s="16">
        <f>IF(K475&lt;&gt;"Importado",0%,IF(Fletes!$B$67&lt;10,15%,IF(Fletes!$B$67&lt;20,10%,5%)))</f>
        <v>0</v>
      </c>
      <c r="O475" s="745" t="str">
        <f>IFERROR(IF(OR(F475="Offiho",F475="Lauco Sofas",F475="Requiez",F475="Labenze",F475="Sunon Mty",F475="Sonara"),(M475*(1-_xlfn.XLOOKUP(F475,Proveedores!A:A,Proveedores!I:I)))*(1+N475),((M475*(1-_xlfn.XLOOKUP(F475,Proveedores!A:A,Proveedores!I:I)))*(1+N475))+U475),"")</f>
        <v/>
      </c>
      <c r="P475" s="1031"/>
      <c r="Q475" s="1133">
        <f>IF(K475&lt;&gt;"Importado",0,IF(P475&gt;0,P475*H475,IFERROR(_xlfn.XLOOKUP(F475,Proveedores!A:A,Proveedores!F:F,0)*H475,0)))</f>
        <v>0</v>
      </c>
      <c r="R475" s="1134" t="e">
        <f t="shared" si="356"/>
        <v>#VALUE!</v>
      </c>
      <c r="S475" s="743"/>
      <c r="T475" s="1034" t="e">
        <f t="shared" si="343"/>
        <v>#N/A</v>
      </c>
      <c r="U475" s="1034" t="e">
        <f t="shared" si="357"/>
        <v>#N/A</v>
      </c>
      <c r="V475" s="1165" t="e">
        <f t="shared" si="344"/>
        <v>#N/A</v>
      </c>
      <c r="W475" s="1034" t="e">
        <f t="shared" si="358"/>
        <v>#N/A</v>
      </c>
      <c r="X475" s="1034" t="b">
        <f t="shared" si="359"/>
        <v>0</v>
      </c>
      <c r="Y475" s="1034">
        <f t="shared" si="360"/>
        <v>0</v>
      </c>
      <c r="Z475" s="1034">
        <f t="shared" si="361"/>
        <v>0</v>
      </c>
      <c r="AA475" s="1034">
        <f t="shared" si="345"/>
        <v>0</v>
      </c>
      <c r="AB475" s="1034">
        <f t="shared" si="346"/>
        <v>0</v>
      </c>
      <c r="AC475" s="1033">
        <f t="shared" si="362"/>
        <v>0</v>
      </c>
      <c r="AD475" s="1266">
        <f t="shared" si="347"/>
        <v>0</v>
      </c>
      <c r="AE475" s="1093">
        <f t="shared" si="363"/>
        <v>0</v>
      </c>
      <c r="AF475" s="1093">
        <f t="shared" si="364"/>
        <v>0</v>
      </c>
      <c r="AG475" s="1093">
        <f t="shared" si="348"/>
        <v>0</v>
      </c>
      <c r="AH475" s="1033" t="e">
        <f t="shared" si="349"/>
        <v>#DIV/0!</v>
      </c>
      <c r="AI475" s="1091">
        <f t="shared" si="350"/>
        <v>0</v>
      </c>
      <c r="AJ475" s="1094">
        <f t="shared" si="351"/>
        <v>0</v>
      </c>
      <c r="AK475" s="1053" t="str">
        <f t="shared" si="352"/>
        <v/>
      </c>
      <c r="AL475" s="1053"/>
      <c r="AM475" s="1290">
        <f>_xlfn.XLOOKUP(F475,Proveedores!A:A,Proveedores!G:G)</f>
        <v>0</v>
      </c>
      <c r="AN475" s="1095" t="str">
        <f t="shared" si="365"/>
        <v>OK</v>
      </c>
    </row>
    <row r="476" spans="1:40" ht="15.95">
      <c r="A476" s="1090" t="b">
        <f t="shared" si="340"/>
        <v>1</v>
      </c>
      <c r="B476" s="1091" t="b">
        <f t="shared" si="353"/>
        <v>1</v>
      </c>
      <c r="C476" s="1092" t="str">
        <f t="shared" si="354"/>
        <v>Dólares</v>
      </c>
      <c r="D476" s="11"/>
      <c r="E476" s="743"/>
      <c r="F476" s="17"/>
      <c r="G476" s="17" t="str">
        <f t="shared" si="341"/>
        <v xml:space="preserve"> </v>
      </c>
      <c r="H476" s="12">
        <v>0</v>
      </c>
      <c r="I476" s="16" t="str">
        <f>IFERROR(VLOOKUP(G476,Proveedores!B:C,2,0)," ")</f>
        <v xml:space="preserve"> </v>
      </c>
      <c r="J476" s="745">
        <v>0</v>
      </c>
      <c r="K476" s="745" t="str">
        <f t="shared" si="342"/>
        <v>Not Found</v>
      </c>
      <c r="L476" s="16">
        <f>IF(K476="Importado",Fletes!$B$66,0%)</f>
        <v>0</v>
      </c>
      <c r="M476" s="745">
        <f t="shared" si="355"/>
        <v>0</v>
      </c>
      <c r="N476" s="16">
        <f>IF(K476&lt;&gt;"Importado",0%,IF(Fletes!$B$67&lt;10,15%,IF(Fletes!$B$67&lt;20,10%,5%)))</f>
        <v>0</v>
      </c>
      <c r="O476" s="745" t="str">
        <f>IFERROR(IF(OR(F476="Offiho",F476="Lauco Sofas",F476="Requiez",F476="Labenze",F476="Sunon Mty",F476="Sonara"),(M476*(1-_xlfn.XLOOKUP(F476,Proveedores!A:A,Proveedores!I:I)))*(1+N476),((M476*(1-_xlfn.XLOOKUP(F476,Proveedores!A:A,Proveedores!I:I)))*(1+N476))+U476),"")</f>
        <v/>
      </c>
      <c r="P476" s="1031"/>
      <c r="Q476" s="1133">
        <f>IF(K476&lt;&gt;"Importado",0,IF(P476&gt;0,P476*H476,IFERROR(_xlfn.XLOOKUP(F476,Proveedores!A:A,Proveedores!F:F,0)*H476,0)))</f>
        <v>0</v>
      </c>
      <c r="R476" s="1134" t="e">
        <f t="shared" si="356"/>
        <v>#VALUE!</v>
      </c>
      <c r="S476" s="743"/>
      <c r="T476" s="1034" t="e">
        <f t="shared" si="343"/>
        <v>#N/A</v>
      </c>
      <c r="U476" s="1034" t="e">
        <f t="shared" si="357"/>
        <v>#N/A</v>
      </c>
      <c r="V476" s="1165" t="e">
        <f t="shared" si="344"/>
        <v>#N/A</v>
      </c>
      <c r="W476" s="1034" t="e">
        <f t="shared" si="358"/>
        <v>#N/A</v>
      </c>
      <c r="X476" s="1034" t="b">
        <f t="shared" si="359"/>
        <v>0</v>
      </c>
      <c r="Y476" s="1034">
        <f t="shared" si="360"/>
        <v>0</v>
      </c>
      <c r="Z476" s="1034">
        <f t="shared" si="361"/>
        <v>0</v>
      </c>
      <c r="AA476" s="1034">
        <f t="shared" si="345"/>
        <v>0</v>
      </c>
      <c r="AB476" s="1034">
        <f t="shared" si="346"/>
        <v>0</v>
      </c>
      <c r="AC476" s="1033">
        <f t="shared" si="362"/>
        <v>0</v>
      </c>
      <c r="AD476" s="1266">
        <f t="shared" si="347"/>
        <v>0</v>
      </c>
      <c r="AE476" s="1093">
        <f t="shared" si="363"/>
        <v>0</v>
      </c>
      <c r="AF476" s="1093">
        <f t="shared" si="364"/>
        <v>0</v>
      </c>
      <c r="AG476" s="1093">
        <f t="shared" si="348"/>
        <v>0</v>
      </c>
      <c r="AH476" s="1033" t="e">
        <f t="shared" si="349"/>
        <v>#DIV/0!</v>
      </c>
      <c r="AI476" s="1091">
        <f t="shared" si="350"/>
        <v>0</v>
      </c>
      <c r="AJ476" s="1094">
        <f t="shared" si="351"/>
        <v>0</v>
      </c>
      <c r="AK476" s="1053" t="str">
        <f t="shared" si="352"/>
        <v/>
      </c>
      <c r="AL476" s="1053"/>
      <c r="AM476" s="1290">
        <f>_xlfn.XLOOKUP(F476,Proveedores!A:A,Proveedores!G:G)</f>
        <v>0</v>
      </c>
      <c r="AN476" s="1095" t="str">
        <f t="shared" si="365"/>
        <v>OK</v>
      </c>
    </row>
    <row r="477" spans="1:40" ht="15.95">
      <c r="A477" s="1090" t="b">
        <f t="shared" si="340"/>
        <v>1</v>
      </c>
      <c r="B477" s="1091" t="b">
        <f t="shared" si="353"/>
        <v>1</v>
      </c>
      <c r="C477" s="1092" t="str">
        <f t="shared" si="354"/>
        <v>Dólares</v>
      </c>
      <c r="D477" s="11"/>
      <c r="E477" s="743"/>
      <c r="F477" s="17"/>
      <c r="G477" s="17" t="str">
        <f t="shared" si="341"/>
        <v xml:space="preserve"> </v>
      </c>
      <c r="H477" s="12">
        <v>0</v>
      </c>
      <c r="I477" s="16" t="str">
        <f>IFERROR(VLOOKUP(G477,Proveedores!B:C,2,0)," ")</f>
        <v xml:space="preserve"> </v>
      </c>
      <c r="J477" s="745">
        <v>0</v>
      </c>
      <c r="K477" s="745" t="str">
        <f t="shared" si="342"/>
        <v>Not Found</v>
      </c>
      <c r="L477" s="16">
        <f>IF(K477="Importado",Fletes!$B$66,0%)</f>
        <v>0</v>
      </c>
      <c r="M477" s="745">
        <f t="shared" si="355"/>
        <v>0</v>
      </c>
      <c r="N477" s="16">
        <f>IF(K477&lt;&gt;"Importado",0%,IF(Fletes!$B$67&lt;10,15%,IF(Fletes!$B$67&lt;20,10%,5%)))</f>
        <v>0</v>
      </c>
      <c r="O477" s="745" t="str">
        <f>IFERROR(IF(OR(F477="Offiho",F477="Lauco Sofas",F477="Requiez",F477="Labenze",F477="Sunon Mty",F477="Sonara"),(M477*(1-_xlfn.XLOOKUP(F477,Proveedores!A:A,Proveedores!I:I)))*(1+N477),((M477*(1-_xlfn.XLOOKUP(F477,Proveedores!A:A,Proveedores!I:I)))*(1+N477))+U477),"")</f>
        <v/>
      </c>
      <c r="P477" s="1031"/>
      <c r="Q477" s="1133">
        <f>IF(K477&lt;&gt;"Importado",0,IF(P477&gt;0,P477*H477,IFERROR(_xlfn.XLOOKUP(F477,Proveedores!A:A,Proveedores!F:F,0)*H477,0)))</f>
        <v>0</v>
      </c>
      <c r="R477" s="1134" t="e">
        <f t="shared" si="356"/>
        <v>#VALUE!</v>
      </c>
      <c r="S477" s="743"/>
      <c r="T477" s="1034" t="e">
        <f t="shared" si="343"/>
        <v>#N/A</v>
      </c>
      <c r="U477" s="1034" t="e">
        <f t="shared" si="357"/>
        <v>#N/A</v>
      </c>
      <c r="V477" s="1165" t="e">
        <f t="shared" si="344"/>
        <v>#N/A</v>
      </c>
      <c r="W477" s="1034" t="e">
        <f t="shared" si="358"/>
        <v>#N/A</v>
      </c>
      <c r="X477" s="1034" t="b">
        <f t="shared" si="359"/>
        <v>0</v>
      </c>
      <c r="Y477" s="1034">
        <f t="shared" si="360"/>
        <v>0</v>
      </c>
      <c r="Z477" s="1034">
        <f t="shared" si="361"/>
        <v>0</v>
      </c>
      <c r="AA477" s="1034">
        <f t="shared" si="345"/>
        <v>0</v>
      </c>
      <c r="AB477" s="1034">
        <f t="shared" si="346"/>
        <v>0</v>
      </c>
      <c r="AC477" s="1033">
        <f t="shared" si="362"/>
        <v>0</v>
      </c>
      <c r="AD477" s="1266">
        <f t="shared" si="347"/>
        <v>0</v>
      </c>
      <c r="AE477" s="1093">
        <f t="shared" si="363"/>
        <v>0</v>
      </c>
      <c r="AF477" s="1093">
        <f t="shared" si="364"/>
        <v>0</v>
      </c>
      <c r="AG477" s="1093">
        <f t="shared" si="348"/>
        <v>0</v>
      </c>
      <c r="AH477" s="1033" t="e">
        <f t="shared" si="349"/>
        <v>#DIV/0!</v>
      </c>
      <c r="AI477" s="1091">
        <f t="shared" si="350"/>
        <v>0</v>
      </c>
      <c r="AJ477" s="1094">
        <f t="shared" si="351"/>
        <v>0</v>
      </c>
      <c r="AK477" s="1053" t="str">
        <f t="shared" si="352"/>
        <v/>
      </c>
      <c r="AL477" s="1053"/>
      <c r="AM477" s="1290">
        <f>_xlfn.XLOOKUP(F477,Proveedores!A:A,Proveedores!G:G)</f>
        <v>0</v>
      </c>
      <c r="AN477" s="1095" t="str">
        <f t="shared" si="365"/>
        <v>OK</v>
      </c>
    </row>
    <row r="478" spans="1:40" ht="15.95">
      <c r="A478" s="1090" t="b">
        <f t="shared" si="340"/>
        <v>1</v>
      </c>
      <c r="B478" s="1091" t="b">
        <f t="shared" si="353"/>
        <v>1</v>
      </c>
      <c r="C478" s="1092" t="str">
        <f t="shared" si="354"/>
        <v>Dólares</v>
      </c>
      <c r="D478" s="11"/>
      <c r="E478" s="743"/>
      <c r="F478" s="17"/>
      <c r="G478" s="17" t="str">
        <f t="shared" si="341"/>
        <v xml:space="preserve"> </v>
      </c>
      <c r="H478" s="12">
        <v>0</v>
      </c>
      <c r="I478" s="16" t="str">
        <f>IFERROR(VLOOKUP(G478,Proveedores!B:C,2,0)," ")</f>
        <v xml:space="preserve"> </v>
      </c>
      <c r="J478" s="745">
        <v>0</v>
      </c>
      <c r="K478" s="745" t="str">
        <f t="shared" si="342"/>
        <v>Not Found</v>
      </c>
      <c r="L478" s="16">
        <f>IF(K478="Importado",Fletes!$B$66,0%)</f>
        <v>0</v>
      </c>
      <c r="M478" s="745">
        <f t="shared" si="355"/>
        <v>0</v>
      </c>
      <c r="N478" s="16">
        <f>IF(K478&lt;&gt;"Importado",0%,IF(Fletes!$B$67&lt;10,15%,IF(Fletes!$B$67&lt;20,10%,5%)))</f>
        <v>0</v>
      </c>
      <c r="O478" s="745" t="str">
        <f>IFERROR(IF(OR(F478="Offiho",F478="Lauco Sofas",F478="Requiez",F478="Labenze",F478="Sunon Mty",F478="Sonara"),(M478*(1-_xlfn.XLOOKUP(F478,Proveedores!A:A,Proveedores!I:I)))*(1+N478),((M478*(1-_xlfn.XLOOKUP(F478,Proveedores!A:A,Proveedores!I:I)))*(1+N478))+U478),"")</f>
        <v/>
      </c>
      <c r="P478" s="1031"/>
      <c r="Q478" s="1133">
        <f>IF(K478&lt;&gt;"Importado",0,IF(P478&gt;0,P478*H478,IFERROR(_xlfn.XLOOKUP(F478,Proveedores!A:A,Proveedores!F:F,0)*H478,0)))</f>
        <v>0</v>
      </c>
      <c r="R478" s="1134" t="e">
        <f t="shared" si="356"/>
        <v>#VALUE!</v>
      </c>
      <c r="S478" s="743"/>
      <c r="T478" s="1034" t="e">
        <f t="shared" si="343"/>
        <v>#N/A</v>
      </c>
      <c r="U478" s="1034" t="e">
        <f t="shared" si="357"/>
        <v>#N/A</v>
      </c>
      <c r="V478" s="1165" t="e">
        <f t="shared" si="344"/>
        <v>#N/A</v>
      </c>
      <c r="W478" s="1034" t="e">
        <f t="shared" si="358"/>
        <v>#N/A</v>
      </c>
      <c r="X478" s="1034" t="b">
        <f t="shared" si="359"/>
        <v>0</v>
      </c>
      <c r="Y478" s="1034">
        <f t="shared" si="360"/>
        <v>0</v>
      </c>
      <c r="Z478" s="1034">
        <f t="shared" si="361"/>
        <v>0</v>
      </c>
      <c r="AA478" s="1034">
        <f t="shared" si="345"/>
        <v>0</v>
      </c>
      <c r="AB478" s="1034">
        <f t="shared" si="346"/>
        <v>0</v>
      </c>
      <c r="AC478" s="1033">
        <f t="shared" si="362"/>
        <v>0</v>
      </c>
      <c r="AD478" s="1266">
        <f t="shared" si="347"/>
        <v>0</v>
      </c>
      <c r="AE478" s="1093">
        <f t="shared" si="363"/>
        <v>0</v>
      </c>
      <c r="AF478" s="1093">
        <f t="shared" si="364"/>
        <v>0</v>
      </c>
      <c r="AG478" s="1093">
        <f t="shared" si="348"/>
        <v>0</v>
      </c>
      <c r="AH478" s="1033" t="e">
        <f t="shared" si="349"/>
        <v>#DIV/0!</v>
      </c>
      <c r="AI478" s="1091">
        <f t="shared" si="350"/>
        <v>0</v>
      </c>
      <c r="AJ478" s="1094">
        <f t="shared" si="351"/>
        <v>0</v>
      </c>
      <c r="AK478" s="1053" t="str">
        <f t="shared" si="352"/>
        <v/>
      </c>
      <c r="AL478" s="1053"/>
      <c r="AM478" s="1290">
        <f>_xlfn.XLOOKUP(F478,Proveedores!A:A,Proveedores!G:G)</f>
        <v>0</v>
      </c>
      <c r="AN478" s="1095" t="str">
        <f t="shared" si="365"/>
        <v>OK</v>
      </c>
    </row>
    <row r="479" spans="1:40" ht="15.95">
      <c r="A479" s="1090" t="b">
        <f t="shared" si="340"/>
        <v>1</v>
      </c>
      <c r="B479" s="1091" t="b">
        <f t="shared" si="353"/>
        <v>1</v>
      </c>
      <c r="C479" s="1092" t="str">
        <f t="shared" si="354"/>
        <v>Dólares</v>
      </c>
      <c r="D479" s="11"/>
      <c r="E479" s="743"/>
      <c r="F479" s="17"/>
      <c r="G479" s="17" t="str">
        <f t="shared" si="341"/>
        <v xml:space="preserve"> </v>
      </c>
      <c r="H479" s="12">
        <v>0</v>
      </c>
      <c r="I479" s="16" t="str">
        <f>IFERROR(VLOOKUP(G479,Proveedores!B:C,2,0)," ")</f>
        <v xml:space="preserve"> </v>
      </c>
      <c r="J479" s="745">
        <v>0</v>
      </c>
      <c r="K479" s="745" t="str">
        <f t="shared" si="342"/>
        <v>Not Found</v>
      </c>
      <c r="L479" s="16">
        <f>IF(K479="Importado",Fletes!$B$66,0%)</f>
        <v>0</v>
      </c>
      <c r="M479" s="745">
        <f t="shared" si="355"/>
        <v>0</v>
      </c>
      <c r="N479" s="16">
        <f>IF(K479&lt;&gt;"Importado",0%,IF(Fletes!$B$67&lt;10,15%,IF(Fletes!$B$67&lt;20,10%,5%)))</f>
        <v>0</v>
      </c>
      <c r="O479" s="745" t="str">
        <f>IFERROR(IF(OR(F479="Offiho",F479="Lauco Sofas",F479="Requiez",F479="Labenze",F479="Sunon Mty",F479="Sonara"),(M479*(1-_xlfn.XLOOKUP(F479,Proveedores!A:A,Proveedores!I:I)))*(1+N479),((M479*(1-_xlfn.XLOOKUP(F479,Proveedores!A:A,Proveedores!I:I)))*(1+N479))+U479),"")</f>
        <v/>
      </c>
      <c r="P479" s="1031"/>
      <c r="Q479" s="1133">
        <f>IF(K479&lt;&gt;"Importado",0,IF(P479&gt;0,P479*H479,IFERROR(_xlfn.XLOOKUP(F479,Proveedores!A:A,Proveedores!F:F,0)*H479,0)))</f>
        <v>0</v>
      </c>
      <c r="R479" s="1134" t="e">
        <f t="shared" si="356"/>
        <v>#VALUE!</v>
      </c>
      <c r="S479" s="743"/>
      <c r="T479" s="1034" t="e">
        <f t="shared" si="343"/>
        <v>#N/A</v>
      </c>
      <c r="U479" s="1034" t="e">
        <f t="shared" si="357"/>
        <v>#N/A</v>
      </c>
      <c r="V479" s="1165" t="e">
        <f t="shared" si="344"/>
        <v>#N/A</v>
      </c>
      <c r="W479" s="1034" t="e">
        <f t="shared" si="358"/>
        <v>#N/A</v>
      </c>
      <c r="X479" s="1034" t="b">
        <f t="shared" si="359"/>
        <v>0</v>
      </c>
      <c r="Y479" s="1034">
        <f t="shared" si="360"/>
        <v>0</v>
      </c>
      <c r="Z479" s="1034">
        <f t="shared" si="361"/>
        <v>0</v>
      </c>
      <c r="AA479" s="1034">
        <f t="shared" si="345"/>
        <v>0</v>
      </c>
      <c r="AB479" s="1034">
        <f t="shared" si="346"/>
        <v>0</v>
      </c>
      <c r="AC479" s="1033">
        <f t="shared" si="362"/>
        <v>0</v>
      </c>
      <c r="AD479" s="1266">
        <f t="shared" si="347"/>
        <v>0</v>
      </c>
      <c r="AE479" s="1093">
        <f t="shared" si="363"/>
        <v>0</v>
      </c>
      <c r="AF479" s="1093">
        <f t="shared" si="364"/>
        <v>0</v>
      </c>
      <c r="AG479" s="1093">
        <f t="shared" si="348"/>
        <v>0</v>
      </c>
      <c r="AH479" s="1033" t="e">
        <f t="shared" si="349"/>
        <v>#DIV/0!</v>
      </c>
      <c r="AI479" s="1091">
        <f t="shared" si="350"/>
        <v>0</v>
      </c>
      <c r="AJ479" s="1094">
        <f t="shared" si="351"/>
        <v>0</v>
      </c>
      <c r="AK479" s="1053" t="str">
        <f t="shared" si="352"/>
        <v/>
      </c>
      <c r="AL479" s="1053"/>
      <c r="AM479" s="1290">
        <f>_xlfn.XLOOKUP(F479,Proveedores!A:A,Proveedores!G:G)</f>
        <v>0</v>
      </c>
      <c r="AN479" s="1095" t="str">
        <f t="shared" si="365"/>
        <v>OK</v>
      </c>
    </row>
    <row r="480" spans="1:40" ht="15.95">
      <c r="A480" s="1090" t="b">
        <f t="shared" si="340"/>
        <v>1</v>
      </c>
      <c r="B480" s="1091" t="b">
        <f t="shared" si="353"/>
        <v>1</v>
      </c>
      <c r="C480" s="1092" t="str">
        <f t="shared" si="354"/>
        <v>Dólares</v>
      </c>
      <c r="D480" s="13"/>
      <c r="E480" s="743"/>
      <c r="F480" s="17"/>
      <c r="G480" s="17" t="str">
        <f t="shared" si="341"/>
        <v xml:space="preserve"> </v>
      </c>
      <c r="H480" s="12">
        <v>0</v>
      </c>
      <c r="I480" s="16" t="str">
        <f>IFERROR(VLOOKUP(G480,Proveedores!B:C,2,0)," ")</f>
        <v xml:space="preserve"> </v>
      </c>
      <c r="J480" s="745">
        <v>0</v>
      </c>
      <c r="K480" s="745" t="str">
        <f t="shared" si="342"/>
        <v>Not Found</v>
      </c>
      <c r="L480" s="16">
        <f>IF(K480="Importado",Fletes!$B$66,0%)</f>
        <v>0</v>
      </c>
      <c r="M480" s="745">
        <f t="shared" si="355"/>
        <v>0</v>
      </c>
      <c r="N480" s="16">
        <f>IF(K480&lt;&gt;"Importado",0%,IF(Fletes!$B$67&lt;10,15%,IF(Fletes!$B$67&lt;20,10%,5%)))</f>
        <v>0</v>
      </c>
      <c r="O480" s="745" t="str">
        <f>IFERROR(IF(OR(F480="Offiho",F480="Lauco Sofas",F480="Requiez",F480="Labenze",F480="Sunon Mty",F480="Sonara"),(M480*(1-_xlfn.XLOOKUP(F480,Proveedores!A:A,Proveedores!I:I)))*(1+N480),((M480*(1-_xlfn.XLOOKUP(F480,Proveedores!A:A,Proveedores!I:I)))*(1+N480))+U480),"")</f>
        <v/>
      </c>
      <c r="P480" s="1031"/>
      <c r="Q480" s="1133">
        <f>IF(K480&lt;&gt;"Importado",0,IF(P480&gt;0,P480*H480,IFERROR(_xlfn.XLOOKUP(F480,Proveedores!A:A,Proveedores!F:F,0)*H480,0)))</f>
        <v>0</v>
      </c>
      <c r="R480" s="1134" t="e">
        <f t="shared" si="356"/>
        <v>#VALUE!</v>
      </c>
      <c r="S480" s="743"/>
      <c r="T480" s="1034" t="e">
        <f t="shared" si="343"/>
        <v>#N/A</v>
      </c>
      <c r="U480" s="1034" t="e">
        <f t="shared" si="357"/>
        <v>#N/A</v>
      </c>
      <c r="V480" s="1165" t="e">
        <f t="shared" si="344"/>
        <v>#N/A</v>
      </c>
      <c r="W480" s="1034" t="e">
        <f t="shared" si="358"/>
        <v>#N/A</v>
      </c>
      <c r="X480" s="1034" t="b">
        <f t="shared" si="359"/>
        <v>0</v>
      </c>
      <c r="Y480" s="1034">
        <f t="shared" si="360"/>
        <v>0</v>
      </c>
      <c r="Z480" s="1034">
        <f t="shared" si="361"/>
        <v>0</v>
      </c>
      <c r="AA480" s="1034">
        <f t="shared" si="345"/>
        <v>0</v>
      </c>
      <c r="AB480" s="1034">
        <f t="shared" si="346"/>
        <v>0</v>
      </c>
      <c r="AC480" s="1033">
        <f t="shared" si="362"/>
        <v>0</v>
      </c>
      <c r="AD480" s="1266">
        <f t="shared" si="347"/>
        <v>0</v>
      </c>
      <c r="AE480" s="1093">
        <f t="shared" si="363"/>
        <v>0</v>
      </c>
      <c r="AF480" s="1093">
        <f t="shared" si="364"/>
        <v>0</v>
      </c>
      <c r="AG480" s="1093">
        <f t="shared" si="348"/>
        <v>0</v>
      </c>
      <c r="AH480" s="1033" t="e">
        <f t="shared" si="349"/>
        <v>#DIV/0!</v>
      </c>
      <c r="AI480" s="1091">
        <f t="shared" si="350"/>
        <v>0</v>
      </c>
      <c r="AJ480" s="1094">
        <f t="shared" si="351"/>
        <v>0</v>
      </c>
      <c r="AK480" s="1053" t="str">
        <f t="shared" si="352"/>
        <v/>
      </c>
      <c r="AL480" s="1053"/>
      <c r="AM480" s="1290">
        <f>_xlfn.XLOOKUP(F480,Proveedores!A:A,Proveedores!G:G)</f>
        <v>0</v>
      </c>
      <c r="AN480" s="1095" t="str">
        <f t="shared" si="365"/>
        <v>OK</v>
      </c>
    </row>
    <row r="481" spans="1:40" ht="15.95">
      <c r="A481" s="1090" t="b">
        <f t="shared" si="340"/>
        <v>1</v>
      </c>
      <c r="B481" s="1091" t="b">
        <f t="shared" si="353"/>
        <v>1</v>
      </c>
      <c r="C481" s="1092" t="str">
        <f t="shared" si="354"/>
        <v>Dólares</v>
      </c>
      <c r="D481" s="13"/>
      <c r="E481" s="743"/>
      <c r="F481" s="17"/>
      <c r="G481" s="17" t="str">
        <f t="shared" si="341"/>
        <v xml:space="preserve"> </v>
      </c>
      <c r="H481" s="12">
        <v>0</v>
      </c>
      <c r="I481" s="16" t="str">
        <f>IFERROR(VLOOKUP(G481,Proveedores!B:C,2,0)," ")</f>
        <v xml:space="preserve"> </v>
      </c>
      <c r="J481" s="745">
        <v>0</v>
      </c>
      <c r="K481" s="745" t="str">
        <f t="shared" si="342"/>
        <v>Not Found</v>
      </c>
      <c r="L481" s="16">
        <f>IF(K481="Importado",Fletes!$B$66,0%)</f>
        <v>0</v>
      </c>
      <c r="M481" s="745">
        <f t="shared" si="355"/>
        <v>0</v>
      </c>
      <c r="N481" s="16">
        <f>IF(K481&lt;&gt;"Importado",0%,IF(Fletes!$B$67&lt;10,15%,IF(Fletes!$B$67&lt;20,10%,5%)))</f>
        <v>0</v>
      </c>
      <c r="O481" s="745" t="str">
        <f>IFERROR(IF(OR(F481="Offiho",F481="Lauco Sofas",F481="Requiez",F481="Labenze",F481="Sunon Mty",F481="Sonara"),(M481*(1-_xlfn.XLOOKUP(F481,Proveedores!A:A,Proveedores!I:I)))*(1+N481),((M481*(1-_xlfn.XLOOKUP(F481,Proveedores!A:A,Proveedores!I:I)))*(1+N481))+U481),"")</f>
        <v/>
      </c>
      <c r="P481" s="1031"/>
      <c r="Q481" s="1133">
        <f>IF(K481&lt;&gt;"Importado",0,IF(P481&gt;0,P481*H481,IFERROR(_xlfn.XLOOKUP(F481,Proveedores!A:A,Proveedores!F:F,0)*H481,0)))</f>
        <v>0</v>
      </c>
      <c r="R481" s="1134" t="e">
        <f t="shared" si="356"/>
        <v>#VALUE!</v>
      </c>
      <c r="S481" s="743"/>
      <c r="T481" s="1034" t="e">
        <f t="shared" si="343"/>
        <v>#N/A</v>
      </c>
      <c r="U481" s="1034" t="e">
        <f t="shared" si="357"/>
        <v>#N/A</v>
      </c>
      <c r="V481" s="1165" t="e">
        <f t="shared" si="344"/>
        <v>#N/A</v>
      </c>
      <c r="W481" s="1034" t="e">
        <f t="shared" si="358"/>
        <v>#N/A</v>
      </c>
      <c r="X481" s="1034" t="b">
        <f t="shared" si="359"/>
        <v>0</v>
      </c>
      <c r="Y481" s="1034">
        <f t="shared" si="360"/>
        <v>0</v>
      </c>
      <c r="Z481" s="1034">
        <f t="shared" si="361"/>
        <v>0</v>
      </c>
      <c r="AA481" s="1034">
        <f t="shared" si="345"/>
        <v>0</v>
      </c>
      <c r="AB481" s="1034">
        <f t="shared" si="346"/>
        <v>0</v>
      </c>
      <c r="AC481" s="1033">
        <f t="shared" si="362"/>
        <v>0</v>
      </c>
      <c r="AD481" s="1266">
        <f t="shared" si="347"/>
        <v>0</v>
      </c>
      <c r="AE481" s="1093">
        <f t="shared" si="363"/>
        <v>0</v>
      </c>
      <c r="AF481" s="1093">
        <f t="shared" si="364"/>
        <v>0</v>
      </c>
      <c r="AG481" s="1093">
        <f t="shared" si="348"/>
        <v>0</v>
      </c>
      <c r="AH481" s="1033" t="e">
        <f t="shared" si="349"/>
        <v>#DIV/0!</v>
      </c>
      <c r="AI481" s="1091">
        <f t="shared" si="350"/>
        <v>0</v>
      </c>
      <c r="AJ481" s="1094">
        <f t="shared" si="351"/>
        <v>0</v>
      </c>
      <c r="AK481" s="1053" t="str">
        <f t="shared" si="352"/>
        <v/>
      </c>
      <c r="AL481" s="1053"/>
      <c r="AM481" s="1290">
        <f>_xlfn.XLOOKUP(F481,Proveedores!A:A,Proveedores!G:G)</f>
        <v>0</v>
      </c>
      <c r="AN481" s="1095" t="str">
        <f t="shared" si="365"/>
        <v>OK</v>
      </c>
    </row>
    <row r="482" spans="1:40" ht="15.95">
      <c r="A482" s="1090" t="b">
        <f t="shared" si="340"/>
        <v>1</v>
      </c>
      <c r="B482" s="1091" t="b">
        <f t="shared" si="353"/>
        <v>1</v>
      </c>
      <c r="C482" s="1092" t="str">
        <f t="shared" si="354"/>
        <v>Dólares</v>
      </c>
      <c r="D482" s="13"/>
      <c r="E482" s="743"/>
      <c r="F482" s="17"/>
      <c r="G482" s="17" t="str">
        <f t="shared" si="341"/>
        <v xml:space="preserve"> </v>
      </c>
      <c r="H482" s="12">
        <v>0</v>
      </c>
      <c r="I482" s="16" t="str">
        <f>IFERROR(VLOOKUP(G482,Proveedores!B:C,2,0)," ")</f>
        <v xml:space="preserve"> </v>
      </c>
      <c r="J482" s="745">
        <v>0</v>
      </c>
      <c r="K482" s="745" t="str">
        <f t="shared" si="342"/>
        <v>Not Found</v>
      </c>
      <c r="L482" s="16">
        <f>IF(K482="Importado",Fletes!$B$66,0%)</f>
        <v>0</v>
      </c>
      <c r="M482" s="745">
        <f t="shared" si="355"/>
        <v>0</v>
      </c>
      <c r="N482" s="16">
        <f>IF(K482&lt;&gt;"Importado",0%,IF(Fletes!$B$67&lt;10,15%,IF(Fletes!$B$67&lt;20,10%,5%)))</f>
        <v>0</v>
      </c>
      <c r="O482" s="745" t="str">
        <f>IFERROR(IF(OR(F482="Offiho",F482="Lauco Sofas",F482="Requiez",F482="Labenze",F482="Sunon Mty",F482="Sonara"),(M482*(1-_xlfn.XLOOKUP(F482,Proveedores!A:A,Proveedores!I:I)))*(1+N482),((M482*(1-_xlfn.XLOOKUP(F482,Proveedores!A:A,Proveedores!I:I)))*(1+N482))+U482),"")</f>
        <v/>
      </c>
      <c r="P482" s="1031"/>
      <c r="Q482" s="1133">
        <f>IF(K482&lt;&gt;"Importado",0,IF(P482&gt;0,P482*H482,IFERROR(_xlfn.XLOOKUP(F482,Proveedores!A:A,Proveedores!F:F,0)*H482,0)))</f>
        <v>0</v>
      </c>
      <c r="R482" s="1134" t="e">
        <f t="shared" si="356"/>
        <v>#VALUE!</v>
      </c>
      <c r="S482" s="743"/>
      <c r="T482" s="1034" t="e">
        <f t="shared" si="343"/>
        <v>#N/A</v>
      </c>
      <c r="U482" s="1034" t="e">
        <f t="shared" si="357"/>
        <v>#N/A</v>
      </c>
      <c r="V482" s="1165" t="e">
        <f t="shared" si="344"/>
        <v>#N/A</v>
      </c>
      <c r="W482" s="1034" t="e">
        <f t="shared" si="358"/>
        <v>#N/A</v>
      </c>
      <c r="X482" s="1034" t="b">
        <f t="shared" si="359"/>
        <v>0</v>
      </c>
      <c r="Y482" s="1034">
        <f t="shared" si="360"/>
        <v>0</v>
      </c>
      <c r="Z482" s="1034">
        <f t="shared" si="361"/>
        <v>0</v>
      </c>
      <c r="AA482" s="1034">
        <f t="shared" si="345"/>
        <v>0</v>
      </c>
      <c r="AB482" s="1034">
        <f t="shared" si="346"/>
        <v>0</v>
      </c>
      <c r="AC482" s="1033">
        <f t="shared" si="362"/>
        <v>0</v>
      </c>
      <c r="AD482" s="1266">
        <f t="shared" si="347"/>
        <v>0</v>
      </c>
      <c r="AE482" s="1093">
        <f t="shared" si="363"/>
        <v>0</v>
      </c>
      <c r="AF482" s="1093">
        <f t="shared" si="364"/>
        <v>0</v>
      </c>
      <c r="AG482" s="1093">
        <f t="shared" si="348"/>
        <v>0</v>
      </c>
      <c r="AH482" s="1033" t="e">
        <f t="shared" si="349"/>
        <v>#DIV/0!</v>
      </c>
      <c r="AI482" s="1091">
        <f t="shared" si="350"/>
        <v>0</v>
      </c>
      <c r="AJ482" s="1094">
        <f t="shared" si="351"/>
        <v>0</v>
      </c>
      <c r="AK482" s="1053" t="str">
        <f t="shared" si="352"/>
        <v/>
      </c>
      <c r="AL482" s="1053"/>
      <c r="AM482" s="1290">
        <f>_xlfn.XLOOKUP(F482,Proveedores!A:A,Proveedores!G:G)</f>
        <v>0</v>
      </c>
      <c r="AN482" s="1095" t="str">
        <f t="shared" si="365"/>
        <v>OK</v>
      </c>
    </row>
    <row r="483" spans="1:40" ht="15.95">
      <c r="A483" s="1090" t="b">
        <f t="shared" si="340"/>
        <v>1</v>
      </c>
      <c r="B483" s="1091" t="b">
        <f t="shared" si="353"/>
        <v>1</v>
      </c>
      <c r="C483" s="1092" t="str">
        <f t="shared" si="354"/>
        <v>Dólares</v>
      </c>
      <c r="D483" s="13"/>
      <c r="E483" s="743"/>
      <c r="F483" s="17"/>
      <c r="G483" s="17" t="str">
        <f t="shared" si="341"/>
        <v xml:space="preserve"> </v>
      </c>
      <c r="H483" s="12">
        <v>0</v>
      </c>
      <c r="I483" s="16" t="str">
        <f>IFERROR(VLOOKUP(G483,Proveedores!B:C,2,0)," ")</f>
        <v xml:space="preserve"> </v>
      </c>
      <c r="J483" s="745">
        <v>0</v>
      </c>
      <c r="K483" s="745" t="str">
        <f t="shared" si="342"/>
        <v>Not Found</v>
      </c>
      <c r="L483" s="16">
        <f>IF(K483="Importado",Fletes!$B$66,0%)</f>
        <v>0</v>
      </c>
      <c r="M483" s="745">
        <f t="shared" si="355"/>
        <v>0</v>
      </c>
      <c r="N483" s="16">
        <f>IF(K483&lt;&gt;"Importado",0%,IF(Fletes!$B$67&lt;10,15%,IF(Fletes!$B$67&lt;20,10%,5%)))</f>
        <v>0</v>
      </c>
      <c r="O483" s="745" t="str">
        <f>IFERROR(IF(OR(F483="Offiho",F483="Lauco Sofas",F483="Requiez",F483="Labenze",F483="Sunon Mty",F483="Sonara"),(M483*(1-_xlfn.XLOOKUP(F483,Proveedores!A:A,Proveedores!I:I)))*(1+N483),((M483*(1-_xlfn.XLOOKUP(F483,Proveedores!A:A,Proveedores!I:I)))*(1+N483))+U483),"")</f>
        <v/>
      </c>
      <c r="P483" s="1031"/>
      <c r="Q483" s="1133">
        <f>IF(K483&lt;&gt;"Importado",0,IF(P483&gt;0,P483*H483,IFERROR(_xlfn.XLOOKUP(F483,Proveedores!A:A,Proveedores!F:F,0)*H483,0)))</f>
        <v>0</v>
      </c>
      <c r="R483" s="1134" t="e">
        <f t="shared" si="356"/>
        <v>#VALUE!</v>
      </c>
      <c r="S483" s="743"/>
      <c r="T483" s="1034" t="e">
        <f t="shared" si="343"/>
        <v>#N/A</v>
      </c>
      <c r="U483" s="1034" t="e">
        <f t="shared" si="357"/>
        <v>#N/A</v>
      </c>
      <c r="V483" s="1165" t="e">
        <f t="shared" si="344"/>
        <v>#N/A</v>
      </c>
      <c r="W483" s="1034" t="e">
        <f t="shared" si="358"/>
        <v>#N/A</v>
      </c>
      <c r="X483" s="1034" t="b">
        <f t="shared" si="359"/>
        <v>0</v>
      </c>
      <c r="Y483" s="1034">
        <f t="shared" si="360"/>
        <v>0</v>
      </c>
      <c r="Z483" s="1034">
        <f t="shared" si="361"/>
        <v>0</v>
      </c>
      <c r="AA483" s="1034">
        <f t="shared" si="345"/>
        <v>0</v>
      </c>
      <c r="AB483" s="1034">
        <f t="shared" si="346"/>
        <v>0</v>
      </c>
      <c r="AC483" s="1033">
        <f t="shared" si="362"/>
        <v>0</v>
      </c>
      <c r="AD483" s="1266">
        <f t="shared" si="347"/>
        <v>0</v>
      </c>
      <c r="AE483" s="1093">
        <f t="shared" si="363"/>
        <v>0</v>
      </c>
      <c r="AF483" s="1093">
        <f t="shared" si="364"/>
        <v>0</v>
      </c>
      <c r="AG483" s="1093">
        <f t="shared" si="348"/>
        <v>0</v>
      </c>
      <c r="AH483" s="1033" t="e">
        <f t="shared" si="349"/>
        <v>#DIV/0!</v>
      </c>
      <c r="AI483" s="1091">
        <f t="shared" si="350"/>
        <v>0</v>
      </c>
      <c r="AJ483" s="1094">
        <f t="shared" si="351"/>
        <v>0</v>
      </c>
      <c r="AK483" s="1053" t="str">
        <f t="shared" si="352"/>
        <v/>
      </c>
      <c r="AL483" s="1053"/>
      <c r="AM483" s="1290">
        <f>_xlfn.XLOOKUP(F483,Proveedores!A:A,Proveedores!G:G)</f>
        <v>0</v>
      </c>
      <c r="AN483" s="1095" t="str">
        <f t="shared" si="365"/>
        <v>OK</v>
      </c>
    </row>
    <row r="484" spans="1:40" ht="15.95">
      <c r="A484" s="1090" t="b">
        <f t="shared" si="340"/>
        <v>1</v>
      </c>
      <c r="B484" s="1091" t="b">
        <f t="shared" si="353"/>
        <v>1</v>
      </c>
      <c r="C484" s="1092" t="str">
        <f t="shared" si="354"/>
        <v>Dólares</v>
      </c>
      <c r="D484" s="13"/>
      <c r="E484" s="743"/>
      <c r="F484" s="17"/>
      <c r="G484" s="17" t="str">
        <f t="shared" si="341"/>
        <v xml:space="preserve"> </v>
      </c>
      <c r="H484" s="12">
        <v>0</v>
      </c>
      <c r="I484" s="16" t="str">
        <f>IFERROR(VLOOKUP(G484,Proveedores!B:C,2,0)," ")</f>
        <v xml:space="preserve"> </v>
      </c>
      <c r="J484" s="745">
        <v>0</v>
      </c>
      <c r="K484" s="745" t="str">
        <f t="shared" si="342"/>
        <v>Not Found</v>
      </c>
      <c r="L484" s="16">
        <f>IF(K484="Importado",Fletes!$B$66,0%)</f>
        <v>0</v>
      </c>
      <c r="M484" s="745">
        <f t="shared" si="355"/>
        <v>0</v>
      </c>
      <c r="N484" s="16">
        <f>IF(K484&lt;&gt;"Importado",0%,IF(Fletes!$B$67&lt;10,15%,IF(Fletes!$B$67&lt;20,10%,5%)))</f>
        <v>0</v>
      </c>
      <c r="O484" s="745" t="str">
        <f>IFERROR(IF(OR(F484="Offiho",F484="Lauco Sofas",F484="Requiez",F484="Labenze",F484="Sunon Mty",F484="Sonara"),(M484*(1-_xlfn.XLOOKUP(F484,Proveedores!A:A,Proveedores!I:I)))*(1+N484),((M484*(1-_xlfn.XLOOKUP(F484,Proveedores!A:A,Proveedores!I:I)))*(1+N484))+U484),"")</f>
        <v/>
      </c>
      <c r="P484" s="1031"/>
      <c r="Q484" s="1133">
        <f>IF(K484&lt;&gt;"Importado",0,IF(P484&gt;0,P484*H484,IFERROR(_xlfn.XLOOKUP(F484,Proveedores!A:A,Proveedores!F:F,0)*H484,0)))</f>
        <v>0</v>
      </c>
      <c r="R484" s="1134" t="e">
        <f t="shared" si="356"/>
        <v>#VALUE!</v>
      </c>
      <c r="S484" s="743"/>
      <c r="T484" s="1034" t="e">
        <f t="shared" si="343"/>
        <v>#N/A</v>
      </c>
      <c r="U484" s="1034" t="e">
        <f t="shared" si="357"/>
        <v>#N/A</v>
      </c>
      <c r="V484" s="1165" t="e">
        <f t="shared" si="344"/>
        <v>#N/A</v>
      </c>
      <c r="W484" s="1034" t="e">
        <f t="shared" si="358"/>
        <v>#N/A</v>
      </c>
      <c r="X484" s="1034" t="b">
        <f t="shared" si="359"/>
        <v>0</v>
      </c>
      <c r="Y484" s="1034">
        <f t="shared" si="360"/>
        <v>0</v>
      </c>
      <c r="Z484" s="1034">
        <f t="shared" si="361"/>
        <v>0</v>
      </c>
      <c r="AA484" s="1034">
        <f t="shared" si="345"/>
        <v>0</v>
      </c>
      <c r="AB484" s="1034">
        <f t="shared" si="346"/>
        <v>0</v>
      </c>
      <c r="AC484" s="1033">
        <f t="shared" si="362"/>
        <v>0</v>
      </c>
      <c r="AD484" s="1266">
        <f t="shared" si="347"/>
        <v>0</v>
      </c>
      <c r="AE484" s="1093">
        <f t="shared" si="363"/>
        <v>0</v>
      </c>
      <c r="AF484" s="1093">
        <f t="shared" si="364"/>
        <v>0</v>
      </c>
      <c r="AG484" s="1093">
        <f t="shared" si="348"/>
        <v>0</v>
      </c>
      <c r="AH484" s="1033" t="e">
        <f t="shared" si="349"/>
        <v>#DIV/0!</v>
      </c>
      <c r="AI484" s="1091">
        <f t="shared" si="350"/>
        <v>0</v>
      </c>
      <c r="AJ484" s="1094">
        <f t="shared" si="351"/>
        <v>0</v>
      </c>
      <c r="AK484" s="1053" t="str">
        <f t="shared" si="352"/>
        <v/>
      </c>
      <c r="AL484" s="1053"/>
      <c r="AM484" s="1290">
        <f>_xlfn.XLOOKUP(F484,Proveedores!A:A,Proveedores!G:G)</f>
        <v>0</v>
      </c>
      <c r="AN484" s="1095" t="str">
        <f t="shared" si="365"/>
        <v>OK</v>
      </c>
    </row>
    <row r="485" spans="1:40" ht="15.95">
      <c r="A485" s="1090" t="b">
        <f t="shared" si="340"/>
        <v>1</v>
      </c>
      <c r="B485" s="1091" t="b">
        <f t="shared" si="353"/>
        <v>1</v>
      </c>
      <c r="C485" s="1092" t="str">
        <f t="shared" si="354"/>
        <v>Dólares</v>
      </c>
      <c r="D485" s="13"/>
      <c r="E485" s="743"/>
      <c r="F485" s="17"/>
      <c r="G485" s="17" t="str">
        <f t="shared" si="341"/>
        <v xml:space="preserve"> </v>
      </c>
      <c r="H485" s="12">
        <v>0</v>
      </c>
      <c r="I485" s="16" t="str">
        <f>IFERROR(VLOOKUP(G485,Proveedores!B:C,2,0)," ")</f>
        <v xml:space="preserve"> </v>
      </c>
      <c r="J485" s="745">
        <v>0</v>
      </c>
      <c r="K485" s="745" t="str">
        <f t="shared" si="342"/>
        <v>Not Found</v>
      </c>
      <c r="L485" s="16">
        <f>IF(K485="Importado",Fletes!$B$66,0%)</f>
        <v>0</v>
      </c>
      <c r="M485" s="745">
        <f t="shared" si="355"/>
        <v>0</v>
      </c>
      <c r="N485" s="16">
        <f>IF(K485&lt;&gt;"Importado",0%,IF(Fletes!$B$67&lt;10,15%,IF(Fletes!$B$67&lt;20,10%,5%)))</f>
        <v>0</v>
      </c>
      <c r="O485" s="745" t="str">
        <f>IFERROR(IF(OR(F485="Offiho",F485="Lauco Sofas",F485="Requiez",F485="Labenze",F485="Sunon Mty",F485="Sonara"),(M485*(1-_xlfn.XLOOKUP(F485,Proveedores!A:A,Proveedores!I:I)))*(1+N485),((M485*(1-_xlfn.XLOOKUP(F485,Proveedores!A:A,Proveedores!I:I)))*(1+N485))+U485),"")</f>
        <v/>
      </c>
      <c r="P485" s="1031"/>
      <c r="Q485" s="1133">
        <f>IF(K485&lt;&gt;"Importado",0,IF(P485&gt;0,P485*H485,IFERROR(_xlfn.XLOOKUP(F485,Proveedores!A:A,Proveedores!F:F,0)*H485,0)))</f>
        <v>0</v>
      </c>
      <c r="R485" s="1134" t="e">
        <f t="shared" si="356"/>
        <v>#VALUE!</v>
      </c>
      <c r="S485" s="743"/>
      <c r="T485" s="1034" t="e">
        <f t="shared" si="343"/>
        <v>#N/A</v>
      </c>
      <c r="U485" s="1034" t="e">
        <f t="shared" si="357"/>
        <v>#N/A</v>
      </c>
      <c r="V485" s="1165" t="e">
        <f t="shared" si="344"/>
        <v>#N/A</v>
      </c>
      <c r="W485" s="1034" t="e">
        <f t="shared" si="358"/>
        <v>#N/A</v>
      </c>
      <c r="X485" s="1034" t="b">
        <f t="shared" si="359"/>
        <v>0</v>
      </c>
      <c r="Y485" s="1034">
        <f t="shared" si="360"/>
        <v>0</v>
      </c>
      <c r="Z485" s="1034">
        <f t="shared" si="361"/>
        <v>0</v>
      </c>
      <c r="AA485" s="1034">
        <f t="shared" si="345"/>
        <v>0</v>
      </c>
      <c r="AB485" s="1034">
        <f t="shared" si="346"/>
        <v>0</v>
      </c>
      <c r="AC485" s="1033">
        <f t="shared" si="362"/>
        <v>0</v>
      </c>
      <c r="AD485" s="1266">
        <f t="shared" si="347"/>
        <v>0</v>
      </c>
      <c r="AE485" s="1093">
        <f t="shared" si="363"/>
        <v>0</v>
      </c>
      <c r="AF485" s="1093">
        <f t="shared" si="364"/>
        <v>0</v>
      </c>
      <c r="AG485" s="1093">
        <f t="shared" si="348"/>
        <v>0</v>
      </c>
      <c r="AH485" s="1033" t="e">
        <f t="shared" si="349"/>
        <v>#DIV/0!</v>
      </c>
      <c r="AI485" s="1091">
        <f t="shared" si="350"/>
        <v>0</v>
      </c>
      <c r="AJ485" s="1094">
        <f t="shared" si="351"/>
        <v>0</v>
      </c>
      <c r="AK485" s="1053" t="str">
        <f t="shared" si="352"/>
        <v/>
      </c>
      <c r="AL485" s="1053"/>
      <c r="AM485" s="1290">
        <f>_xlfn.XLOOKUP(F485,Proveedores!A:A,Proveedores!G:G)</f>
        <v>0</v>
      </c>
      <c r="AN485" s="1095" t="str">
        <f t="shared" si="365"/>
        <v>OK</v>
      </c>
    </row>
    <row r="486" spans="1:40" ht="15.95">
      <c r="A486" s="1090" t="b">
        <f t="shared" si="340"/>
        <v>1</v>
      </c>
      <c r="B486" s="1091" t="b">
        <f t="shared" si="353"/>
        <v>1</v>
      </c>
      <c r="C486" s="1092" t="str">
        <f t="shared" si="354"/>
        <v>Dólares</v>
      </c>
      <c r="D486" s="13"/>
      <c r="E486" s="743"/>
      <c r="F486" s="17"/>
      <c r="G486" s="17" t="str">
        <f t="shared" si="341"/>
        <v xml:space="preserve"> </v>
      </c>
      <c r="H486" s="12">
        <v>0</v>
      </c>
      <c r="I486" s="16" t="str">
        <f>IFERROR(VLOOKUP(G486,Proveedores!B:C,2,0)," ")</f>
        <v xml:space="preserve"> </v>
      </c>
      <c r="J486" s="745">
        <v>0</v>
      </c>
      <c r="K486" s="745" t="str">
        <f t="shared" si="342"/>
        <v>Not Found</v>
      </c>
      <c r="L486" s="16">
        <f>IF(K486="Importado",Fletes!$B$66,0%)</f>
        <v>0</v>
      </c>
      <c r="M486" s="745">
        <f t="shared" si="355"/>
        <v>0</v>
      </c>
      <c r="N486" s="16">
        <f>IF(K486&lt;&gt;"Importado",0%,IF(Fletes!$B$67&lt;10,15%,IF(Fletes!$B$67&lt;20,10%,5%)))</f>
        <v>0</v>
      </c>
      <c r="O486" s="745" t="str">
        <f>IFERROR(IF(OR(F486="Offiho",F486="Lauco Sofas",F486="Requiez",F486="Labenze",F486="Sunon Mty",F486="Sonara"),(M486*(1-_xlfn.XLOOKUP(F486,Proveedores!A:A,Proveedores!I:I)))*(1+N486),((M486*(1-_xlfn.XLOOKUP(F486,Proveedores!A:A,Proveedores!I:I)))*(1+N486))+U486),"")</f>
        <v/>
      </c>
      <c r="P486" s="1031"/>
      <c r="Q486" s="1133">
        <f>IF(K486&lt;&gt;"Importado",0,IF(P486&gt;0,P486*H486,IFERROR(_xlfn.XLOOKUP(F486,Proveedores!A:A,Proveedores!F:F,0)*H486,0)))</f>
        <v>0</v>
      </c>
      <c r="R486" s="1134" t="e">
        <f t="shared" si="356"/>
        <v>#VALUE!</v>
      </c>
      <c r="S486" s="743"/>
      <c r="T486" s="1034" t="e">
        <f t="shared" si="343"/>
        <v>#N/A</v>
      </c>
      <c r="U486" s="1034" t="e">
        <f t="shared" si="357"/>
        <v>#N/A</v>
      </c>
      <c r="V486" s="1165" t="e">
        <f t="shared" si="344"/>
        <v>#N/A</v>
      </c>
      <c r="W486" s="1034" t="e">
        <f t="shared" si="358"/>
        <v>#N/A</v>
      </c>
      <c r="X486" s="1034" t="b">
        <f t="shared" si="359"/>
        <v>0</v>
      </c>
      <c r="Y486" s="1034">
        <f t="shared" si="360"/>
        <v>0</v>
      </c>
      <c r="Z486" s="1034">
        <f t="shared" si="361"/>
        <v>0</v>
      </c>
      <c r="AA486" s="1034">
        <f t="shared" si="345"/>
        <v>0</v>
      </c>
      <c r="AB486" s="1034">
        <f t="shared" si="346"/>
        <v>0</v>
      </c>
      <c r="AC486" s="1033">
        <f t="shared" si="362"/>
        <v>0</v>
      </c>
      <c r="AD486" s="1266">
        <f t="shared" si="347"/>
        <v>0</v>
      </c>
      <c r="AE486" s="1093">
        <f t="shared" si="363"/>
        <v>0</v>
      </c>
      <c r="AF486" s="1093">
        <f t="shared" si="364"/>
        <v>0</v>
      </c>
      <c r="AG486" s="1093">
        <f t="shared" si="348"/>
        <v>0</v>
      </c>
      <c r="AH486" s="1033" t="e">
        <f t="shared" si="349"/>
        <v>#DIV/0!</v>
      </c>
      <c r="AI486" s="1091">
        <f t="shared" si="350"/>
        <v>0</v>
      </c>
      <c r="AJ486" s="1094">
        <f t="shared" si="351"/>
        <v>0</v>
      </c>
      <c r="AK486" s="1053" t="str">
        <f t="shared" si="352"/>
        <v/>
      </c>
      <c r="AL486" s="1053"/>
      <c r="AM486" s="1290">
        <f>_xlfn.XLOOKUP(F486,Proveedores!A:A,Proveedores!G:G)</f>
        <v>0</v>
      </c>
      <c r="AN486" s="1095" t="str">
        <f t="shared" si="365"/>
        <v>OK</v>
      </c>
    </row>
    <row r="487" spans="1:40" ht="15.95">
      <c r="A487" s="1090" t="b">
        <f t="shared" si="340"/>
        <v>1</v>
      </c>
      <c r="B487" s="1091" t="b">
        <f t="shared" si="353"/>
        <v>1</v>
      </c>
      <c r="C487" s="1092" t="str">
        <f t="shared" si="354"/>
        <v>Dólares</v>
      </c>
      <c r="D487" s="14"/>
      <c r="E487" s="743"/>
      <c r="F487" s="17"/>
      <c r="G487" s="17" t="str">
        <f t="shared" si="341"/>
        <v xml:space="preserve"> </v>
      </c>
      <c r="H487" s="12">
        <v>0</v>
      </c>
      <c r="I487" s="16" t="str">
        <f>IFERROR(VLOOKUP(G487,Proveedores!B:C,2,0)," ")</f>
        <v xml:space="preserve"> </v>
      </c>
      <c r="J487" s="745">
        <v>0</v>
      </c>
      <c r="K487" s="745" t="str">
        <f t="shared" si="342"/>
        <v>Not Found</v>
      </c>
      <c r="L487" s="16">
        <f>IF(K487="Importado",Fletes!$B$66,0%)</f>
        <v>0</v>
      </c>
      <c r="M487" s="745">
        <f t="shared" si="355"/>
        <v>0</v>
      </c>
      <c r="N487" s="16">
        <f>IF(K487&lt;&gt;"Importado",0%,IF(Fletes!$B$67&lt;10,15%,IF(Fletes!$B$67&lt;20,10%,5%)))</f>
        <v>0</v>
      </c>
      <c r="O487" s="745" t="str">
        <f>IFERROR(IF(OR(F487="Offiho",F487="Lauco Sofas",F487="Requiez",F487="Labenze",F487="Sunon Mty",F487="Sonara"),(M487*(1-_xlfn.XLOOKUP(F487,Proveedores!A:A,Proveedores!I:I)))*(1+N487),((M487*(1-_xlfn.XLOOKUP(F487,Proveedores!A:A,Proveedores!I:I)))*(1+N487))+U487),"")</f>
        <v/>
      </c>
      <c r="P487" s="1031"/>
      <c r="Q487" s="1133">
        <f>IF(K487&lt;&gt;"Importado",0,IF(P487&gt;0,P487*H487,IFERROR(_xlfn.XLOOKUP(F487,Proveedores!A:A,Proveedores!F:F,0)*H487,0)))</f>
        <v>0</v>
      </c>
      <c r="R487" s="1134" t="e">
        <f t="shared" si="356"/>
        <v>#VALUE!</v>
      </c>
      <c r="S487" s="743"/>
      <c r="T487" s="1034" t="e">
        <f t="shared" si="343"/>
        <v>#N/A</v>
      </c>
      <c r="U487" s="1034" t="e">
        <f t="shared" si="357"/>
        <v>#N/A</v>
      </c>
      <c r="V487" s="1165" t="e">
        <f t="shared" si="344"/>
        <v>#N/A</v>
      </c>
      <c r="W487" s="1034" t="e">
        <f t="shared" si="358"/>
        <v>#N/A</v>
      </c>
      <c r="X487" s="1034" t="b">
        <f t="shared" si="359"/>
        <v>0</v>
      </c>
      <c r="Y487" s="1034">
        <f t="shared" si="360"/>
        <v>0</v>
      </c>
      <c r="Z487" s="1034">
        <f t="shared" si="361"/>
        <v>0</v>
      </c>
      <c r="AA487" s="1034">
        <f t="shared" si="345"/>
        <v>0</v>
      </c>
      <c r="AB487" s="1034">
        <f t="shared" si="346"/>
        <v>0</v>
      </c>
      <c r="AC487" s="1033">
        <f t="shared" si="362"/>
        <v>0</v>
      </c>
      <c r="AD487" s="1266">
        <f t="shared" si="347"/>
        <v>0</v>
      </c>
      <c r="AE487" s="1093">
        <f t="shared" si="363"/>
        <v>0</v>
      </c>
      <c r="AF487" s="1093">
        <f t="shared" si="364"/>
        <v>0</v>
      </c>
      <c r="AG487" s="1093">
        <f t="shared" si="348"/>
        <v>0</v>
      </c>
      <c r="AH487" s="1033" t="e">
        <f t="shared" si="349"/>
        <v>#DIV/0!</v>
      </c>
      <c r="AI487" s="1091">
        <f t="shared" si="350"/>
        <v>0</v>
      </c>
      <c r="AJ487" s="1094">
        <f t="shared" si="351"/>
        <v>0</v>
      </c>
      <c r="AK487" s="1053" t="str">
        <f t="shared" si="352"/>
        <v/>
      </c>
      <c r="AL487" s="1053"/>
      <c r="AM487" s="1290">
        <f>_xlfn.XLOOKUP(F487,Proveedores!A:A,Proveedores!G:G)</f>
        <v>0</v>
      </c>
      <c r="AN487" s="1095" t="str">
        <f t="shared" si="365"/>
        <v>OK</v>
      </c>
    </row>
    <row r="488" spans="1:40" ht="15.95">
      <c r="A488" s="1090" t="b">
        <f t="shared" si="340"/>
        <v>1</v>
      </c>
      <c r="B488" s="1091" t="b">
        <f t="shared" si="353"/>
        <v>1</v>
      </c>
      <c r="C488" s="1092" t="str">
        <f t="shared" si="354"/>
        <v>Dólares</v>
      </c>
      <c r="D488" s="15"/>
      <c r="E488" s="743"/>
      <c r="F488" s="17"/>
      <c r="G488" s="17" t="str">
        <f t="shared" si="341"/>
        <v xml:space="preserve"> </v>
      </c>
      <c r="H488" s="12">
        <v>0</v>
      </c>
      <c r="I488" s="16" t="str">
        <f>IFERROR(VLOOKUP(G488,Proveedores!B:C,2,0)," ")</f>
        <v xml:space="preserve"> </v>
      </c>
      <c r="J488" s="745">
        <v>0</v>
      </c>
      <c r="K488" s="745" t="str">
        <f t="shared" si="342"/>
        <v>Not Found</v>
      </c>
      <c r="L488" s="16">
        <f>IF(K488="Importado",Fletes!$B$66,0%)</f>
        <v>0</v>
      </c>
      <c r="M488" s="745">
        <f t="shared" si="355"/>
        <v>0</v>
      </c>
      <c r="N488" s="16">
        <f>IF(K488&lt;&gt;"Importado",0%,IF(Fletes!$B$67&lt;10,15%,IF(Fletes!$B$67&lt;20,10%,5%)))</f>
        <v>0</v>
      </c>
      <c r="O488" s="745" t="str">
        <f>IFERROR(IF(OR(F488="Offiho",F488="Lauco Sofas",F488="Requiez",F488="Labenze",F488="Sunon Mty",F488="Sonara"),(M488*(1-_xlfn.XLOOKUP(F488,Proveedores!A:A,Proveedores!I:I)))*(1+N488),((M488*(1-_xlfn.XLOOKUP(F488,Proveedores!A:A,Proveedores!I:I)))*(1+N488))+U488),"")</f>
        <v/>
      </c>
      <c r="P488" s="1031"/>
      <c r="Q488" s="1133">
        <f>IF(K488&lt;&gt;"Importado",0,IF(P488&gt;0,P488*H488,IFERROR(_xlfn.XLOOKUP(F488,Proveedores!A:A,Proveedores!F:F,0)*H488,0)))</f>
        <v>0</v>
      </c>
      <c r="R488" s="1134" t="e">
        <f t="shared" si="356"/>
        <v>#VALUE!</v>
      </c>
      <c r="S488" s="743"/>
      <c r="T488" s="1034" t="e">
        <f t="shared" si="343"/>
        <v>#N/A</v>
      </c>
      <c r="U488" s="1034" t="e">
        <f t="shared" si="357"/>
        <v>#N/A</v>
      </c>
      <c r="V488" s="1165" t="e">
        <f t="shared" si="344"/>
        <v>#N/A</v>
      </c>
      <c r="W488" s="1034" t="e">
        <f t="shared" si="358"/>
        <v>#N/A</v>
      </c>
      <c r="X488" s="1034" t="b">
        <f t="shared" si="359"/>
        <v>0</v>
      </c>
      <c r="Y488" s="1034">
        <f t="shared" si="360"/>
        <v>0</v>
      </c>
      <c r="Z488" s="1034">
        <f t="shared" si="361"/>
        <v>0</v>
      </c>
      <c r="AA488" s="1034">
        <f t="shared" si="345"/>
        <v>0</v>
      </c>
      <c r="AB488" s="1034">
        <f t="shared" si="346"/>
        <v>0</v>
      </c>
      <c r="AC488" s="1033">
        <f t="shared" si="362"/>
        <v>0</v>
      </c>
      <c r="AD488" s="1266">
        <f t="shared" si="347"/>
        <v>0</v>
      </c>
      <c r="AE488" s="1093">
        <f t="shared" si="363"/>
        <v>0</v>
      </c>
      <c r="AF488" s="1093">
        <f t="shared" si="364"/>
        <v>0</v>
      </c>
      <c r="AG488" s="1093">
        <f t="shared" si="348"/>
        <v>0</v>
      </c>
      <c r="AH488" s="1033" t="e">
        <f t="shared" si="349"/>
        <v>#DIV/0!</v>
      </c>
      <c r="AI488" s="1091">
        <f t="shared" si="350"/>
        <v>0</v>
      </c>
      <c r="AJ488" s="1094">
        <f t="shared" si="351"/>
        <v>0</v>
      </c>
      <c r="AK488" s="1053" t="str">
        <f t="shared" si="352"/>
        <v/>
      </c>
      <c r="AL488" s="1053"/>
      <c r="AM488" s="1290">
        <f>_xlfn.XLOOKUP(F488,Proveedores!A:A,Proveedores!G:G)</f>
        <v>0</v>
      </c>
      <c r="AN488" s="1095" t="str">
        <f t="shared" si="365"/>
        <v>OK</v>
      </c>
    </row>
    <row r="489" spans="1:40" ht="15.95">
      <c r="A489" s="1090" t="b">
        <f t="shared" si="340"/>
        <v>1</v>
      </c>
      <c r="B489" s="1091" t="b">
        <f t="shared" si="353"/>
        <v>1</v>
      </c>
      <c r="C489" s="1092" t="str">
        <f t="shared" si="354"/>
        <v>Dólares</v>
      </c>
      <c r="D489" s="15"/>
      <c r="E489" s="743"/>
      <c r="F489" s="17"/>
      <c r="G489" s="17" t="str">
        <f t="shared" si="341"/>
        <v xml:space="preserve"> </v>
      </c>
      <c r="H489" s="12">
        <v>0</v>
      </c>
      <c r="I489" s="16" t="str">
        <f>IFERROR(VLOOKUP(G489,Proveedores!B:C,2,0)," ")</f>
        <v xml:space="preserve"> </v>
      </c>
      <c r="J489" s="745">
        <v>0</v>
      </c>
      <c r="K489" s="745" t="str">
        <f t="shared" si="342"/>
        <v>Not Found</v>
      </c>
      <c r="L489" s="16">
        <f>IF(K489="Importado",Fletes!$B$66,0%)</f>
        <v>0</v>
      </c>
      <c r="M489" s="745">
        <f t="shared" si="355"/>
        <v>0</v>
      </c>
      <c r="N489" s="16">
        <f>IF(K489&lt;&gt;"Importado",0%,IF(Fletes!$B$67&lt;10,15%,IF(Fletes!$B$67&lt;20,10%,5%)))</f>
        <v>0</v>
      </c>
      <c r="O489" s="745" t="str">
        <f>IFERROR(IF(OR(F489="Offiho",F489="Lauco Sofas",F489="Requiez",F489="Labenze",F489="Sunon Mty",F489="Sonara"),(M489*(1-_xlfn.XLOOKUP(F489,Proveedores!A:A,Proveedores!I:I)))*(1+N489),((M489*(1-_xlfn.XLOOKUP(F489,Proveedores!A:A,Proveedores!I:I)))*(1+N489))+U489),"")</f>
        <v/>
      </c>
      <c r="P489" s="1031"/>
      <c r="Q489" s="1133">
        <f>IF(K489&lt;&gt;"Importado",0,IF(P489&gt;0,P489*H489,IFERROR(_xlfn.XLOOKUP(F489,Proveedores!A:A,Proveedores!F:F,0)*H489,0)))</f>
        <v>0</v>
      </c>
      <c r="R489" s="1134" t="e">
        <f t="shared" si="356"/>
        <v>#VALUE!</v>
      </c>
      <c r="S489" s="743"/>
      <c r="T489" s="1034" t="e">
        <f t="shared" si="343"/>
        <v>#N/A</v>
      </c>
      <c r="U489" s="1034" t="e">
        <f t="shared" si="357"/>
        <v>#N/A</v>
      </c>
      <c r="V489" s="1165" t="e">
        <f t="shared" si="344"/>
        <v>#N/A</v>
      </c>
      <c r="W489" s="1034" t="e">
        <f t="shared" si="358"/>
        <v>#N/A</v>
      </c>
      <c r="X489" s="1034" t="b">
        <f t="shared" si="359"/>
        <v>0</v>
      </c>
      <c r="Y489" s="1034">
        <f t="shared" si="360"/>
        <v>0</v>
      </c>
      <c r="Z489" s="1034">
        <f t="shared" si="361"/>
        <v>0</v>
      </c>
      <c r="AA489" s="1034">
        <f t="shared" si="345"/>
        <v>0</v>
      </c>
      <c r="AB489" s="1034">
        <f t="shared" si="346"/>
        <v>0</v>
      </c>
      <c r="AC489" s="1033">
        <f t="shared" si="362"/>
        <v>0</v>
      </c>
      <c r="AD489" s="1266">
        <f t="shared" si="347"/>
        <v>0</v>
      </c>
      <c r="AE489" s="1093">
        <f t="shared" si="363"/>
        <v>0</v>
      </c>
      <c r="AF489" s="1093">
        <f t="shared" si="364"/>
        <v>0</v>
      </c>
      <c r="AG489" s="1093">
        <f t="shared" si="348"/>
        <v>0</v>
      </c>
      <c r="AH489" s="1033" t="e">
        <f t="shared" si="349"/>
        <v>#DIV/0!</v>
      </c>
      <c r="AI489" s="1091">
        <f t="shared" si="350"/>
        <v>0</v>
      </c>
      <c r="AJ489" s="1094">
        <f t="shared" si="351"/>
        <v>0</v>
      </c>
      <c r="AK489" s="1053" t="str">
        <f t="shared" si="352"/>
        <v/>
      </c>
      <c r="AL489" s="1053"/>
      <c r="AM489" s="1290">
        <f>_xlfn.XLOOKUP(F489,Proveedores!A:A,Proveedores!G:G)</f>
        <v>0</v>
      </c>
      <c r="AN489" s="1095" t="str">
        <f t="shared" si="365"/>
        <v>OK</v>
      </c>
    </row>
    <row r="490" spans="1:40" ht="15.95">
      <c r="A490" s="1090" t="b">
        <f t="shared" si="340"/>
        <v>1</v>
      </c>
      <c r="B490" s="1091" t="b">
        <f t="shared" si="353"/>
        <v>1</v>
      </c>
      <c r="C490" s="1092" t="str">
        <f t="shared" si="354"/>
        <v>Dólares</v>
      </c>
      <c r="D490" s="15"/>
      <c r="E490" s="743"/>
      <c r="F490" s="17"/>
      <c r="G490" s="17" t="str">
        <f t="shared" si="341"/>
        <v xml:space="preserve"> </v>
      </c>
      <c r="H490" s="12">
        <v>0</v>
      </c>
      <c r="I490" s="16" t="str">
        <f>IFERROR(VLOOKUP(G490,Proveedores!B:C,2,0)," ")</f>
        <v xml:space="preserve"> </v>
      </c>
      <c r="J490" s="745">
        <v>0</v>
      </c>
      <c r="K490" s="745" t="str">
        <f t="shared" si="342"/>
        <v>Not Found</v>
      </c>
      <c r="L490" s="16">
        <f>IF(K490="Importado",Fletes!$B$66,0%)</f>
        <v>0</v>
      </c>
      <c r="M490" s="745">
        <f t="shared" si="355"/>
        <v>0</v>
      </c>
      <c r="N490" s="16">
        <f>IF(K490&lt;&gt;"Importado",0%,IF(Fletes!$B$67&lt;10,15%,IF(Fletes!$B$67&lt;20,10%,5%)))</f>
        <v>0</v>
      </c>
      <c r="O490" s="745" t="str">
        <f>IFERROR(IF(OR(F490="Offiho",F490="Lauco Sofas",F490="Requiez",F490="Labenze",F490="Sunon Mty",F490="Sonara"),(M490*(1-_xlfn.XLOOKUP(F490,Proveedores!A:A,Proveedores!I:I)))*(1+N490),((M490*(1-_xlfn.XLOOKUP(F490,Proveedores!A:A,Proveedores!I:I)))*(1+N490))+U490),"")</f>
        <v/>
      </c>
      <c r="P490" s="1031"/>
      <c r="Q490" s="1133">
        <f>IF(K490&lt;&gt;"Importado",0,IF(P490&gt;0,P490*H490,IFERROR(_xlfn.XLOOKUP(F490,Proveedores!A:A,Proveedores!F:F,0)*H490,0)))</f>
        <v>0</v>
      </c>
      <c r="R490" s="1134" t="e">
        <f t="shared" si="356"/>
        <v>#VALUE!</v>
      </c>
      <c r="S490" s="743"/>
      <c r="T490" s="1034" t="e">
        <f t="shared" si="343"/>
        <v>#N/A</v>
      </c>
      <c r="U490" s="1034" t="e">
        <f t="shared" si="357"/>
        <v>#N/A</v>
      </c>
      <c r="V490" s="1165" t="e">
        <f t="shared" si="344"/>
        <v>#N/A</v>
      </c>
      <c r="W490" s="1034" t="e">
        <f t="shared" si="358"/>
        <v>#N/A</v>
      </c>
      <c r="X490" s="1034" t="b">
        <f t="shared" si="359"/>
        <v>0</v>
      </c>
      <c r="Y490" s="1034">
        <f t="shared" si="360"/>
        <v>0</v>
      </c>
      <c r="Z490" s="1034">
        <f t="shared" si="361"/>
        <v>0</v>
      </c>
      <c r="AA490" s="1034">
        <f t="shared" si="345"/>
        <v>0</v>
      </c>
      <c r="AB490" s="1034">
        <f t="shared" si="346"/>
        <v>0</v>
      </c>
      <c r="AC490" s="1033">
        <f t="shared" si="362"/>
        <v>0</v>
      </c>
      <c r="AD490" s="1266">
        <f t="shared" si="347"/>
        <v>0</v>
      </c>
      <c r="AE490" s="1093">
        <f t="shared" si="363"/>
        <v>0</v>
      </c>
      <c r="AF490" s="1093">
        <f t="shared" si="364"/>
        <v>0</v>
      </c>
      <c r="AG490" s="1093">
        <f t="shared" si="348"/>
        <v>0</v>
      </c>
      <c r="AH490" s="1033" t="e">
        <f t="shared" si="349"/>
        <v>#DIV/0!</v>
      </c>
      <c r="AI490" s="1091">
        <f t="shared" si="350"/>
        <v>0</v>
      </c>
      <c r="AJ490" s="1094">
        <f t="shared" si="351"/>
        <v>0</v>
      </c>
      <c r="AK490" s="1053" t="str">
        <f t="shared" si="352"/>
        <v/>
      </c>
      <c r="AL490" s="1053"/>
      <c r="AM490" s="1290">
        <f>_xlfn.XLOOKUP(F490,Proveedores!A:A,Proveedores!G:G)</f>
        <v>0</v>
      </c>
      <c r="AN490" s="1095" t="str">
        <f t="shared" si="365"/>
        <v>OK</v>
      </c>
    </row>
    <row r="491" spans="1:40" ht="15.95">
      <c r="A491" s="1090" t="b">
        <f t="shared" si="340"/>
        <v>1</v>
      </c>
      <c r="B491" s="1091" t="b">
        <f t="shared" si="353"/>
        <v>1</v>
      </c>
      <c r="C491" s="1092" t="str">
        <f t="shared" si="354"/>
        <v>Dólares</v>
      </c>
      <c r="D491" s="15"/>
      <c r="E491" s="743"/>
      <c r="F491" s="17"/>
      <c r="G491" s="17" t="str">
        <f t="shared" si="341"/>
        <v xml:space="preserve"> </v>
      </c>
      <c r="H491" s="12">
        <v>0</v>
      </c>
      <c r="I491" s="16" t="str">
        <f>IFERROR(VLOOKUP(G491,Proveedores!B:C,2,0)," ")</f>
        <v xml:space="preserve"> </v>
      </c>
      <c r="J491" s="745">
        <v>0</v>
      </c>
      <c r="K491" s="745" t="str">
        <f t="shared" si="342"/>
        <v>Not Found</v>
      </c>
      <c r="L491" s="16">
        <f>IF(K491="Importado",Fletes!$B$66,0%)</f>
        <v>0</v>
      </c>
      <c r="M491" s="745">
        <f t="shared" si="355"/>
        <v>0</v>
      </c>
      <c r="N491" s="16">
        <f>IF(K491&lt;&gt;"Importado",0%,IF(Fletes!$B$67&lt;10,15%,IF(Fletes!$B$67&lt;20,10%,5%)))</f>
        <v>0</v>
      </c>
      <c r="O491" s="745" t="str">
        <f>IFERROR(IF(OR(F491="Offiho",F491="Lauco Sofas",F491="Requiez",F491="Labenze",F491="Sunon Mty",F491="Sonara"),(M491*(1-_xlfn.XLOOKUP(F491,Proveedores!A:A,Proveedores!I:I)))*(1+N491),((M491*(1-_xlfn.XLOOKUP(F491,Proveedores!A:A,Proveedores!I:I)))*(1+N491))+U491),"")</f>
        <v/>
      </c>
      <c r="P491" s="1031"/>
      <c r="Q491" s="1133">
        <f>IF(K491&lt;&gt;"Importado",0,IF(P491&gt;0,P491*H491,IFERROR(_xlfn.XLOOKUP(F491,Proveedores!A:A,Proveedores!F:F,0)*H491,0)))</f>
        <v>0</v>
      </c>
      <c r="R491" s="1134" t="e">
        <f t="shared" si="356"/>
        <v>#VALUE!</v>
      </c>
      <c r="S491" s="743"/>
      <c r="T491" s="1034" t="e">
        <f t="shared" si="343"/>
        <v>#N/A</v>
      </c>
      <c r="U491" s="1034" t="e">
        <f t="shared" si="357"/>
        <v>#N/A</v>
      </c>
      <c r="V491" s="1165" t="e">
        <f t="shared" si="344"/>
        <v>#N/A</v>
      </c>
      <c r="W491" s="1034" t="e">
        <f t="shared" si="358"/>
        <v>#N/A</v>
      </c>
      <c r="X491" s="1034" t="b">
        <f t="shared" si="359"/>
        <v>0</v>
      </c>
      <c r="Y491" s="1034">
        <f t="shared" si="360"/>
        <v>0</v>
      </c>
      <c r="Z491" s="1034">
        <f t="shared" si="361"/>
        <v>0</v>
      </c>
      <c r="AA491" s="1034">
        <f t="shared" si="345"/>
        <v>0</v>
      </c>
      <c r="AB491" s="1034">
        <f t="shared" si="346"/>
        <v>0</v>
      </c>
      <c r="AC491" s="1033">
        <f t="shared" si="362"/>
        <v>0</v>
      </c>
      <c r="AD491" s="1266">
        <f t="shared" si="347"/>
        <v>0</v>
      </c>
      <c r="AE491" s="1093">
        <f t="shared" si="363"/>
        <v>0</v>
      </c>
      <c r="AF491" s="1093">
        <f t="shared" si="364"/>
        <v>0</v>
      </c>
      <c r="AG491" s="1093">
        <f t="shared" si="348"/>
        <v>0</v>
      </c>
      <c r="AH491" s="1033" t="e">
        <f t="shared" si="349"/>
        <v>#DIV/0!</v>
      </c>
      <c r="AI491" s="1091">
        <f t="shared" si="350"/>
        <v>0</v>
      </c>
      <c r="AJ491" s="1094">
        <f t="shared" si="351"/>
        <v>0</v>
      </c>
      <c r="AK491" s="1053" t="str">
        <f t="shared" si="352"/>
        <v/>
      </c>
      <c r="AL491" s="1053"/>
      <c r="AM491" s="1290">
        <f>_xlfn.XLOOKUP(F491,Proveedores!A:A,Proveedores!G:G)</f>
        <v>0</v>
      </c>
      <c r="AN491" s="1095" t="str">
        <f t="shared" si="365"/>
        <v>OK</v>
      </c>
    </row>
    <row r="492" spans="1:40" ht="15.95">
      <c r="A492" s="1090" t="b">
        <f t="shared" si="340"/>
        <v>1</v>
      </c>
      <c r="B492" s="1091" t="b">
        <f t="shared" si="353"/>
        <v>1</v>
      </c>
      <c r="C492" s="1092" t="str">
        <f t="shared" si="354"/>
        <v>Dólares</v>
      </c>
      <c r="D492" s="14"/>
      <c r="E492" s="743"/>
      <c r="F492" s="17"/>
      <c r="G492" s="17" t="str">
        <f t="shared" si="341"/>
        <v xml:space="preserve"> </v>
      </c>
      <c r="H492" s="12">
        <v>0</v>
      </c>
      <c r="I492" s="16" t="str">
        <f>IFERROR(VLOOKUP(G492,Proveedores!B:C,2,0)," ")</f>
        <v xml:space="preserve"> </v>
      </c>
      <c r="J492" s="745">
        <v>0</v>
      </c>
      <c r="K492" s="745" t="str">
        <f t="shared" si="342"/>
        <v>Not Found</v>
      </c>
      <c r="L492" s="16">
        <f>IF(K492="Importado",Fletes!$B$66,0%)</f>
        <v>0</v>
      </c>
      <c r="M492" s="745">
        <f t="shared" si="355"/>
        <v>0</v>
      </c>
      <c r="N492" s="16">
        <f>IF(K492&lt;&gt;"Importado",0%,IF(Fletes!$B$67&lt;10,15%,IF(Fletes!$B$67&lt;20,10%,5%)))</f>
        <v>0</v>
      </c>
      <c r="O492" s="745" t="str">
        <f>IFERROR(IF(OR(F492="Offiho",F492="Lauco Sofas",F492="Requiez",F492="Labenze",F492="Sunon Mty",F492="Sonara"),(M492*(1-_xlfn.XLOOKUP(F492,Proveedores!A:A,Proveedores!I:I)))*(1+N492),((M492*(1-_xlfn.XLOOKUP(F492,Proveedores!A:A,Proveedores!I:I)))*(1+N492))+U492),"")</f>
        <v/>
      </c>
      <c r="P492" s="1031"/>
      <c r="Q492" s="1133">
        <f>IF(K492&lt;&gt;"Importado",0,IF(P492&gt;0,P492*H492,IFERROR(_xlfn.XLOOKUP(F492,Proveedores!A:A,Proveedores!F:F,0)*H492,0)))</f>
        <v>0</v>
      </c>
      <c r="R492" s="1134" t="e">
        <f t="shared" si="356"/>
        <v>#VALUE!</v>
      </c>
      <c r="S492" s="743"/>
      <c r="T492" s="1034" t="e">
        <f t="shared" si="343"/>
        <v>#N/A</v>
      </c>
      <c r="U492" s="1034" t="e">
        <f t="shared" si="357"/>
        <v>#N/A</v>
      </c>
      <c r="V492" s="1165" t="e">
        <f t="shared" si="344"/>
        <v>#N/A</v>
      </c>
      <c r="W492" s="1034" t="e">
        <f t="shared" si="358"/>
        <v>#N/A</v>
      </c>
      <c r="X492" s="1034" t="b">
        <f t="shared" si="359"/>
        <v>0</v>
      </c>
      <c r="Y492" s="1034">
        <f t="shared" si="360"/>
        <v>0</v>
      </c>
      <c r="Z492" s="1034">
        <f t="shared" si="361"/>
        <v>0</v>
      </c>
      <c r="AA492" s="1034">
        <f t="shared" si="345"/>
        <v>0</v>
      </c>
      <c r="AB492" s="1034">
        <f t="shared" si="346"/>
        <v>0</v>
      </c>
      <c r="AC492" s="1033">
        <f t="shared" si="362"/>
        <v>0</v>
      </c>
      <c r="AD492" s="1266">
        <f t="shared" si="347"/>
        <v>0</v>
      </c>
      <c r="AE492" s="1093">
        <f t="shared" si="363"/>
        <v>0</v>
      </c>
      <c r="AF492" s="1093">
        <f t="shared" si="364"/>
        <v>0</v>
      </c>
      <c r="AG492" s="1093">
        <f t="shared" si="348"/>
        <v>0</v>
      </c>
      <c r="AH492" s="1033" t="e">
        <f t="shared" si="349"/>
        <v>#DIV/0!</v>
      </c>
      <c r="AI492" s="1091">
        <f t="shared" si="350"/>
        <v>0</v>
      </c>
      <c r="AJ492" s="1094">
        <f t="shared" si="351"/>
        <v>0</v>
      </c>
      <c r="AK492" s="1053" t="str">
        <f t="shared" si="352"/>
        <v/>
      </c>
      <c r="AL492" s="1053"/>
      <c r="AM492" s="1290">
        <f>_xlfn.XLOOKUP(F492,Proveedores!A:A,Proveedores!G:G)</f>
        <v>0</v>
      </c>
      <c r="AN492" s="1095" t="str">
        <f t="shared" si="365"/>
        <v>OK</v>
      </c>
    </row>
    <row r="493" spans="1:40" ht="15.95">
      <c r="A493" s="1090" t="b">
        <f t="shared" si="340"/>
        <v>1</v>
      </c>
      <c r="B493" s="1091" t="b">
        <f t="shared" si="353"/>
        <v>1</v>
      </c>
      <c r="C493" s="1092" t="str">
        <f t="shared" si="354"/>
        <v>Dólares</v>
      </c>
      <c r="D493" s="14"/>
      <c r="E493" s="743"/>
      <c r="F493" s="17"/>
      <c r="G493" s="17" t="str">
        <f t="shared" si="341"/>
        <v xml:space="preserve"> </v>
      </c>
      <c r="H493" s="12">
        <v>0</v>
      </c>
      <c r="I493" s="16" t="str">
        <f>IFERROR(VLOOKUP(G493,Proveedores!B:C,2,0)," ")</f>
        <v xml:space="preserve"> </v>
      </c>
      <c r="J493" s="745">
        <v>0</v>
      </c>
      <c r="K493" s="745" t="str">
        <f t="shared" si="342"/>
        <v>Not Found</v>
      </c>
      <c r="L493" s="16">
        <f>IF(K493="Importado",Fletes!$B$66,0%)</f>
        <v>0</v>
      </c>
      <c r="M493" s="745">
        <f t="shared" si="355"/>
        <v>0</v>
      </c>
      <c r="N493" s="16">
        <f>IF(K493&lt;&gt;"Importado",0%,IF(Fletes!$B$67&lt;10,15%,IF(Fletes!$B$67&lt;20,10%,5%)))</f>
        <v>0</v>
      </c>
      <c r="O493" s="745" t="str">
        <f>IFERROR(IF(OR(F493="Offiho",F493="Lauco Sofas",F493="Requiez",F493="Labenze",F493="Sunon Mty",F493="Sonara"),(M493*(1-_xlfn.XLOOKUP(F493,Proveedores!A:A,Proveedores!I:I)))*(1+N493),((M493*(1-_xlfn.XLOOKUP(F493,Proveedores!A:A,Proveedores!I:I)))*(1+N493))+U493),"")</f>
        <v/>
      </c>
      <c r="P493" s="1031"/>
      <c r="Q493" s="1133">
        <f>IF(K493&lt;&gt;"Importado",0,IF(P493&gt;0,P493*H493,IFERROR(_xlfn.XLOOKUP(F493,Proveedores!A:A,Proveedores!F:F,0)*H493,0)))</f>
        <v>0</v>
      </c>
      <c r="R493" s="1134" t="e">
        <f t="shared" si="356"/>
        <v>#VALUE!</v>
      </c>
      <c r="S493" s="743"/>
      <c r="T493" s="1034" t="e">
        <f t="shared" si="343"/>
        <v>#N/A</v>
      </c>
      <c r="U493" s="1034" t="e">
        <f t="shared" si="357"/>
        <v>#N/A</v>
      </c>
      <c r="V493" s="1165" t="e">
        <f t="shared" si="344"/>
        <v>#N/A</v>
      </c>
      <c r="W493" s="1034" t="e">
        <f t="shared" si="358"/>
        <v>#N/A</v>
      </c>
      <c r="X493" s="1034" t="b">
        <f t="shared" si="359"/>
        <v>0</v>
      </c>
      <c r="Y493" s="1034">
        <f t="shared" si="360"/>
        <v>0</v>
      </c>
      <c r="Z493" s="1034">
        <f t="shared" si="361"/>
        <v>0</v>
      </c>
      <c r="AA493" s="1034">
        <f t="shared" si="345"/>
        <v>0</v>
      </c>
      <c r="AB493" s="1034">
        <f t="shared" si="346"/>
        <v>0</v>
      </c>
      <c r="AC493" s="1033">
        <f t="shared" si="362"/>
        <v>0</v>
      </c>
      <c r="AD493" s="1266">
        <f t="shared" si="347"/>
        <v>0</v>
      </c>
      <c r="AE493" s="1093">
        <f t="shared" si="363"/>
        <v>0</v>
      </c>
      <c r="AF493" s="1093">
        <f t="shared" si="364"/>
        <v>0</v>
      </c>
      <c r="AG493" s="1093">
        <f t="shared" si="348"/>
        <v>0</v>
      </c>
      <c r="AH493" s="1033" t="e">
        <f t="shared" si="349"/>
        <v>#DIV/0!</v>
      </c>
      <c r="AI493" s="1091">
        <f t="shared" si="350"/>
        <v>0</v>
      </c>
      <c r="AJ493" s="1094">
        <f t="shared" si="351"/>
        <v>0</v>
      </c>
      <c r="AK493" s="1053" t="str">
        <f t="shared" si="352"/>
        <v/>
      </c>
      <c r="AL493" s="1053"/>
      <c r="AM493" s="1290">
        <f>_xlfn.XLOOKUP(F493,Proveedores!A:A,Proveedores!G:G)</f>
        <v>0</v>
      </c>
      <c r="AN493" s="1095" t="str">
        <f t="shared" si="365"/>
        <v>OK</v>
      </c>
    </row>
    <row r="494" spans="1:40" ht="15.95">
      <c r="A494" s="1090" t="b">
        <f t="shared" si="340"/>
        <v>1</v>
      </c>
      <c r="B494" s="1091" t="b">
        <f t="shared" si="353"/>
        <v>1</v>
      </c>
      <c r="C494" s="1092" t="str">
        <f t="shared" si="354"/>
        <v>Dólares</v>
      </c>
      <c r="D494" s="14"/>
      <c r="E494" s="743"/>
      <c r="F494" s="17"/>
      <c r="G494" s="17" t="str">
        <f t="shared" si="341"/>
        <v xml:space="preserve"> </v>
      </c>
      <c r="H494" s="12">
        <v>0</v>
      </c>
      <c r="I494" s="16" t="str">
        <f>IFERROR(VLOOKUP(G494,Proveedores!B:C,2,0)," ")</f>
        <v xml:space="preserve"> </v>
      </c>
      <c r="J494" s="745">
        <v>0</v>
      </c>
      <c r="K494" s="745" t="str">
        <f t="shared" si="342"/>
        <v>Not Found</v>
      </c>
      <c r="L494" s="16">
        <f>IF(K494="Importado",Fletes!$B$66,0%)</f>
        <v>0</v>
      </c>
      <c r="M494" s="745">
        <f t="shared" si="355"/>
        <v>0</v>
      </c>
      <c r="N494" s="16">
        <f>IF(K494&lt;&gt;"Importado",0%,IF(Fletes!$B$67&lt;10,15%,IF(Fletes!$B$67&lt;20,10%,5%)))</f>
        <v>0</v>
      </c>
      <c r="O494" s="745" t="str">
        <f>IFERROR(IF(OR(F494="Offiho",F494="Lauco Sofas",F494="Requiez",F494="Labenze",F494="Sunon Mty",F494="Sonara"),(M494*(1-_xlfn.XLOOKUP(F494,Proveedores!A:A,Proveedores!I:I)))*(1+N494),((M494*(1-_xlfn.XLOOKUP(F494,Proveedores!A:A,Proveedores!I:I)))*(1+N494))+U494),"")</f>
        <v/>
      </c>
      <c r="P494" s="1031"/>
      <c r="Q494" s="1133">
        <f>IF(K494&lt;&gt;"Importado",0,IF(P494&gt;0,P494*H494,IFERROR(_xlfn.XLOOKUP(F494,Proveedores!A:A,Proveedores!F:F,0)*H494,0)))</f>
        <v>0</v>
      </c>
      <c r="R494" s="1134" t="e">
        <f t="shared" si="356"/>
        <v>#VALUE!</v>
      </c>
      <c r="S494" s="743"/>
      <c r="T494" s="1034" t="e">
        <f t="shared" si="343"/>
        <v>#N/A</v>
      </c>
      <c r="U494" s="1034" t="e">
        <f t="shared" si="357"/>
        <v>#N/A</v>
      </c>
      <c r="V494" s="1165" t="e">
        <f t="shared" si="344"/>
        <v>#N/A</v>
      </c>
      <c r="W494" s="1034" t="e">
        <f t="shared" si="358"/>
        <v>#N/A</v>
      </c>
      <c r="X494" s="1034" t="b">
        <f t="shared" si="359"/>
        <v>0</v>
      </c>
      <c r="Y494" s="1034">
        <f t="shared" si="360"/>
        <v>0</v>
      </c>
      <c r="Z494" s="1034">
        <f t="shared" si="361"/>
        <v>0</v>
      </c>
      <c r="AA494" s="1034">
        <f t="shared" si="345"/>
        <v>0</v>
      </c>
      <c r="AB494" s="1034">
        <f t="shared" si="346"/>
        <v>0</v>
      </c>
      <c r="AC494" s="1033">
        <f t="shared" si="362"/>
        <v>0</v>
      </c>
      <c r="AD494" s="1266">
        <f t="shared" si="347"/>
        <v>0</v>
      </c>
      <c r="AE494" s="1093">
        <f t="shared" si="363"/>
        <v>0</v>
      </c>
      <c r="AF494" s="1093">
        <f t="shared" si="364"/>
        <v>0</v>
      </c>
      <c r="AG494" s="1093">
        <f t="shared" si="348"/>
        <v>0</v>
      </c>
      <c r="AH494" s="1033" t="e">
        <f t="shared" si="349"/>
        <v>#DIV/0!</v>
      </c>
      <c r="AI494" s="1091">
        <f t="shared" si="350"/>
        <v>0</v>
      </c>
      <c r="AJ494" s="1094">
        <f t="shared" si="351"/>
        <v>0</v>
      </c>
      <c r="AK494" s="1053" t="str">
        <f t="shared" si="352"/>
        <v/>
      </c>
      <c r="AL494" s="1053"/>
      <c r="AM494" s="1290">
        <f>_xlfn.XLOOKUP(F494,Proveedores!A:A,Proveedores!G:G)</f>
        <v>0</v>
      </c>
      <c r="AN494" s="1095" t="str">
        <f t="shared" si="365"/>
        <v>OK</v>
      </c>
    </row>
    <row r="495" spans="1:40" ht="15.95">
      <c r="A495" s="1090" t="b">
        <f t="shared" si="340"/>
        <v>1</v>
      </c>
      <c r="B495" s="1091" t="b">
        <f t="shared" si="353"/>
        <v>1</v>
      </c>
      <c r="C495" s="1092" t="str">
        <f t="shared" si="354"/>
        <v>Dólares</v>
      </c>
      <c r="D495" s="15"/>
      <c r="E495" s="743"/>
      <c r="F495" s="17"/>
      <c r="G495" s="17" t="str">
        <f t="shared" si="341"/>
        <v xml:space="preserve"> </v>
      </c>
      <c r="H495" s="12">
        <v>0</v>
      </c>
      <c r="I495" s="16" t="str">
        <f>IFERROR(VLOOKUP(G495,Proveedores!B:C,2,0)," ")</f>
        <v xml:space="preserve"> </v>
      </c>
      <c r="J495" s="745">
        <v>0</v>
      </c>
      <c r="K495" s="745" t="str">
        <f t="shared" si="342"/>
        <v>Not Found</v>
      </c>
      <c r="L495" s="16">
        <f>IF(K495="Importado",Fletes!$B$66,0%)</f>
        <v>0</v>
      </c>
      <c r="M495" s="745">
        <f t="shared" si="355"/>
        <v>0</v>
      </c>
      <c r="N495" s="16">
        <f>IF(K495&lt;&gt;"Importado",0%,IF(Fletes!$B$67&lt;10,15%,IF(Fletes!$B$67&lt;20,10%,5%)))</f>
        <v>0</v>
      </c>
      <c r="O495" s="745" t="str">
        <f>IFERROR(IF(OR(F495="Offiho",F495="Lauco Sofas",F495="Requiez",F495="Labenze",F495="Sunon Mty",F495="Sonara"),(M495*(1-_xlfn.XLOOKUP(F495,Proveedores!A:A,Proveedores!I:I)))*(1+N495),((M495*(1-_xlfn.XLOOKUP(F495,Proveedores!A:A,Proveedores!I:I)))*(1+N495))+U495),"")</f>
        <v/>
      </c>
      <c r="P495" s="1031"/>
      <c r="Q495" s="1133">
        <f>IF(K495&lt;&gt;"Importado",0,IF(P495&gt;0,P495*H495,IFERROR(_xlfn.XLOOKUP(F495,Proveedores!A:A,Proveedores!F:F,0)*H495,0)))</f>
        <v>0</v>
      </c>
      <c r="R495" s="1134" t="e">
        <f t="shared" si="356"/>
        <v>#VALUE!</v>
      </c>
      <c r="S495" s="743"/>
      <c r="T495" s="1034" t="e">
        <f t="shared" si="343"/>
        <v>#N/A</v>
      </c>
      <c r="U495" s="1034" t="e">
        <f t="shared" si="357"/>
        <v>#N/A</v>
      </c>
      <c r="V495" s="1165" t="e">
        <f t="shared" si="344"/>
        <v>#N/A</v>
      </c>
      <c r="W495" s="1034" t="e">
        <f t="shared" si="358"/>
        <v>#N/A</v>
      </c>
      <c r="X495" s="1034" t="b">
        <f t="shared" si="359"/>
        <v>0</v>
      </c>
      <c r="Y495" s="1034">
        <f t="shared" si="360"/>
        <v>0</v>
      </c>
      <c r="Z495" s="1034">
        <f t="shared" si="361"/>
        <v>0</v>
      </c>
      <c r="AA495" s="1034">
        <f t="shared" si="345"/>
        <v>0</v>
      </c>
      <c r="AB495" s="1034">
        <f t="shared" si="346"/>
        <v>0</v>
      </c>
      <c r="AC495" s="1033">
        <f t="shared" si="362"/>
        <v>0</v>
      </c>
      <c r="AD495" s="1266">
        <f t="shared" si="347"/>
        <v>0</v>
      </c>
      <c r="AE495" s="1093">
        <f t="shared" si="363"/>
        <v>0</v>
      </c>
      <c r="AF495" s="1093">
        <f t="shared" si="364"/>
        <v>0</v>
      </c>
      <c r="AG495" s="1093">
        <f t="shared" si="348"/>
        <v>0</v>
      </c>
      <c r="AH495" s="1033" t="e">
        <f t="shared" si="349"/>
        <v>#DIV/0!</v>
      </c>
      <c r="AI495" s="1091">
        <f t="shared" si="350"/>
        <v>0</v>
      </c>
      <c r="AJ495" s="1094">
        <f t="shared" si="351"/>
        <v>0</v>
      </c>
      <c r="AK495" s="1053" t="str">
        <f t="shared" si="352"/>
        <v/>
      </c>
      <c r="AL495" s="1053"/>
      <c r="AM495" s="1290">
        <f>_xlfn.XLOOKUP(F495,Proveedores!A:A,Proveedores!G:G)</f>
        <v>0</v>
      </c>
      <c r="AN495" s="1095" t="str">
        <f t="shared" si="365"/>
        <v>OK</v>
      </c>
    </row>
    <row r="496" spans="1:40" ht="15.95">
      <c r="A496" s="1090" t="b">
        <f t="shared" si="340"/>
        <v>1</v>
      </c>
      <c r="B496" s="1091" t="b">
        <f t="shared" si="353"/>
        <v>1</v>
      </c>
      <c r="C496" s="1092" t="str">
        <f t="shared" si="354"/>
        <v>Dólares</v>
      </c>
      <c r="D496" s="15"/>
      <c r="E496" s="743"/>
      <c r="F496" s="17"/>
      <c r="G496" s="17" t="str">
        <f t="shared" si="341"/>
        <v xml:space="preserve"> </v>
      </c>
      <c r="H496" s="12">
        <v>0</v>
      </c>
      <c r="I496" s="16" t="str">
        <f>IFERROR(VLOOKUP(G496,Proveedores!B:C,2,0)," ")</f>
        <v xml:space="preserve"> </v>
      </c>
      <c r="J496" s="745">
        <v>0</v>
      </c>
      <c r="K496" s="745" t="str">
        <f t="shared" si="342"/>
        <v>Not Found</v>
      </c>
      <c r="L496" s="16">
        <f>IF(K496="Importado",Fletes!$B$66,0%)</f>
        <v>0</v>
      </c>
      <c r="M496" s="745">
        <f t="shared" si="355"/>
        <v>0</v>
      </c>
      <c r="N496" s="16">
        <f>IF(K496&lt;&gt;"Importado",0%,IF(Fletes!$B$67&lt;10,15%,IF(Fletes!$B$67&lt;20,10%,5%)))</f>
        <v>0</v>
      </c>
      <c r="O496" s="745" t="str">
        <f>IFERROR(IF(OR(F496="Offiho",F496="Lauco Sofas",F496="Requiez",F496="Labenze",F496="Sunon Mty",F496="Sonara"),(M496*(1-_xlfn.XLOOKUP(F496,Proveedores!A:A,Proveedores!I:I)))*(1+N496),((M496*(1-_xlfn.XLOOKUP(F496,Proveedores!A:A,Proveedores!I:I)))*(1+N496))+U496),"")</f>
        <v/>
      </c>
      <c r="P496" s="1031"/>
      <c r="Q496" s="1133">
        <f>IF(K496&lt;&gt;"Importado",0,IF(P496&gt;0,P496*H496,IFERROR(_xlfn.XLOOKUP(F496,Proveedores!A:A,Proveedores!F:F,0)*H496,0)))</f>
        <v>0</v>
      </c>
      <c r="R496" s="1134" t="e">
        <f t="shared" si="356"/>
        <v>#VALUE!</v>
      </c>
      <c r="S496" s="743"/>
      <c r="T496" s="1034" t="e">
        <f t="shared" si="343"/>
        <v>#N/A</v>
      </c>
      <c r="U496" s="1034" t="e">
        <f t="shared" si="357"/>
        <v>#N/A</v>
      </c>
      <c r="V496" s="1165" t="e">
        <f t="shared" si="344"/>
        <v>#N/A</v>
      </c>
      <c r="W496" s="1034" t="e">
        <f t="shared" si="358"/>
        <v>#N/A</v>
      </c>
      <c r="X496" s="1034" t="b">
        <f t="shared" si="359"/>
        <v>0</v>
      </c>
      <c r="Y496" s="1034">
        <f t="shared" si="360"/>
        <v>0</v>
      </c>
      <c r="Z496" s="1034">
        <f t="shared" si="361"/>
        <v>0</v>
      </c>
      <c r="AA496" s="1034">
        <f t="shared" si="345"/>
        <v>0</v>
      </c>
      <c r="AB496" s="1034">
        <f t="shared" si="346"/>
        <v>0</v>
      </c>
      <c r="AC496" s="1033">
        <f t="shared" si="362"/>
        <v>0</v>
      </c>
      <c r="AD496" s="1266">
        <f t="shared" si="347"/>
        <v>0</v>
      </c>
      <c r="AE496" s="1093">
        <f t="shared" si="363"/>
        <v>0</v>
      </c>
      <c r="AF496" s="1093">
        <f t="shared" si="364"/>
        <v>0</v>
      </c>
      <c r="AG496" s="1093">
        <f t="shared" si="348"/>
        <v>0</v>
      </c>
      <c r="AH496" s="1033" t="e">
        <f t="shared" si="349"/>
        <v>#DIV/0!</v>
      </c>
      <c r="AI496" s="1091">
        <f t="shared" si="350"/>
        <v>0</v>
      </c>
      <c r="AJ496" s="1094">
        <f t="shared" si="351"/>
        <v>0</v>
      </c>
      <c r="AK496" s="1053" t="str">
        <f t="shared" si="352"/>
        <v/>
      </c>
      <c r="AL496" s="1053"/>
      <c r="AM496" s="1290">
        <f>_xlfn.XLOOKUP(F496,Proveedores!A:A,Proveedores!G:G)</f>
        <v>0</v>
      </c>
      <c r="AN496" s="1095" t="str">
        <f t="shared" si="365"/>
        <v>OK</v>
      </c>
    </row>
    <row r="497" spans="1:40" ht="15.95">
      <c r="A497" s="1090" t="b">
        <f t="shared" si="340"/>
        <v>1</v>
      </c>
      <c r="B497" s="1091" t="b">
        <f t="shared" si="353"/>
        <v>1</v>
      </c>
      <c r="C497" s="1092" t="str">
        <f t="shared" si="354"/>
        <v>Dólares</v>
      </c>
      <c r="D497" s="14"/>
      <c r="E497" s="743"/>
      <c r="F497" s="17"/>
      <c r="G497" s="17" t="str">
        <f t="shared" si="341"/>
        <v xml:space="preserve"> </v>
      </c>
      <c r="H497" s="12">
        <v>0</v>
      </c>
      <c r="I497" s="16" t="str">
        <f>IFERROR(VLOOKUP(G497,Proveedores!B:C,2,0)," ")</f>
        <v xml:space="preserve"> </v>
      </c>
      <c r="J497" s="745">
        <v>0</v>
      </c>
      <c r="K497" s="745" t="str">
        <f t="shared" si="342"/>
        <v>Not Found</v>
      </c>
      <c r="L497" s="16">
        <f>IF(K497="Importado",Fletes!$B$66,0%)</f>
        <v>0</v>
      </c>
      <c r="M497" s="745">
        <f t="shared" si="355"/>
        <v>0</v>
      </c>
      <c r="N497" s="16">
        <f>IF(K497&lt;&gt;"Importado",0%,IF(Fletes!$B$67&lt;10,15%,IF(Fletes!$B$67&lt;20,10%,5%)))</f>
        <v>0</v>
      </c>
      <c r="O497" s="745" t="str">
        <f>IFERROR(IF(OR(F497="Offiho",F497="Lauco Sofas",F497="Requiez",F497="Labenze",F497="Sunon Mty",F497="Sonara"),(M497*(1-_xlfn.XLOOKUP(F497,Proveedores!A:A,Proveedores!I:I)))*(1+N497),((M497*(1-_xlfn.XLOOKUP(F497,Proveedores!A:A,Proveedores!I:I)))*(1+N497))+U497),"")</f>
        <v/>
      </c>
      <c r="P497" s="1031"/>
      <c r="Q497" s="1133">
        <f>IF(K497&lt;&gt;"Importado",0,IF(P497&gt;0,P497*H497,IFERROR(_xlfn.XLOOKUP(F497,Proveedores!A:A,Proveedores!F:F,0)*H497,0)))</f>
        <v>0</v>
      </c>
      <c r="R497" s="1134" t="e">
        <f t="shared" si="356"/>
        <v>#VALUE!</v>
      </c>
      <c r="S497" s="743"/>
      <c r="T497" s="1034" t="e">
        <f t="shared" si="343"/>
        <v>#N/A</v>
      </c>
      <c r="U497" s="1034" t="e">
        <f t="shared" si="357"/>
        <v>#N/A</v>
      </c>
      <c r="V497" s="1165" t="e">
        <f t="shared" si="344"/>
        <v>#N/A</v>
      </c>
      <c r="W497" s="1034" t="e">
        <f t="shared" si="358"/>
        <v>#N/A</v>
      </c>
      <c r="X497" s="1034" t="b">
        <f t="shared" si="359"/>
        <v>0</v>
      </c>
      <c r="Y497" s="1034">
        <f t="shared" si="360"/>
        <v>0</v>
      </c>
      <c r="Z497" s="1034">
        <f t="shared" si="361"/>
        <v>0</v>
      </c>
      <c r="AA497" s="1034">
        <f t="shared" si="345"/>
        <v>0</v>
      </c>
      <c r="AB497" s="1034">
        <f t="shared" si="346"/>
        <v>0</v>
      </c>
      <c r="AC497" s="1033">
        <f t="shared" si="362"/>
        <v>0</v>
      </c>
      <c r="AD497" s="1266">
        <f t="shared" si="347"/>
        <v>0</v>
      </c>
      <c r="AE497" s="1093">
        <f t="shared" si="363"/>
        <v>0</v>
      </c>
      <c r="AF497" s="1093">
        <f t="shared" si="364"/>
        <v>0</v>
      </c>
      <c r="AG497" s="1093">
        <f t="shared" si="348"/>
        <v>0</v>
      </c>
      <c r="AH497" s="1033" t="e">
        <f t="shared" si="349"/>
        <v>#DIV/0!</v>
      </c>
      <c r="AI497" s="1091">
        <f t="shared" si="350"/>
        <v>0</v>
      </c>
      <c r="AJ497" s="1094">
        <f t="shared" si="351"/>
        <v>0</v>
      </c>
      <c r="AK497" s="1053" t="str">
        <f t="shared" si="352"/>
        <v/>
      </c>
      <c r="AL497" s="1053"/>
      <c r="AM497" s="1290">
        <f>_xlfn.XLOOKUP(F497,Proveedores!A:A,Proveedores!G:G)</f>
        <v>0</v>
      </c>
      <c r="AN497" s="1095" t="str">
        <f t="shared" si="365"/>
        <v>OK</v>
      </c>
    </row>
    <row r="498" spans="1:40" ht="15.95">
      <c r="A498" s="1090" t="b">
        <f t="shared" si="340"/>
        <v>1</v>
      </c>
      <c r="B498" s="1091" t="b">
        <f t="shared" si="353"/>
        <v>1</v>
      </c>
      <c r="C498" s="1092" t="str">
        <f t="shared" si="354"/>
        <v>Dólares</v>
      </c>
      <c r="D498" s="14"/>
      <c r="E498" s="743"/>
      <c r="F498" s="17"/>
      <c r="G498" s="17" t="str">
        <f t="shared" si="341"/>
        <v xml:space="preserve"> </v>
      </c>
      <c r="H498" s="12">
        <v>0</v>
      </c>
      <c r="I498" s="16" t="str">
        <f>IFERROR(VLOOKUP(G498,Proveedores!B:C,2,0)," ")</f>
        <v xml:space="preserve"> </v>
      </c>
      <c r="J498" s="745">
        <v>0</v>
      </c>
      <c r="K498" s="745" t="str">
        <f t="shared" si="342"/>
        <v>Not Found</v>
      </c>
      <c r="L498" s="16">
        <f>IF(K498="Importado",Fletes!$B$66,0%)</f>
        <v>0</v>
      </c>
      <c r="M498" s="745">
        <f t="shared" si="355"/>
        <v>0</v>
      </c>
      <c r="N498" s="16">
        <f>IF(K498&lt;&gt;"Importado",0%,IF(Fletes!$B$67&lt;10,15%,IF(Fletes!$B$67&lt;20,10%,5%)))</f>
        <v>0</v>
      </c>
      <c r="O498" s="745" t="str">
        <f>IFERROR(IF(OR(F498="Offiho",F498="Lauco Sofas",F498="Requiez",F498="Labenze",F498="Sunon Mty",F498="Sonara"),(M498*(1-_xlfn.XLOOKUP(F498,Proveedores!A:A,Proveedores!I:I)))*(1+N498),((M498*(1-_xlfn.XLOOKUP(F498,Proveedores!A:A,Proveedores!I:I)))*(1+N498))+U498),"")</f>
        <v/>
      </c>
      <c r="P498" s="1031"/>
      <c r="Q498" s="1133">
        <f>IF(K498&lt;&gt;"Importado",0,IF(P498&gt;0,P498*H498,IFERROR(_xlfn.XLOOKUP(F498,Proveedores!A:A,Proveedores!F:F,0)*H498,0)))</f>
        <v>0</v>
      </c>
      <c r="R498" s="1134" t="e">
        <f t="shared" si="356"/>
        <v>#VALUE!</v>
      </c>
      <c r="S498" s="743"/>
      <c r="T498" s="1034" t="e">
        <f t="shared" si="343"/>
        <v>#N/A</v>
      </c>
      <c r="U498" s="1034" t="e">
        <f t="shared" si="357"/>
        <v>#N/A</v>
      </c>
      <c r="V498" s="1165" t="e">
        <f t="shared" si="344"/>
        <v>#N/A</v>
      </c>
      <c r="W498" s="1034" t="e">
        <f t="shared" si="358"/>
        <v>#N/A</v>
      </c>
      <c r="X498" s="1034" t="b">
        <f t="shared" si="359"/>
        <v>0</v>
      </c>
      <c r="Y498" s="1034">
        <f t="shared" si="360"/>
        <v>0</v>
      </c>
      <c r="Z498" s="1034">
        <f t="shared" si="361"/>
        <v>0</v>
      </c>
      <c r="AA498" s="1034">
        <f t="shared" si="345"/>
        <v>0</v>
      </c>
      <c r="AB498" s="1034">
        <f t="shared" si="346"/>
        <v>0</v>
      </c>
      <c r="AC498" s="1033">
        <f t="shared" si="362"/>
        <v>0</v>
      </c>
      <c r="AD498" s="1266">
        <f t="shared" si="347"/>
        <v>0</v>
      </c>
      <c r="AE498" s="1093">
        <f t="shared" si="363"/>
        <v>0</v>
      </c>
      <c r="AF498" s="1093">
        <f t="shared" si="364"/>
        <v>0</v>
      </c>
      <c r="AG498" s="1093">
        <f t="shared" si="348"/>
        <v>0</v>
      </c>
      <c r="AH498" s="1033" t="e">
        <f t="shared" si="349"/>
        <v>#DIV/0!</v>
      </c>
      <c r="AI498" s="1091">
        <f t="shared" si="350"/>
        <v>0</v>
      </c>
      <c r="AJ498" s="1094">
        <f t="shared" si="351"/>
        <v>0</v>
      </c>
      <c r="AK498" s="1053" t="str">
        <f t="shared" si="352"/>
        <v/>
      </c>
      <c r="AL498" s="1053"/>
      <c r="AM498" s="1290">
        <f>_xlfn.XLOOKUP(F498,Proveedores!A:A,Proveedores!G:G)</f>
        <v>0</v>
      </c>
      <c r="AN498" s="1095" t="str">
        <f t="shared" si="365"/>
        <v>OK</v>
      </c>
    </row>
    <row r="499" spans="1:40" ht="15.95">
      <c r="A499" s="1090" t="b">
        <f t="shared" si="340"/>
        <v>1</v>
      </c>
      <c r="B499" s="1091" t="b">
        <f t="shared" si="353"/>
        <v>1</v>
      </c>
      <c r="C499" s="1092" t="str">
        <f t="shared" si="354"/>
        <v>Dólares</v>
      </c>
      <c r="D499" s="14"/>
      <c r="E499" s="743"/>
      <c r="F499" s="17"/>
      <c r="G499" s="17" t="str">
        <f t="shared" si="341"/>
        <v xml:space="preserve"> </v>
      </c>
      <c r="H499" s="12">
        <v>0</v>
      </c>
      <c r="I499" s="16" t="str">
        <f>IFERROR(VLOOKUP(G499,Proveedores!B:C,2,0)," ")</f>
        <v xml:space="preserve"> </v>
      </c>
      <c r="J499" s="745">
        <v>0</v>
      </c>
      <c r="K499" s="745" t="str">
        <f t="shared" si="342"/>
        <v>Not Found</v>
      </c>
      <c r="L499" s="16">
        <f>IF(K499="Importado",Fletes!$B$66,0%)</f>
        <v>0</v>
      </c>
      <c r="M499" s="745">
        <f t="shared" si="355"/>
        <v>0</v>
      </c>
      <c r="N499" s="16">
        <f>IF(K499&lt;&gt;"Importado",0%,IF(Fletes!$B$67&lt;10,15%,IF(Fletes!$B$67&lt;20,10%,5%)))</f>
        <v>0</v>
      </c>
      <c r="O499" s="745" t="str">
        <f>IFERROR(IF(OR(F499="Offiho",F499="Lauco Sofas",F499="Requiez",F499="Labenze",F499="Sunon Mty",F499="Sonara"),(M499*(1-_xlfn.XLOOKUP(F499,Proveedores!A:A,Proveedores!I:I)))*(1+N499),((M499*(1-_xlfn.XLOOKUP(F499,Proveedores!A:A,Proveedores!I:I)))*(1+N499))+U499),"")</f>
        <v/>
      </c>
      <c r="P499" s="1031"/>
      <c r="Q499" s="1133">
        <f>IF(K499&lt;&gt;"Importado",0,IF(P499&gt;0,P499*H499,IFERROR(_xlfn.XLOOKUP(F499,Proveedores!A:A,Proveedores!F:F,0)*H499,0)))</f>
        <v>0</v>
      </c>
      <c r="R499" s="1134" t="e">
        <f t="shared" si="356"/>
        <v>#VALUE!</v>
      </c>
      <c r="S499" s="743"/>
      <c r="T499" s="1034" t="e">
        <f t="shared" si="343"/>
        <v>#N/A</v>
      </c>
      <c r="U499" s="1034" t="e">
        <f t="shared" si="357"/>
        <v>#N/A</v>
      </c>
      <c r="V499" s="1165" t="e">
        <f t="shared" si="344"/>
        <v>#N/A</v>
      </c>
      <c r="W499" s="1034" t="e">
        <f t="shared" si="358"/>
        <v>#N/A</v>
      </c>
      <c r="X499" s="1034" t="b">
        <f t="shared" si="359"/>
        <v>0</v>
      </c>
      <c r="Y499" s="1034">
        <f t="shared" si="360"/>
        <v>0</v>
      </c>
      <c r="Z499" s="1034">
        <f t="shared" si="361"/>
        <v>0</v>
      </c>
      <c r="AA499" s="1034">
        <f t="shared" si="345"/>
        <v>0</v>
      </c>
      <c r="AB499" s="1034">
        <f t="shared" si="346"/>
        <v>0</v>
      </c>
      <c r="AC499" s="1033">
        <f t="shared" si="362"/>
        <v>0</v>
      </c>
      <c r="AD499" s="1266">
        <f t="shared" si="347"/>
        <v>0</v>
      </c>
      <c r="AE499" s="1093">
        <f t="shared" si="363"/>
        <v>0</v>
      </c>
      <c r="AF499" s="1093">
        <f t="shared" si="364"/>
        <v>0</v>
      </c>
      <c r="AG499" s="1093">
        <f t="shared" si="348"/>
        <v>0</v>
      </c>
      <c r="AH499" s="1033" t="e">
        <f t="shared" si="349"/>
        <v>#DIV/0!</v>
      </c>
      <c r="AI499" s="1091">
        <f t="shared" si="350"/>
        <v>0</v>
      </c>
      <c r="AJ499" s="1094">
        <f t="shared" si="351"/>
        <v>0</v>
      </c>
      <c r="AK499" s="1053" t="str">
        <f t="shared" si="352"/>
        <v/>
      </c>
      <c r="AL499" s="1053"/>
      <c r="AM499" s="1290">
        <f>_xlfn.XLOOKUP(F499,Proveedores!A:A,Proveedores!G:G)</f>
        <v>0</v>
      </c>
      <c r="AN499" s="1095" t="str">
        <f t="shared" si="365"/>
        <v>OK</v>
      </c>
    </row>
    <row r="500" spans="1:40" ht="15.95">
      <c r="A500" s="1090" t="b">
        <f t="shared" si="340"/>
        <v>1</v>
      </c>
      <c r="B500" s="1091" t="b">
        <f t="shared" si="353"/>
        <v>1</v>
      </c>
      <c r="C500" s="1092" t="str">
        <f t="shared" si="354"/>
        <v>Dólares</v>
      </c>
      <c r="D500" s="14"/>
      <c r="E500" s="743"/>
      <c r="F500" s="17"/>
      <c r="G500" s="17" t="str">
        <f t="shared" si="341"/>
        <v xml:space="preserve"> </v>
      </c>
      <c r="H500" s="12">
        <v>0</v>
      </c>
      <c r="I500" s="16" t="str">
        <f>IFERROR(VLOOKUP(G500,Proveedores!B:C,2,0)," ")</f>
        <v xml:space="preserve"> </v>
      </c>
      <c r="J500" s="745">
        <v>0</v>
      </c>
      <c r="K500" s="745" t="str">
        <f t="shared" si="342"/>
        <v>Not Found</v>
      </c>
      <c r="L500" s="16">
        <f>IF(K500="Importado",Fletes!$B$66,0%)</f>
        <v>0</v>
      </c>
      <c r="M500" s="745">
        <f t="shared" si="355"/>
        <v>0</v>
      </c>
      <c r="N500" s="16">
        <f>IF(K500&lt;&gt;"Importado",0%,IF(Fletes!$B$67&lt;10,15%,IF(Fletes!$B$67&lt;20,10%,5%)))</f>
        <v>0</v>
      </c>
      <c r="O500" s="745" t="str">
        <f>IFERROR(IF(OR(F500="Offiho",F500="Lauco Sofas",F500="Requiez",F500="Labenze",F500="Sunon Mty",F500="Sonara"),(M500*(1-_xlfn.XLOOKUP(F500,Proveedores!A:A,Proveedores!I:I)))*(1+N500),((M500*(1-_xlfn.XLOOKUP(F500,Proveedores!A:A,Proveedores!I:I)))*(1+N500))+U500),"")</f>
        <v/>
      </c>
      <c r="P500" s="1031"/>
      <c r="Q500" s="1133">
        <f>IF(K500&lt;&gt;"Importado",0,IF(P500&gt;0,P500*H500,IFERROR(_xlfn.XLOOKUP(F500,Proveedores!A:A,Proveedores!F:F,0)*H500,0)))</f>
        <v>0</v>
      </c>
      <c r="R500" s="1134" t="e">
        <f t="shared" si="356"/>
        <v>#VALUE!</v>
      </c>
      <c r="S500" s="743"/>
      <c r="T500" s="1034" t="e">
        <f t="shared" si="343"/>
        <v>#N/A</v>
      </c>
      <c r="U500" s="1034" t="e">
        <f t="shared" si="357"/>
        <v>#N/A</v>
      </c>
      <c r="V500" s="1165" t="e">
        <f t="shared" si="344"/>
        <v>#N/A</v>
      </c>
      <c r="W500" s="1034" t="e">
        <f t="shared" si="358"/>
        <v>#N/A</v>
      </c>
      <c r="X500" s="1034" t="b">
        <f t="shared" si="359"/>
        <v>0</v>
      </c>
      <c r="Y500" s="1034">
        <f t="shared" si="360"/>
        <v>0</v>
      </c>
      <c r="Z500" s="1034">
        <f t="shared" si="361"/>
        <v>0</v>
      </c>
      <c r="AA500" s="1034">
        <f t="shared" si="345"/>
        <v>0</v>
      </c>
      <c r="AB500" s="1034">
        <f t="shared" si="346"/>
        <v>0</v>
      </c>
      <c r="AC500" s="1033">
        <f t="shared" si="362"/>
        <v>0</v>
      </c>
      <c r="AD500" s="1266">
        <f t="shared" si="347"/>
        <v>0</v>
      </c>
      <c r="AE500" s="1093">
        <f t="shared" si="363"/>
        <v>0</v>
      </c>
      <c r="AF500" s="1093">
        <f t="shared" si="364"/>
        <v>0</v>
      </c>
      <c r="AG500" s="1093">
        <f t="shared" si="348"/>
        <v>0</v>
      </c>
      <c r="AH500" s="1033" t="e">
        <f t="shared" si="349"/>
        <v>#DIV/0!</v>
      </c>
      <c r="AI500" s="1091">
        <f t="shared" si="350"/>
        <v>0</v>
      </c>
      <c r="AJ500" s="1094">
        <f t="shared" si="351"/>
        <v>0</v>
      </c>
      <c r="AK500" s="1053" t="str">
        <f t="shared" si="352"/>
        <v/>
      </c>
      <c r="AL500" s="1053"/>
      <c r="AM500" s="1290">
        <f>_xlfn.XLOOKUP(F500,Proveedores!A:A,Proveedores!G:G)</f>
        <v>0</v>
      </c>
      <c r="AN500" s="1095" t="str">
        <f t="shared" si="365"/>
        <v>OK</v>
      </c>
    </row>
    <row r="501" spans="1:40" ht="15.95">
      <c r="A501" s="1090" t="b">
        <f t="shared" si="340"/>
        <v>1</v>
      </c>
      <c r="B501" s="1091" t="b">
        <f t="shared" si="353"/>
        <v>1</v>
      </c>
      <c r="C501" s="1092" t="str">
        <f t="shared" si="354"/>
        <v>Dólares</v>
      </c>
      <c r="D501" s="14"/>
      <c r="E501" s="743"/>
      <c r="F501" s="17"/>
      <c r="G501" s="17" t="str">
        <f t="shared" si="341"/>
        <v xml:space="preserve"> </v>
      </c>
      <c r="H501" s="12">
        <v>0</v>
      </c>
      <c r="I501" s="16" t="str">
        <f>IFERROR(VLOOKUP(G501,Proveedores!B:C,2,0)," ")</f>
        <v xml:space="preserve"> </v>
      </c>
      <c r="J501" s="745">
        <v>0</v>
      </c>
      <c r="K501" s="745" t="str">
        <f t="shared" si="342"/>
        <v>Not Found</v>
      </c>
      <c r="L501" s="16">
        <f>IF(K501="Importado",Fletes!$B$66,0%)</f>
        <v>0</v>
      </c>
      <c r="M501" s="745">
        <f t="shared" si="355"/>
        <v>0</v>
      </c>
      <c r="N501" s="16">
        <f>IF(K501&lt;&gt;"Importado",0%,IF(Fletes!$B$67&lt;10,15%,IF(Fletes!$B$67&lt;20,10%,5%)))</f>
        <v>0</v>
      </c>
      <c r="O501" s="745" t="str">
        <f>IFERROR(IF(OR(F501="Offiho",F501="Lauco Sofas",F501="Requiez",F501="Labenze",F501="Sunon Mty",F501="Sonara"),(M501*(1-_xlfn.XLOOKUP(F501,Proveedores!A:A,Proveedores!I:I)))*(1+N501),((M501*(1-_xlfn.XLOOKUP(F501,Proveedores!A:A,Proveedores!I:I)))*(1+N501))+U501),"")</f>
        <v/>
      </c>
      <c r="P501" s="1031"/>
      <c r="Q501" s="1133">
        <f>IF(K501&lt;&gt;"Importado",0,IF(P501&gt;0,P501*H501,IFERROR(_xlfn.XLOOKUP(F501,Proveedores!A:A,Proveedores!F:F,0)*H501,0)))</f>
        <v>0</v>
      </c>
      <c r="R501" s="1134" t="e">
        <f t="shared" si="356"/>
        <v>#VALUE!</v>
      </c>
      <c r="S501" s="743"/>
      <c r="T501" s="1034" t="e">
        <f t="shared" si="343"/>
        <v>#N/A</v>
      </c>
      <c r="U501" s="1034" t="e">
        <f t="shared" si="357"/>
        <v>#N/A</v>
      </c>
      <c r="V501" s="1165" t="e">
        <f t="shared" si="344"/>
        <v>#N/A</v>
      </c>
      <c r="W501" s="1034" t="e">
        <f t="shared" si="358"/>
        <v>#N/A</v>
      </c>
      <c r="X501" s="1034" t="b">
        <f t="shared" si="359"/>
        <v>0</v>
      </c>
      <c r="Y501" s="1034">
        <f t="shared" si="360"/>
        <v>0</v>
      </c>
      <c r="Z501" s="1034">
        <f t="shared" si="361"/>
        <v>0</v>
      </c>
      <c r="AA501" s="1034">
        <f t="shared" si="345"/>
        <v>0</v>
      </c>
      <c r="AB501" s="1034">
        <f t="shared" si="346"/>
        <v>0</v>
      </c>
      <c r="AC501" s="1033">
        <f t="shared" si="362"/>
        <v>0</v>
      </c>
      <c r="AD501" s="1266">
        <f t="shared" si="347"/>
        <v>0</v>
      </c>
      <c r="AE501" s="1093">
        <f t="shared" si="363"/>
        <v>0</v>
      </c>
      <c r="AF501" s="1093">
        <f t="shared" si="364"/>
        <v>0</v>
      </c>
      <c r="AG501" s="1093">
        <f t="shared" si="348"/>
        <v>0</v>
      </c>
      <c r="AH501" s="1033" t="e">
        <f t="shared" si="349"/>
        <v>#DIV/0!</v>
      </c>
      <c r="AI501" s="1091">
        <f t="shared" si="350"/>
        <v>0</v>
      </c>
      <c r="AJ501" s="1094">
        <f t="shared" si="351"/>
        <v>0</v>
      </c>
      <c r="AK501" s="1053" t="str">
        <f t="shared" si="352"/>
        <v/>
      </c>
      <c r="AL501" s="1053"/>
      <c r="AM501" s="1290">
        <f>_xlfn.XLOOKUP(F501,Proveedores!A:A,Proveedores!G:G)</f>
        <v>0</v>
      </c>
      <c r="AN501" s="1095" t="str">
        <f t="shared" si="365"/>
        <v>OK</v>
      </c>
    </row>
    <row r="502" spans="1:40" ht="15.95">
      <c r="A502" s="1090" t="b">
        <f t="shared" si="340"/>
        <v>1</v>
      </c>
      <c r="B502" s="1091" t="b">
        <f t="shared" si="353"/>
        <v>1</v>
      </c>
      <c r="C502" s="1092" t="str">
        <f t="shared" si="354"/>
        <v>Dólares</v>
      </c>
      <c r="D502" s="14"/>
      <c r="E502" s="743"/>
      <c r="F502" s="17"/>
      <c r="G502" s="17" t="str">
        <f t="shared" si="341"/>
        <v xml:space="preserve"> </v>
      </c>
      <c r="H502" s="12">
        <v>0</v>
      </c>
      <c r="I502" s="16" t="str">
        <f>IFERROR(VLOOKUP(G502,Proveedores!B:C,2,0)," ")</f>
        <v xml:space="preserve"> </v>
      </c>
      <c r="J502" s="745">
        <v>0</v>
      </c>
      <c r="K502" s="745" t="str">
        <f t="shared" si="342"/>
        <v>Not Found</v>
      </c>
      <c r="L502" s="16">
        <f>IF(K502="Importado",Fletes!$B$66,0%)</f>
        <v>0</v>
      </c>
      <c r="M502" s="745">
        <f t="shared" si="355"/>
        <v>0</v>
      </c>
      <c r="N502" s="16">
        <f>IF(K502&lt;&gt;"Importado",0%,IF(Fletes!$B$67&lt;10,15%,IF(Fletes!$B$67&lt;20,10%,5%)))</f>
        <v>0</v>
      </c>
      <c r="O502" s="745" t="str">
        <f>IFERROR(IF(OR(F502="Offiho",F502="Lauco Sofas",F502="Requiez",F502="Labenze",F502="Sunon Mty",F502="Sonara"),(M502*(1-_xlfn.XLOOKUP(F502,Proveedores!A:A,Proveedores!I:I)))*(1+N502),((M502*(1-_xlfn.XLOOKUP(F502,Proveedores!A:A,Proveedores!I:I)))*(1+N502))+U502),"")</f>
        <v/>
      </c>
      <c r="P502" s="1031"/>
      <c r="Q502" s="1133">
        <f>IF(K502&lt;&gt;"Importado",0,IF(P502&gt;0,P502*H502,IFERROR(_xlfn.XLOOKUP(F502,Proveedores!A:A,Proveedores!F:F,0)*H502,0)))</f>
        <v>0</v>
      </c>
      <c r="R502" s="1134" t="e">
        <f t="shared" si="356"/>
        <v>#VALUE!</v>
      </c>
      <c r="S502" s="743"/>
      <c r="T502" s="1034" t="e">
        <f t="shared" si="343"/>
        <v>#N/A</v>
      </c>
      <c r="U502" s="1034" t="e">
        <f t="shared" si="357"/>
        <v>#N/A</v>
      </c>
      <c r="V502" s="1165" t="e">
        <f t="shared" si="344"/>
        <v>#N/A</v>
      </c>
      <c r="W502" s="1034" t="e">
        <f t="shared" si="358"/>
        <v>#N/A</v>
      </c>
      <c r="X502" s="1034" t="b">
        <f t="shared" si="359"/>
        <v>0</v>
      </c>
      <c r="Y502" s="1034">
        <f t="shared" si="360"/>
        <v>0</v>
      </c>
      <c r="Z502" s="1034">
        <f t="shared" si="361"/>
        <v>0</v>
      </c>
      <c r="AA502" s="1034">
        <f t="shared" si="345"/>
        <v>0</v>
      </c>
      <c r="AB502" s="1034">
        <f t="shared" si="346"/>
        <v>0</v>
      </c>
      <c r="AC502" s="1033">
        <f t="shared" si="362"/>
        <v>0</v>
      </c>
      <c r="AD502" s="1266">
        <f t="shared" si="347"/>
        <v>0</v>
      </c>
      <c r="AE502" s="1093">
        <f t="shared" si="363"/>
        <v>0</v>
      </c>
      <c r="AF502" s="1093">
        <f t="shared" si="364"/>
        <v>0</v>
      </c>
      <c r="AG502" s="1093">
        <f t="shared" si="348"/>
        <v>0</v>
      </c>
      <c r="AH502" s="1033" t="str">
        <f t="shared" si="349"/>
        <v>NA</v>
      </c>
      <c r="AI502" s="1091">
        <f t="shared" si="350"/>
        <v>0</v>
      </c>
      <c r="AJ502" s="1094">
        <f t="shared" si="351"/>
        <v>0</v>
      </c>
      <c r="AK502" s="1053" t="str">
        <f t="shared" si="352"/>
        <v/>
      </c>
      <c r="AL502" s="1053"/>
      <c r="AM502" s="1290">
        <f>_xlfn.XLOOKUP(F502,Proveedores!A:A,Proveedores!G:G)</f>
        <v>0</v>
      </c>
      <c r="AN502" s="1095" t="str">
        <f t="shared" si="365"/>
        <v>OK</v>
      </c>
    </row>
    <row r="503" spans="1:40" ht="24" customHeight="1">
      <c r="A503" s="1375" t="s">
        <v>153</v>
      </c>
      <c r="B503" s="1375"/>
      <c r="C503" s="1375"/>
      <c r="D503" s="1375"/>
      <c r="E503" s="1375"/>
      <c r="F503" s="1375"/>
      <c r="G503" s="1099"/>
      <c r="H503" s="1100" cm="1">
        <f t="array" ref="H503">SUM(IFERROR(H470:H502,0))</f>
        <v>0</v>
      </c>
      <c r="I503" s="1099"/>
      <c r="J503" s="1099"/>
      <c r="K503" s="1099"/>
      <c r="L503" s="1099"/>
      <c r="M503" s="1099"/>
      <c r="N503" s="1099"/>
      <c r="O503" s="1099"/>
      <c r="P503" s="1102"/>
      <c r="Q503" s="1100" cm="1">
        <f t="array" ref="Q503">SUM(IFERROR(Q470:Q502,0))</f>
        <v>0</v>
      </c>
      <c r="R503" s="1103" cm="1">
        <f t="array" ref="R503">SUM(IFERROR(R470:R502,0))</f>
        <v>0</v>
      </c>
      <c r="S503" s="1104"/>
      <c r="T503" s="1104"/>
      <c r="U503" s="1104"/>
      <c r="V503" s="1104"/>
      <c r="W503" s="1104"/>
      <c r="X503" s="1104"/>
      <c r="Y503" s="1102"/>
      <c r="Z503" s="1102"/>
      <c r="AA503" s="1102"/>
      <c r="AB503" s="1103" cm="1">
        <f t="array" ref="AB503">SUM(IFERROR(AB470:AB502,0))</f>
        <v>0</v>
      </c>
      <c r="AC503" s="1104" t="s">
        <v>127</v>
      </c>
      <c r="AD503" s="1104"/>
      <c r="AE503" s="1104"/>
      <c r="AF503" s="1104"/>
      <c r="AG503" s="1103" cm="1">
        <f t="array" ref="AG503">SUM(IFERROR(AG470:AG502,0))</f>
        <v>0</v>
      </c>
      <c r="AH503" s="1103"/>
      <c r="AI503" s="1103"/>
      <c r="AJ503" s="1103" cm="1">
        <f t="array" ref="AJ503">SUM(IFERROR(AJ470:AJ502,0))</f>
        <v>0</v>
      </c>
      <c r="AK503" s="1054" cm="1">
        <f t="array" ref="AK503">IFERROR(SUMPRODUCT(IFERROR(AG470:AG502,0),IFERROR(AK470:AK502,0))/SUMPRODUCT(IFERROR(AG470:AG502,0)),0)</f>
        <v>0</v>
      </c>
      <c r="AL503" s="1288"/>
      <c r="AM503" s="1288"/>
      <c r="AN503"/>
    </row>
    <row r="504" spans="1:40" ht="26.1" customHeight="1">
      <c r="A504" s="1397" t="s">
        <v>154</v>
      </c>
      <c r="B504" s="1397"/>
      <c r="C504" s="1397"/>
      <c r="D504" s="1397"/>
      <c r="E504" s="1397"/>
      <c r="F504" s="1397"/>
      <c r="G504" s="1397"/>
      <c r="H504" s="1397"/>
      <c r="I504" s="1397"/>
      <c r="J504" s="1398"/>
      <c r="K504" s="1160"/>
      <c r="L504" s="1160"/>
      <c r="M504" s="1160"/>
      <c r="N504" s="1160"/>
      <c r="O504" s="1160"/>
      <c r="P504" s="1088"/>
      <c r="Q504" s="1088"/>
      <c r="R504" s="1088"/>
      <c r="S504" s="1087"/>
      <c r="T504" s="1087"/>
      <c r="U504" s="1087"/>
      <c r="V504" s="1087"/>
      <c r="W504" s="1087"/>
      <c r="X504" s="1087"/>
      <c r="Y504" s="1055"/>
      <c r="Z504" s="1055"/>
      <c r="AA504" s="1055"/>
      <c r="AB504" s="1055"/>
      <c r="AC504" s="1055"/>
      <c r="AD504" s="1087"/>
      <c r="AE504" s="1087"/>
      <c r="AF504" s="1087"/>
      <c r="AG504" s="1087"/>
      <c r="AH504" s="1087"/>
      <c r="AI504" s="1087"/>
      <c r="AJ504" s="1087"/>
      <c r="AK504" s="1089"/>
      <c r="AL504" s="1287"/>
      <c r="AM504" s="1287"/>
      <c r="AN504"/>
    </row>
    <row r="505" spans="1:40" ht="15.95">
      <c r="A505" s="1090" t="b">
        <f t="shared" ref="A505:A537" si="366">$A$14</f>
        <v>1</v>
      </c>
      <c r="B505" s="1091" t="b">
        <f>A505</f>
        <v>1</v>
      </c>
      <c r="C505" s="1092" t="str">
        <f>$C$14</f>
        <v>Dólares</v>
      </c>
      <c r="D505" s="11"/>
      <c r="E505" s="743"/>
      <c r="F505" s="17"/>
      <c r="G505" s="17" t="str">
        <f t="shared" ref="G505:G537" si="367">IFERROR(VLOOKUP(F505,Tabla_Proveedores_1,2,0)," ")</f>
        <v xml:space="preserve"> </v>
      </c>
      <c r="H505" s="12">
        <v>0</v>
      </c>
      <c r="I505" s="16" t="str">
        <f>IFERROR(VLOOKUP(G505,Proveedores!B:C,2,0)," ")</f>
        <v xml:space="preserve"> </v>
      </c>
      <c r="J505" s="745">
        <v>0</v>
      </c>
      <c r="K505" s="745" t="str">
        <f t="shared" ref="K505:K537" si="368">IFERROR(VLOOKUP(TRIM(F505), ProveedoreS_TC, 5, FALSE), "Not Found")</f>
        <v>Not Found</v>
      </c>
      <c r="L505" s="16">
        <f>IF(K505="Importado",Fletes!$B$66,0%)</f>
        <v>0</v>
      </c>
      <c r="M505" s="745">
        <f>IF(K505="Importado",J505*(1+L505),J505*(1+L505))</f>
        <v>0</v>
      </c>
      <c r="N505" s="16">
        <f>IF(K505&lt;&gt;"Importado",0%,IF(Fletes!$B$67&lt;10,15%,IF(Fletes!$B$67&lt;20,10%,5%)))</f>
        <v>0</v>
      </c>
      <c r="O505" s="745" t="str">
        <f>IFERROR(IF(OR(F505="Offiho",F505="Lauco Sofas",F505="Requiez",F505="Labenze",F505="Sunon Mty",F505="Sonara"),(M505*(1-_xlfn.XLOOKUP(F505,Proveedores!A:A,Proveedores!I:I)))*(1+N505),((M505*(1-_xlfn.XLOOKUP(F505,Proveedores!A:A,Proveedores!I:I)))*(1+N505))+U505),"")</f>
        <v/>
      </c>
      <c r="P505" s="1031"/>
      <c r="Q505" s="1133">
        <f>IF(K505&lt;&gt;"Importado",0,IF(P505&gt;0,P505*H505,IFERROR(_xlfn.XLOOKUP(F505,Proveedores!A:A,Proveedores!F:F,0)*H505,0)))</f>
        <v>0</v>
      </c>
      <c r="R505" s="1134" t="e">
        <f>O505*H505</f>
        <v>#VALUE!</v>
      </c>
      <c r="S505" s="743"/>
      <c r="T505" s="1034" t="e">
        <f t="shared" ref="T505:T537" si="369">IF(H505&gt;15,0,VLOOKUP(E505,Tabla_Instalacion,2,FALSE))</f>
        <v>#N/A</v>
      </c>
      <c r="U505" s="1034" t="e">
        <f>X505/V505</f>
        <v>#N/A</v>
      </c>
      <c r="V505" s="1165" t="e">
        <f t="shared" ref="V505:V537" si="370">VLOOKUP(E505,Tabla_Factor,2,FALSE)</f>
        <v>#N/A</v>
      </c>
      <c r="W505" s="1034" t="e">
        <f>T505*V505</f>
        <v>#N/A</v>
      </c>
      <c r="X505" s="1034" t="b">
        <f>IF(S505="Occidente",W505,IF(S505="Norte",W505*1.5,IF(S505="Centro",W505*1.2,IF(S505="Sur",W505*1.7))))</f>
        <v>0</v>
      </c>
      <c r="Y505" s="1034">
        <f>ROUNDUP(IF(OR(F505="Offiho",F505="Lauco Sofas",F505="Requiez",F505="Labenze",F505="Sunon Mty",F505="Sonara",F505="Santeco"),J505,IF(K505="Nacional",O505/(1-30%),IF(K505="Importado",O505/(1-40%),IF(OR(F505="Lumbro",F505="Idelika"),O505/(1-20%))))),0)</f>
        <v>0</v>
      </c>
      <c r="Z505" s="1034">
        <f>ROUNDUP(IF(OR(F505="Offiho",F505="Lauco Sofas",F505="Requiez",F505="Labenze",F505="Sunon Mty",F505="Sonara",F505="Sonara"),Y505,IF($P$10="MIXTO",IF(K505="Nacional",Y505/(1-50%),Y505/(1-50%)),IF($P$10="IMPORTADO",Y505/(1-50%),IF($P$10="NACIONAL",Y505/(1-20%),Y505/(1-20%))))),0)</f>
        <v>0</v>
      </c>
      <c r="AA505" s="1034">
        <f t="shared" ref="AA505:AA537" si="371">IF(Z505&gt;=Y505,_xlfn.MINIFS($Z$15:$Z$572,$D$15:$D$572,D505),"NO SE ESTA RESPETANDO EL MARGEN")</f>
        <v>0</v>
      </c>
      <c r="AB505" s="1034">
        <f t="shared" ref="AB505:AB537" si="372">IFERROR(AA505*H505,0)</f>
        <v>0</v>
      </c>
      <c r="AC505" s="1033">
        <f>IF($P$10="IMPORTADO",50%,IF($P$10="NACIONAL",20%,IF($P$10="MIXTO",50%,0%)))</f>
        <v>0</v>
      </c>
      <c r="AD505" s="1266">
        <f t="shared" ref="AD505:AD537" si="373">IF(H505&gt;0,$E$5,0)</f>
        <v>0</v>
      </c>
      <c r="AE505" s="1093">
        <f>IFERROR(AA505*AD505,0)</f>
        <v>0</v>
      </c>
      <c r="AF505" s="1093">
        <f>IF($E$5&gt;$E$6,"ERROR",AA505-AE505)</f>
        <v>0</v>
      </c>
      <c r="AG505" s="1093">
        <f t="shared" ref="AG505:AG537" si="374">AF505*H505</f>
        <v>0</v>
      </c>
      <c r="AH505" s="1033" t="e">
        <f t="shared" ref="AH505:AH537" si="375">IF(A506=TRUE,MAX(0,1-(AI505/Z505)),"NA")</f>
        <v>#DIV/0!</v>
      </c>
      <c r="AI505" s="1091">
        <f t="shared" ref="AI505:AI537" si="376">IF(A504=FALSE,"NO APLICA",AF505*(1+$AI$8))</f>
        <v>0</v>
      </c>
      <c r="AJ505" s="1094">
        <f t="shared" ref="AJ505:AJ537" si="377">AI505*H505</f>
        <v>0</v>
      </c>
      <c r="AK505" s="1053" t="str">
        <f t="shared" ref="AK505:AK537" si="378">IFERROR(IF(OR(F505="Offiho",F505="Vandesk",F505="Requiez",F505="Labenze",F505="Idelika",F505="Sunon Mty"),(AG505-(J505*(1-I505)*H505))/AG505,(AG505-R505)/AG505),"")</f>
        <v/>
      </c>
      <c r="AL505" s="1053"/>
      <c r="AM505" s="1290">
        <f>_xlfn.XLOOKUP(F505,Proveedores!A:A,Proveedores!G:G)</f>
        <v>0</v>
      </c>
      <c r="AN505" s="1095" t="str">
        <f>IF(AK505&lt;AM505,"ERROR","OK")</f>
        <v>OK</v>
      </c>
    </row>
    <row r="506" spans="1:40" ht="15.95">
      <c r="A506" s="1090" t="b">
        <f t="shared" si="366"/>
        <v>1</v>
      </c>
      <c r="B506" s="1091" t="b">
        <f t="shared" ref="B506:B537" si="379">A506</f>
        <v>1</v>
      </c>
      <c r="C506" s="1092" t="str">
        <f t="shared" ref="C506:C537" si="380">$C$14</f>
        <v>Dólares</v>
      </c>
      <c r="D506" s="13"/>
      <c r="E506" s="743"/>
      <c r="F506" s="17"/>
      <c r="G506" s="17" t="str">
        <f t="shared" si="367"/>
        <v xml:space="preserve"> </v>
      </c>
      <c r="H506" s="12">
        <v>0</v>
      </c>
      <c r="I506" s="16" t="str">
        <f>IFERROR(VLOOKUP(G506,Proveedores!B:C,2,0)," ")</f>
        <v xml:space="preserve"> </v>
      </c>
      <c r="J506" s="745">
        <v>0</v>
      </c>
      <c r="K506" s="745" t="str">
        <f t="shared" si="368"/>
        <v>Not Found</v>
      </c>
      <c r="L506" s="16">
        <f>IF(K506="Importado",Fletes!$B$66,0%)</f>
        <v>0</v>
      </c>
      <c r="M506" s="745">
        <f t="shared" ref="M506:M537" si="381">IF(K506="Importado",J506*(1+L506),J506*(1+L506))</f>
        <v>0</v>
      </c>
      <c r="N506" s="16">
        <f>IF(K506&lt;&gt;"Importado",0%,IF(Fletes!$B$67&lt;10,15%,IF(Fletes!$B$67&lt;20,10%,5%)))</f>
        <v>0</v>
      </c>
      <c r="O506" s="745" t="str">
        <f>IFERROR(IF(OR(F506="Offiho",F506="Lauco Sofas",F506="Requiez",F506="Labenze",F506="Sunon Mty",F506="Sonara"),(M506*(1-_xlfn.XLOOKUP(F506,Proveedores!A:A,Proveedores!I:I)))*(1+N506),((M506*(1-_xlfn.XLOOKUP(F506,Proveedores!A:A,Proveedores!I:I)))*(1+N506))+U506),"")</f>
        <v/>
      </c>
      <c r="P506" s="1031"/>
      <c r="Q506" s="1133">
        <f>IF(K506&lt;&gt;"Importado",0,IF(P506&gt;0,P506*H506,IFERROR(_xlfn.XLOOKUP(F506,Proveedores!A:A,Proveedores!F:F,0)*H506,0)))</f>
        <v>0</v>
      </c>
      <c r="R506" s="1134" t="e">
        <f t="shared" ref="R506:R537" si="382">O506*H506</f>
        <v>#VALUE!</v>
      </c>
      <c r="S506" s="743"/>
      <c r="T506" s="1034" t="e">
        <f t="shared" si="369"/>
        <v>#N/A</v>
      </c>
      <c r="U506" s="1034" t="e">
        <f t="shared" ref="U506:U537" si="383">X506/V506</f>
        <v>#N/A</v>
      </c>
      <c r="V506" s="1165" t="e">
        <f t="shared" si="370"/>
        <v>#N/A</v>
      </c>
      <c r="W506" s="1034" t="e">
        <f t="shared" ref="W506:W537" si="384">T506*V506</f>
        <v>#N/A</v>
      </c>
      <c r="X506" s="1034" t="b">
        <f t="shared" ref="X506:X537" si="385">IF(S506="Occidente",W506,IF(S506="Norte",W506*1.5,IF(S506="Centro",W506*1.2,IF(S506="Sur",W506*1.7))))</f>
        <v>0</v>
      </c>
      <c r="Y506" s="1034">
        <f t="shared" ref="Y506:Y537" si="386">ROUNDUP(IF(OR(F506="Offiho",F506="Lauco Sofas",F506="Requiez",F506="Labenze",F506="Sunon Mty",F506="Sonara",F506="Santeco"),J506,IF(K506="Nacional",O506/(1-30%),IF(K506="Importado",O506/(1-40%),IF(OR(F506="Lumbro",F506="Idelika"),O506/(1-20%))))),0)</f>
        <v>0</v>
      </c>
      <c r="Z506" s="1034">
        <f t="shared" ref="Z506:Z537" si="387">ROUNDUP(IF(OR(F506="Offiho",F506="Lauco Sofas",F506="Requiez",F506="Labenze",F506="Sunon Mty",F506="Sonara",F506="Sonara"),Y506,IF($P$10="MIXTO",IF(K506="Nacional",Y506/(1-50%),Y506/(1-50%)),IF($P$10="IMPORTADO",Y506/(1-50%),IF($P$10="NACIONAL",Y506/(1-20%),Y506/(1-20%))))),0)</f>
        <v>0</v>
      </c>
      <c r="AA506" s="1034">
        <f t="shared" si="371"/>
        <v>0</v>
      </c>
      <c r="AB506" s="1034">
        <f t="shared" si="372"/>
        <v>0</v>
      </c>
      <c r="AC506" s="1033">
        <f t="shared" ref="AC506:AC537" si="388">IF($P$10="IMPORTADO",50%,IF($P$10="NACIONAL",20%,IF($P$10="MIXTO",50%,0%)))</f>
        <v>0</v>
      </c>
      <c r="AD506" s="1266">
        <f t="shared" si="373"/>
        <v>0</v>
      </c>
      <c r="AE506" s="1093">
        <f t="shared" ref="AE506:AE537" si="389">IFERROR(AA506*AD506,0)</f>
        <v>0</v>
      </c>
      <c r="AF506" s="1093">
        <f t="shared" ref="AF506:AF537" si="390">IF($E$5&gt;$E$6,"ERROR",AA506-AE506)</f>
        <v>0</v>
      </c>
      <c r="AG506" s="1093">
        <f t="shared" si="374"/>
        <v>0</v>
      </c>
      <c r="AH506" s="1033" t="e">
        <f t="shared" si="375"/>
        <v>#DIV/0!</v>
      </c>
      <c r="AI506" s="1091">
        <f t="shared" si="376"/>
        <v>0</v>
      </c>
      <c r="AJ506" s="1094">
        <f t="shared" si="377"/>
        <v>0</v>
      </c>
      <c r="AK506" s="1053" t="str">
        <f t="shared" si="378"/>
        <v/>
      </c>
      <c r="AL506" s="1053"/>
      <c r="AM506" s="1290">
        <f>_xlfn.XLOOKUP(F506,Proveedores!A:A,Proveedores!G:G)</f>
        <v>0</v>
      </c>
      <c r="AN506" s="1095" t="str">
        <f t="shared" ref="AN506:AN537" si="391">IF(AK506&lt;AM506,"ERROR","OK")</f>
        <v>OK</v>
      </c>
    </row>
    <row r="507" spans="1:40" ht="15.95">
      <c r="A507" s="1090" t="b">
        <f t="shared" si="366"/>
        <v>1</v>
      </c>
      <c r="B507" s="1091" t="b">
        <f t="shared" si="379"/>
        <v>1</v>
      </c>
      <c r="C507" s="1092" t="str">
        <f t="shared" si="380"/>
        <v>Dólares</v>
      </c>
      <c r="D507" s="13"/>
      <c r="E507" s="743"/>
      <c r="F507" s="17"/>
      <c r="G507" s="17" t="str">
        <f t="shared" si="367"/>
        <v xml:space="preserve"> </v>
      </c>
      <c r="H507" s="12">
        <v>0</v>
      </c>
      <c r="I507" s="16" t="str">
        <f>IFERROR(VLOOKUP(G507,Proveedores!B:C,2,0)," ")</f>
        <v xml:space="preserve"> </v>
      </c>
      <c r="J507" s="745">
        <v>0</v>
      </c>
      <c r="K507" s="745" t="str">
        <f t="shared" si="368"/>
        <v>Not Found</v>
      </c>
      <c r="L507" s="16">
        <f>IF(K507="Importado",Fletes!$B$66,0%)</f>
        <v>0</v>
      </c>
      <c r="M507" s="745">
        <f t="shared" si="381"/>
        <v>0</v>
      </c>
      <c r="N507" s="16">
        <f>IF(K507&lt;&gt;"Importado",0%,IF(Fletes!$B$67&lt;10,15%,IF(Fletes!$B$67&lt;20,10%,5%)))</f>
        <v>0</v>
      </c>
      <c r="O507" s="745" t="str">
        <f>IFERROR(IF(OR(F507="Offiho",F507="Lauco Sofas",F507="Requiez",F507="Labenze",F507="Sunon Mty",F507="Sonara"),(M507*(1-_xlfn.XLOOKUP(F507,Proveedores!A:A,Proveedores!I:I)))*(1+N507),((M507*(1-_xlfn.XLOOKUP(F507,Proveedores!A:A,Proveedores!I:I)))*(1+N507))+U507),"")</f>
        <v/>
      </c>
      <c r="P507" s="1031"/>
      <c r="Q507" s="1133">
        <f>IF(K507&lt;&gt;"Importado",0,IF(P507&gt;0,P507*H507,IFERROR(_xlfn.XLOOKUP(F507,Proveedores!A:A,Proveedores!F:F,0)*H507,0)))</f>
        <v>0</v>
      </c>
      <c r="R507" s="1134" t="e">
        <f t="shared" si="382"/>
        <v>#VALUE!</v>
      </c>
      <c r="S507" s="743"/>
      <c r="T507" s="1034" t="e">
        <f t="shared" si="369"/>
        <v>#N/A</v>
      </c>
      <c r="U507" s="1034" t="e">
        <f t="shared" si="383"/>
        <v>#N/A</v>
      </c>
      <c r="V507" s="1165" t="e">
        <f t="shared" si="370"/>
        <v>#N/A</v>
      </c>
      <c r="W507" s="1034" t="e">
        <f t="shared" si="384"/>
        <v>#N/A</v>
      </c>
      <c r="X507" s="1034" t="b">
        <f t="shared" si="385"/>
        <v>0</v>
      </c>
      <c r="Y507" s="1034">
        <f t="shared" si="386"/>
        <v>0</v>
      </c>
      <c r="Z507" s="1034">
        <f t="shared" si="387"/>
        <v>0</v>
      </c>
      <c r="AA507" s="1034">
        <f t="shared" si="371"/>
        <v>0</v>
      </c>
      <c r="AB507" s="1034">
        <f t="shared" si="372"/>
        <v>0</v>
      </c>
      <c r="AC507" s="1033">
        <f t="shared" si="388"/>
        <v>0</v>
      </c>
      <c r="AD507" s="1266">
        <f t="shared" si="373"/>
        <v>0</v>
      </c>
      <c r="AE507" s="1093">
        <f t="shared" si="389"/>
        <v>0</v>
      </c>
      <c r="AF507" s="1093">
        <f t="shared" si="390"/>
        <v>0</v>
      </c>
      <c r="AG507" s="1093">
        <f t="shared" si="374"/>
        <v>0</v>
      </c>
      <c r="AH507" s="1033" t="e">
        <f t="shared" si="375"/>
        <v>#DIV/0!</v>
      </c>
      <c r="AI507" s="1091">
        <f t="shared" si="376"/>
        <v>0</v>
      </c>
      <c r="AJ507" s="1094">
        <f t="shared" si="377"/>
        <v>0</v>
      </c>
      <c r="AK507" s="1053" t="str">
        <f t="shared" si="378"/>
        <v/>
      </c>
      <c r="AL507" s="1053"/>
      <c r="AM507" s="1290">
        <f>_xlfn.XLOOKUP(F507,Proveedores!A:A,Proveedores!G:G)</f>
        <v>0</v>
      </c>
      <c r="AN507" s="1095" t="str">
        <f t="shared" si="391"/>
        <v>OK</v>
      </c>
    </row>
    <row r="508" spans="1:40" ht="15.95">
      <c r="A508" s="1090" t="b">
        <f t="shared" si="366"/>
        <v>1</v>
      </c>
      <c r="B508" s="1091" t="b">
        <f t="shared" si="379"/>
        <v>1</v>
      </c>
      <c r="C508" s="1092" t="str">
        <f t="shared" si="380"/>
        <v>Dólares</v>
      </c>
      <c r="D508" s="13"/>
      <c r="E508" s="743"/>
      <c r="F508" s="17"/>
      <c r="G508" s="17" t="str">
        <f t="shared" si="367"/>
        <v xml:space="preserve"> </v>
      </c>
      <c r="H508" s="12">
        <v>0</v>
      </c>
      <c r="I508" s="16" t="str">
        <f>IFERROR(VLOOKUP(G508,Proveedores!B:C,2,0)," ")</f>
        <v xml:space="preserve"> </v>
      </c>
      <c r="J508" s="745">
        <v>0</v>
      </c>
      <c r="K508" s="745" t="str">
        <f t="shared" si="368"/>
        <v>Not Found</v>
      </c>
      <c r="L508" s="16">
        <f>IF(K508="Importado",Fletes!$B$66,0%)</f>
        <v>0</v>
      </c>
      <c r="M508" s="745">
        <f t="shared" si="381"/>
        <v>0</v>
      </c>
      <c r="N508" s="16">
        <f>IF(K508&lt;&gt;"Importado",0%,IF(Fletes!$B$67&lt;10,15%,IF(Fletes!$B$67&lt;20,10%,5%)))</f>
        <v>0</v>
      </c>
      <c r="O508" s="745" t="str">
        <f>IFERROR(IF(OR(F508="Offiho",F508="Lauco Sofas",F508="Requiez",F508="Labenze",F508="Sunon Mty",F508="Sonara"),(M508*(1-_xlfn.XLOOKUP(F508,Proveedores!A:A,Proveedores!I:I)))*(1+N508),((M508*(1-_xlfn.XLOOKUP(F508,Proveedores!A:A,Proveedores!I:I)))*(1+N508))+U508),"")</f>
        <v/>
      </c>
      <c r="P508" s="1031"/>
      <c r="Q508" s="1133">
        <f>IF(K508&lt;&gt;"Importado",0,IF(P508&gt;0,P508*H508,IFERROR(_xlfn.XLOOKUP(F508,Proveedores!A:A,Proveedores!F:F,0)*H508,0)))</f>
        <v>0</v>
      </c>
      <c r="R508" s="1134" t="e">
        <f t="shared" si="382"/>
        <v>#VALUE!</v>
      </c>
      <c r="S508" s="743"/>
      <c r="T508" s="1034" t="e">
        <f t="shared" si="369"/>
        <v>#N/A</v>
      </c>
      <c r="U508" s="1034" t="e">
        <f t="shared" si="383"/>
        <v>#N/A</v>
      </c>
      <c r="V508" s="1165" t="e">
        <f t="shared" si="370"/>
        <v>#N/A</v>
      </c>
      <c r="W508" s="1034" t="e">
        <f t="shared" si="384"/>
        <v>#N/A</v>
      </c>
      <c r="X508" s="1034" t="b">
        <f t="shared" si="385"/>
        <v>0</v>
      </c>
      <c r="Y508" s="1034">
        <f t="shared" si="386"/>
        <v>0</v>
      </c>
      <c r="Z508" s="1034">
        <f t="shared" si="387"/>
        <v>0</v>
      </c>
      <c r="AA508" s="1034">
        <f t="shared" si="371"/>
        <v>0</v>
      </c>
      <c r="AB508" s="1034">
        <f t="shared" si="372"/>
        <v>0</v>
      </c>
      <c r="AC508" s="1033">
        <f t="shared" si="388"/>
        <v>0</v>
      </c>
      <c r="AD508" s="1266">
        <f t="shared" si="373"/>
        <v>0</v>
      </c>
      <c r="AE508" s="1093">
        <f t="shared" si="389"/>
        <v>0</v>
      </c>
      <c r="AF508" s="1093">
        <f t="shared" si="390"/>
        <v>0</v>
      </c>
      <c r="AG508" s="1093">
        <f t="shared" si="374"/>
        <v>0</v>
      </c>
      <c r="AH508" s="1033" t="e">
        <f t="shared" si="375"/>
        <v>#DIV/0!</v>
      </c>
      <c r="AI508" s="1091">
        <f t="shared" si="376"/>
        <v>0</v>
      </c>
      <c r="AJ508" s="1094">
        <f t="shared" si="377"/>
        <v>0</v>
      </c>
      <c r="AK508" s="1053" t="str">
        <f t="shared" si="378"/>
        <v/>
      </c>
      <c r="AL508" s="1053"/>
      <c r="AM508" s="1290">
        <f>_xlfn.XLOOKUP(F508,Proveedores!A:A,Proveedores!G:G)</f>
        <v>0</v>
      </c>
      <c r="AN508" s="1095" t="str">
        <f t="shared" si="391"/>
        <v>OK</v>
      </c>
    </row>
    <row r="509" spans="1:40" ht="15.95">
      <c r="A509" s="1090" t="b">
        <f t="shared" si="366"/>
        <v>1</v>
      </c>
      <c r="B509" s="1091" t="b">
        <f t="shared" si="379"/>
        <v>1</v>
      </c>
      <c r="C509" s="1092" t="str">
        <f t="shared" si="380"/>
        <v>Dólares</v>
      </c>
      <c r="D509" s="13"/>
      <c r="E509" s="743"/>
      <c r="F509" s="17"/>
      <c r="G509" s="17" t="str">
        <f t="shared" si="367"/>
        <v xml:space="preserve"> </v>
      </c>
      <c r="H509" s="12">
        <v>0</v>
      </c>
      <c r="I509" s="16" t="str">
        <f>IFERROR(VLOOKUP(G509,Proveedores!B:C,2,0)," ")</f>
        <v xml:space="preserve"> </v>
      </c>
      <c r="J509" s="745">
        <v>0</v>
      </c>
      <c r="K509" s="745" t="str">
        <f t="shared" si="368"/>
        <v>Not Found</v>
      </c>
      <c r="L509" s="16">
        <f>IF(K509="Importado",Fletes!$B$66,0%)</f>
        <v>0</v>
      </c>
      <c r="M509" s="745">
        <f t="shared" si="381"/>
        <v>0</v>
      </c>
      <c r="N509" s="16">
        <f>IF(K509&lt;&gt;"Importado",0%,IF(Fletes!$B$67&lt;10,15%,IF(Fletes!$B$67&lt;20,10%,5%)))</f>
        <v>0</v>
      </c>
      <c r="O509" s="745" t="str">
        <f>IFERROR(IF(OR(F509="Offiho",F509="Lauco Sofas",F509="Requiez",F509="Labenze",F509="Sunon Mty",F509="Sonara"),(M509*(1-_xlfn.XLOOKUP(F509,Proveedores!A:A,Proveedores!I:I)))*(1+N509),((M509*(1-_xlfn.XLOOKUP(F509,Proveedores!A:A,Proveedores!I:I)))*(1+N509))+U509),"")</f>
        <v/>
      </c>
      <c r="P509" s="1031"/>
      <c r="Q509" s="1133">
        <f>IF(K509&lt;&gt;"Importado",0,IF(P509&gt;0,P509*H509,IFERROR(_xlfn.XLOOKUP(F509,Proveedores!A:A,Proveedores!F:F,0)*H509,0)))</f>
        <v>0</v>
      </c>
      <c r="R509" s="1134" t="e">
        <f t="shared" si="382"/>
        <v>#VALUE!</v>
      </c>
      <c r="S509" s="743"/>
      <c r="T509" s="1034" t="e">
        <f t="shared" si="369"/>
        <v>#N/A</v>
      </c>
      <c r="U509" s="1034" t="e">
        <f t="shared" si="383"/>
        <v>#N/A</v>
      </c>
      <c r="V509" s="1165" t="e">
        <f t="shared" si="370"/>
        <v>#N/A</v>
      </c>
      <c r="W509" s="1034" t="e">
        <f t="shared" si="384"/>
        <v>#N/A</v>
      </c>
      <c r="X509" s="1034" t="b">
        <f t="shared" si="385"/>
        <v>0</v>
      </c>
      <c r="Y509" s="1034">
        <f t="shared" si="386"/>
        <v>0</v>
      </c>
      <c r="Z509" s="1034">
        <f t="shared" si="387"/>
        <v>0</v>
      </c>
      <c r="AA509" s="1034">
        <f t="shared" si="371"/>
        <v>0</v>
      </c>
      <c r="AB509" s="1034">
        <f t="shared" si="372"/>
        <v>0</v>
      </c>
      <c r="AC509" s="1033">
        <f t="shared" si="388"/>
        <v>0</v>
      </c>
      <c r="AD509" s="1266">
        <f t="shared" si="373"/>
        <v>0</v>
      </c>
      <c r="AE509" s="1093">
        <f t="shared" si="389"/>
        <v>0</v>
      </c>
      <c r="AF509" s="1093">
        <f t="shared" si="390"/>
        <v>0</v>
      </c>
      <c r="AG509" s="1093">
        <f t="shared" si="374"/>
        <v>0</v>
      </c>
      <c r="AH509" s="1033" t="e">
        <f t="shared" si="375"/>
        <v>#DIV/0!</v>
      </c>
      <c r="AI509" s="1091">
        <f t="shared" si="376"/>
        <v>0</v>
      </c>
      <c r="AJ509" s="1094">
        <f t="shared" si="377"/>
        <v>0</v>
      </c>
      <c r="AK509" s="1053" t="str">
        <f t="shared" si="378"/>
        <v/>
      </c>
      <c r="AL509" s="1053"/>
      <c r="AM509" s="1290">
        <f>_xlfn.XLOOKUP(F509,Proveedores!A:A,Proveedores!G:G)</f>
        <v>0</v>
      </c>
      <c r="AN509" s="1095" t="str">
        <f t="shared" si="391"/>
        <v>OK</v>
      </c>
    </row>
    <row r="510" spans="1:40" ht="15.95">
      <c r="A510" s="1090" t="b">
        <f t="shared" si="366"/>
        <v>1</v>
      </c>
      <c r="B510" s="1091" t="b">
        <f t="shared" si="379"/>
        <v>1</v>
      </c>
      <c r="C510" s="1092" t="str">
        <f t="shared" si="380"/>
        <v>Dólares</v>
      </c>
      <c r="D510" s="13"/>
      <c r="E510" s="743"/>
      <c r="F510" s="17"/>
      <c r="G510" s="17" t="str">
        <f t="shared" si="367"/>
        <v xml:space="preserve"> </v>
      </c>
      <c r="H510" s="12">
        <v>0</v>
      </c>
      <c r="I510" s="16" t="str">
        <f>IFERROR(VLOOKUP(G510,Proveedores!B:C,2,0)," ")</f>
        <v xml:space="preserve"> </v>
      </c>
      <c r="J510" s="745">
        <v>0</v>
      </c>
      <c r="K510" s="745" t="str">
        <f t="shared" si="368"/>
        <v>Not Found</v>
      </c>
      <c r="L510" s="16">
        <f>IF(K510="Importado",Fletes!$B$66,0%)</f>
        <v>0</v>
      </c>
      <c r="M510" s="745">
        <f t="shared" si="381"/>
        <v>0</v>
      </c>
      <c r="N510" s="16">
        <f>IF(K510&lt;&gt;"Importado",0%,IF(Fletes!$B$67&lt;10,15%,IF(Fletes!$B$67&lt;20,10%,5%)))</f>
        <v>0</v>
      </c>
      <c r="O510" s="745" t="str">
        <f>IFERROR(IF(OR(F510="Offiho",F510="Lauco Sofas",F510="Requiez",F510="Labenze",F510="Sunon Mty",F510="Sonara"),(M510*(1-_xlfn.XLOOKUP(F510,Proveedores!A:A,Proveedores!I:I)))*(1+N510),((M510*(1-_xlfn.XLOOKUP(F510,Proveedores!A:A,Proveedores!I:I)))*(1+N510))+U510),"")</f>
        <v/>
      </c>
      <c r="P510" s="1031"/>
      <c r="Q510" s="1133">
        <f>IF(K510&lt;&gt;"Importado",0,IF(P510&gt;0,P510*H510,IFERROR(_xlfn.XLOOKUP(F510,Proveedores!A:A,Proveedores!F:F,0)*H510,0)))</f>
        <v>0</v>
      </c>
      <c r="R510" s="1134" t="e">
        <f t="shared" si="382"/>
        <v>#VALUE!</v>
      </c>
      <c r="S510" s="743"/>
      <c r="T510" s="1034" t="e">
        <f t="shared" si="369"/>
        <v>#N/A</v>
      </c>
      <c r="U510" s="1034" t="e">
        <f t="shared" si="383"/>
        <v>#N/A</v>
      </c>
      <c r="V510" s="1165" t="e">
        <f t="shared" si="370"/>
        <v>#N/A</v>
      </c>
      <c r="W510" s="1034" t="e">
        <f t="shared" si="384"/>
        <v>#N/A</v>
      </c>
      <c r="X510" s="1034" t="b">
        <f t="shared" si="385"/>
        <v>0</v>
      </c>
      <c r="Y510" s="1034">
        <f t="shared" si="386"/>
        <v>0</v>
      </c>
      <c r="Z510" s="1034">
        <f t="shared" si="387"/>
        <v>0</v>
      </c>
      <c r="AA510" s="1034">
        <f t="shared" si="371"/>
        <v>0</v>
      </c>
      <c r="AB510" s="1034">
        <f t="shared" si="372"/>
        <v>0</v>
      </c>
      <c r="AC510" s="1033">
        <f t="shared" si="388"/>
        <v>0</v>
      </c>
      <c r="AD510" s="1266">
        <f t="shared" si="373"/>
        <v>0</v>
      </c>
      <c r="AE510" s="1093">
        <f t="shared" si="389"/>
        <v>0</v>
      </c>
      <c r="AF510" s="1093">
        <f t="shared" si="390"/>
        <v>0</v>
      </c>
      <c r="AG510" s="1093">
        <f t="shared" si="374"/>
        <v>0</v>
      </c>
      <c r="AH510" s="1033" t="e">
        <f t="shared" si="375"/>
        <v>#DIV/0!</v>
      </c>
      <c r="AI510" s="1091">
        <f t="shared" si="376"/>
        <v>0</v>
      </c>
      <c r="AJ510" s="1094">
        <f t="shared" si="377"/>
        <v>0</v>
      </c>
      <c r="AK510" s="1053" t="str">
        <f t="shared" si="378"/>
        <v/>
      </c>
      <c r="AL510" s="1053"/>
      <c r="AM510" s="1290">
        <f>_xlfn.XLOOKUP(F510,Proveedores!A:A,Proveedores!G:G)</f>
        <v>0</v>
      </c>
      <c r="AN510" s="1095" t="str">
        <f t="shared" si="391"/>
        <v>OK</v>
      </c>
    </row>
    <row r="511" spans="1:40" ht="15.95">
      <c r="A511" s="1090" t="b">
        <f t="shared" si="366"/>
        <v>1</v>
      </c>
      <c r="B511" s="1091" t="b">
        <f t="shared" si="379"/>
        <v>1</v>
      </c>
      <c r="C511" s="1092" t="str">
        <f t="shared" si="380"/>
        <v>Dólares</v>
      </c>
      <c r="D511" s="11"/>
      <c r="E511" s="743"/>
      <c r="F511" s="17"/>
      <c r="G511" s="17" t="str">
        <f t="shared" si="367"/>
        <v xml:space="preserve"> </v>
      </c>
      <c r="H511" s="12">
        <v>0</v>
      </c>
      <c r="I511" s="16" t="str">
        <f>IFERROR(VLOOKUP(G511,Proveedores!B:C,2,0)," ")</f>
        <v xml:space="preserve"> </v>
      </c>
      <c r="J511" s="745">
        <v>0</v>
      </c>
      <c r="K511" s="745" t="str">
        <f t="shared" si="368"/>
        <v>Not Found</v>
      </c>
      <c r="L511" s="16">
        <f>IF(K511="Importado",Fletes!$B$66,0%)</f>
        <v>0</v>
      </c>
      <c r="M511" s="745">
        <f t="shared" si="381"/>
        <v>0</v>
      </c>
      <c r="N511" s="16">
        <f>IF(K511&lt;&gt;"Importado",0%,IF(Fletes!$B$67&lt;10,15%,IF(Fletes!$B$67&lt;20,10%,5%)))</f>
        <v>0</v>
      </c>
      <c r="O511" s="745" t="str">
        <f>IFERROR(IF(OR(F511="Offiho",F511="Lauco Sofas",F511="Requiez",F511="Labenze",F511="Sunon Mty",F511="Sonara"),(M511*(1-_xlfn.XLOOKUP(F511,Proveedores!A:A,Proveedores!I:I)))*(1+N511),((M511*(1-_xlfn.XLOOKUP(F511,Proveedores!A:A,Proveedores!I:I)))*(1+N511))+U511),"")</f>
        <v/>
      </c>
      <c r="P511" s="1031"/>
      <c r="Q511" s="1133">
        <f>IF(K511&lt;&gt;"Importado",0,IF(P511&gt;0,P511*H511,IFERROR(_xlfn.XLOOKUP(F511,Proveedores!A:A,Proveedores!F:F,0)*H511,0)))</f>
        <v>0</v>
      </c>
      <c r="R511" s="1134" t="e">
        <f t="shared" si="382"/>
        <v>#VALUE!</v>
      </c>
      <c r="S511" s="743"/>
      <c r="T511" s="1034" t="e">
        <f t="shared" si="369"/>
        <v>#N/A</v>
      </c>
      <c r="U511" s="1034" t="e">
        <f t="shared" si="383"/>
        <v>#N/A</v>
      </c>
      <c r="V511" s="1165" t="e">
        <f t="shared" si="370"/>
        <v>#N/A</v>
      </c>
      <c r="W511" s="1034" t="e">
        <f t="shared" si="384"/>
        <v>#N/A</v>
      </c>
      <c r="X511" s="1034" t="b">
        <f t="shared" si="385"/>
        <v>0</v>
      </c>
      <c r="Y511" s="1034">
        <f t="shared" si="386"/>
        <v>0</v>
      </c>
      <c r="Z511" s="1034">
        <f t="shared" si="387"/>
        <v>0</v>
      </c>
      <c r="AA511" s="1034">
        <f t="shared" si="371"/>
        <v>0</v>
      </c>
      <c r="AB511" s="1034">
        <f t="shared" si="372"/>
        <v>0</v>
      </c>
      <c r="AC511" s="1033">
        <f t="shared" si="388"/>
        <v>0</v>
      </c>
      <c r="AD511" s="1266">
        <f t="shared" si="373"/>
        <v>0</v>
      </c>
      <c r="AE511" s="1093">
        <f t="shared" si="389"/>
        <v>0</v>
      </c>
      <c r="AF511" s="1093">
        <f t="shared" si="390"/>
        <v>0</v>
      </c>
      <c r="AG511" s="1093">
        <f t="shared" si="374"/>
        <v>0</v>
      </c>
      <c r="AH511" s="1033" t="e">
        <f t="shared" si="375"/>
        <v>#DIV/0!</v>
      </c>
      <c r="AI511" s="1091">
        <f t="shared" si="376"/>
        <v>0</v>
      </c>
      <c r="AJ511" s="1094">
        <f t="shared" si="377"/>
        <v>0</v>
      </c>
      <c r="AK511" s="1053" t="str">
        <f t="shared" si="378"/>
        <v/>
      </c>
      <c r="AL511" s="1053"/>
      <c r="AM511" s="1290">
        <f>_xlfn.XLOOKUP(F511,Proveedores!A:A,Proveedores!G:G)</f>
        <v>0</v>
      </c>
      <c r="AN511" s="1095" t="str">
        <f t="shared" si="391"/>
        <v>OK</v>
      </c>
    </row>
    <row r="512" spans="1:40" ht="15.95">
      <c r="A512" s="1090" t="b">
        <f t="shared" si="366"/>
        <v>1</v>
      </c>
      <c r="B512" s="1091" t="b">
        <f t="shared" si="379"/>
        <v>1</v>
      </c>
      <c r="C512" s="1092" t="str">
        <f t="shared" si="380"/>
        <v>Dólares</v>
      </c>
      <c r="D512" s="11"/>
      <c r="E512" s="743"/>
      <c r="F512" s="17"/>
      <c r="G512" s="17" t="str">
        <f t="shared" si="367"/>
        <v xml:space="preserve"> </v>
      </c>
      <c r="H512" s="12">
        <v>0</v>
      </c>
      <c r="I512" s="16" t="str">
        <f>IFERROR(VLOOKUP(G512,Proveedores!B:C,2,0)," ")</f>
        <v xml:space="preserve"> </v>
      </c>
      <c r="J512" s="745">
        <v>0</v>
      </c>
      <c r="K512" s="745" t="str">
        <f t="shared" si="368"/>
        <v>Not Found</v>
      </c>
      <c r="L512" s="16">
        <f>IF(K512="Importado",Fletes!$B$66,0%)</f>
        <v>0</v>
      </c>
      <c r="M512" s="745">
        <f t="shared" si="381"/>
        <v>0</v>
      </c>
      <c r="N512" s="16">
        <f>IF(K512&lt;&gt;"Importado",0%,IF(Fletes!$B$67&lt;10,15%,IF(Fletes!$B$67&lt;20,10%,5%)))</f>
        <v>0</v>
      </c>
      <c r="O512" s="745" t="str">
        <f>IFERROR(IF(OR(F512="Offiho",F512="Lauco Sofas",F512="Requiez",F512="Labenze",F512="Sunon Mty",F512="Sonara"),(M512*(1-_xlfn.XLOOKUP(F512,Proveedores!A:A,Proveedores!I:I)))*(1+N512),((M512*(1-_xlfn.XLOOKUP(F512,Proveedores!A:A,Proveedores!I:I)))*(1+N512))+U512),"")</f>
        <v/>
      </c>
      <c r="P512" s="1031"/>
      <c r="Q512" s="1133">
        <f>IF(K512&lt;&gt;"Importado",0,IF(P512&gt;0,P512*H512,IFERROR(_xlfn.XLOOKUP(F512,Proveedores!A:A,Proveedores!F:F,0)*H512,0)))</f>
        <v>0</v>
      </c>
      <c r="R512" s="1134" t="e">
        <f t="shared" si="382"/>
        <v>#VALUE!</v>
      </c>
      <c r="S512" s="743"/>
      <c r="T512" s="1034" t="e">
        <f t="shared" si="369"/>
        <v>#N/A</v>
      </c>
      <c r="U512" s="1034" t="e">
        <f t="shared" si="383"/>
        <v>#N/A</v>
      </c>
      <c r="V512" s="1165" t="e">
        <f t="shared" si="370"/>
        <v>#N/A</v>
      </c>
      <c r="W512" s="1034" t="e">
        <f t="shared" si="384"/>
        <v>#N/A</v>
      </c>
      <c r="X512" s="1034" t="b">
        <f t="shared" si="385"/>
        <v>0</v>
      </c>
      <c r="Y512" s="1034">
        <f t="shared" si="386"/>
        <v>0</v>
      </c>
      <c r="Z512" s="1034">
        <f t="shared" si="387"/>
        <v>0</v>
      </c>
      <c r="AA512" s="1034">
        <f t="shared" si="371"/>
        <v>0</v>
      </c>
      <c r="AB512" s="1034">
        <f t="shared" si="372"/>
        <v>0</v>
      </c>
      <c r="AC512" s="1033">
        <f t="shared" si="388"/>
        <v>0</v>
      </c>
      <c r="AD512" s="1266">
        <f t="shared" si="373"/>
        <v>0</v>
      </c>
      <c r="AE512" s="1093">
        <f t="shared" si="389"/>
        <v>0</v>
      </c>
      <c r="AF512" s="1093">
        <f t="shared" si="390"/>
        <v>0</v>
      </c>
      <c r="AG512" s="1093">
        <f t="shared" si="374"/>
        <v>0</v>
      </c>
      <c r="AH512" s="1033" t="e">
        <f t="shared" si="375"/>
        <v>#DIV/0!</v>
      </c>
      <c r="AI512" s="1091">
        <f t="shared" si="376"/>
        <v>0</v>
      </c>
      <c r="AJ512" s="1094">
        <f t="shared" si="377"/>
        <v>0</v>
      </c>
      <c r="AK512" s="1053" t="str">
        <f t="shared" si="378"/>
        <v/>
      </c>
      <c r="AL512" s="1053"/>
      <c r="AM512" s="1290">
        <f>_xlfn.XLOOKUP(F512,Proveedores!A:A,Proveedores!G:G)</f>
        <v>0</v>
      </c>
      <c r="AN512" s="1095" t="str">
        <f t="shared" si="391"/>
        <v>OK</v>
      </c>
    </row>
    <row r="513" spans="1:40" ht="15.95">
      <c r="A513" s="1090" t="b">
        <f t="shared" si="366"/>
        <v>1</v>
      </c>
      <c r="B513" s="1091" t="b">
        <f t="shared" si="379"/>
        <v>1</v>
      </c>
      <c r="C513" s="1092" t="str">
        <f t="shared" si="380"/>
        <v>Dólares</v>
      </c>
      <c r="D513" s="11"/>
      <c r="E513" s="743"/>
      <c r="F513" s="17"/>
      <c r="G513" s="17" t="str">
        <f t="shared" si="367"/>
        <v xml:space="preserve"> </v>
      </c>
      <c r="H513" s="12">
        <v>0</v>
      </c>
      <c r="I513" s="16" t="str">
        <f>IFERROR(VLOOKUP(G513,Proveedores!B:C,2,0)," ")</f>
        <v xml:space="preserve"> </v>
      </c>
      <c r="J513" s="745">
        <v>0</v>
      </c>
      <c r="K513" s="745" t="str">
        <f t="shared" si="368"/>
        <v>Not Found</v>
      </c>
      <c r="L513" s="16">
        <f>IF(K513="Importado",Fletes!$B$66,0%)</f>
        <v>0</v>
      </c>
      <c r="M513" s="745">
        <f t="shared" si="381"/>
        <v>0</v>
      </c>
      <c r="N513" s="16">
        <f>IF(K513&lt;&gt;"Importado",0%,IF(Fletes!$B$67&lt;10,15%,IF(Fletes!$B$67&lt;20,10%,5%)))</f>
        <v>0</v>
      </c>
      <c r="O513" s="745" t="str">
        <f>IFERROR(IF(OR(F513="Offiho",F513="Lauco Sofas",F513="Requiez",F513="Labenze",F513="Sunon Mty",F513="Sonara"),(M513*(1-_xlfn.XLOOKUP(F513,Proveedores!A:A,Proveedores!I:I)))*(1+N513),((M513*(1-_xlfn.XLOOKUP(F513,Proveedores!A:A,Proveedores!I:I)))*(1+N513))+U513),"")</f>
        <v/>
      </c>
      <c r="P513" s="1031"/>
      <c r="Q513" s="1133">
        <f>IF(K513&lt;&gt;"Importado",0,IF(P513&gt;0,P513*H513,IFERROR(_xlfn.XLOOKUP(F513,Proveedores!A:A,Proveedores!F:F,0)*H513,0)))</f>
        <v>0</v>
      </c>
      <c r="R513" s="1134" t="e">
        <f t="shared" si="382"/>
        <v>#VALUE!</v>
      </c>
      <c r="S513" s="743"/>
      <c r="T513" s="1034" t="e">
        <f t="shared" si="369"/>
        <v>#N/A</v>
      </c>
      <c r="U513" s="1034" t="e">
        <f t="shared" si="383"/>
        <v>#N/A</v>
      </c>
      <c r="V513" s="1165" t="e">
        <f t="shared" si="370"/>
        <v>#N/A</v>
      </c>
      <c r="W513" s="1034" t="e">
        <f t="shared" si="384"/>
        <v>#N/A</v>
      </c>
      <c r="X513" s="1034" t="b">
        <f t="shared" si="385"/>
        <v>0</v>
      </c>
      <c r="Y513" s="1034">
        <f t="shared" si="386"/>
        <v>0</v>
      </c>
      <c r="Z513" s="1034">
        <f t="shared" si="387"/>
        <v>0</v>
      </c>
      <c r="AA513" s="1034">
        <f t="shared" si="371"/>
        <v>0</v>
      </c>
      <c r="AB513" s="1034">
        <f t="shared" si="372"/>
        <v>0</v>
      </c>
      <c r="AC513" s="1033">
        <f t="shared" si="388"/>
        <v>0</v>
      </c>
      <c r="AD513" s="1266">
        <f t="shared" si="373"/>
        <v>0</v>
      </c>
      <c r="AE513" s="1093">
        <f t="shared" si="389"/>
        <v>0</v>
      </c>
      <c r="AF513" s="1093">
        <f t="shared" si="390"/>
        <v>0</v>
      </c>
      <c r="AG513" s="1093">
        <f t="shared" si="374"/>
        <v>0</v>
      </c>
      <c r="AH513" s="1033" t="e">
        <f t="shared" si="375"/>
        <v>#DIV/0!</v>
      </c>
      <c r="AI513" s="1091">
        <f t="shared" si="376"/>
        <v>0</v>
      </c>
      <c r="AJ513" s="1094">
        <f t="shared" si="377"/>
        <v>0</v>
      </c>
      <c r="AK513" s="1053" t="str">
        <f t="shared" si="378"/>
        <v/>
      </c>
      <c r="AL513" s="1053"/>
      <c r="AM513" s="1290">
        <f>_xlfn.XLOOKUP(F513,Proveedores!A:A,Proveedores!G:G)</f>
        <v>0</v>
      </c>
      <c r="AN513" s="1095" t="str">
        <f t="shared" si="391"/>
        <v>OK</v>
      </c>
    </row>
    <row r="514" spans="1:40" ht="15.95">
      <c r="A514" s="1090" t="b">
        <f t="shared" si="366"/>
        <v>1</v>
      </c>
      <c r="B514" s="1091" t="b">
        <f t="shared" si="379"/>
        <v>1</v>
      </c>
      <c r="C514" s="1092" t="str">
        <f t="shared" si="380"/>
        <v>Dólares</v>
      </c>
      <c r="D514" s="11"/>
      <c r="E514" s="743"/>
      <c r="F514" s="17"/>
      <c r="G514" s="17" t="str">
        <f t="shared" si="367"/>
        <v xml:space="preserve"> </v>
      </c>
      <c r="H514" s="12">
        <v>0</v>
      </c>
      <c r="I514" s="16" t="str">
        <f>IFERROR(VLOOKUP(G514,Proveedores!B:C,2,0)," ")</f>
        <v xml:space="preserve"> </v>
      </c>
      <c r="J514" s="745">
        <v>0</v>
      </c>
      <c r="K514" s="745" t="str">
        <f t="shared" si="368"/>
        <v>Not Found</v>
      </c>
      <c r="L514" s="16">
        <f>IF(K514="Importado",Fletes!$B$66,0%)</f>
        <v>0</v>
      </c>
      <c r="M514" s="745">
        <f t="shared" si="381"/>
        <v>0</v>
      </c>
      <c r="N514" s="16">
        <f>IF(K514&lt;&gt;"Importado",0%,IF(Fletes!$B$67&lt;10,15%,IF(Fletes!$B$67&lt;20,10%,5%)))</f>
        <v>0</v>
      </c>
      <c r="O514" s="745" t="str">
        <f>IFERROR(IF(OR(F514="Offiho",F514="Lauco Sofas",F514="Requiez",F514="Labenze",F514="Sunon Mty",F514="Sonara"),(M514*(1-_xlfn.XLOOKUP(F514,Proveedores!A:A,Proveedores!I:I)))*(1+N514),((M514*(1-_xlfn.XLOOKUP(F514,Proveedores!A:A,Proveedores!I:I)))*(1+N514))+U514),"")</f>
        <v/>
      </c>
      <c r="P514" s="1031"/>
      <c r="Q514" s="1133">
        <f>IF(K514&lt;&gt;"Importado",0,IF(P514&gt;0,P514*H514,IFERROR(_xlfn.XLOOKUP(F514,Proveedores!A:A,Proveedores!F:F,0)*H514,0)))</f>
        <v>0</v>
      </c>
      <c r="R514" s="1134" t="e">
        <f t="shared" si="382"/>
        <v>#VALUE!</v>
      </c>
      <c r="S514" s="743"/>
      <c r="T514" s="1034" t="e">
        <f t="shared" si="369"/>
        <v>#N/A</v>
      </c>
      <c r="U514" s="1034" t="e">
        <f t="shared" si="383"/>
        <v>#N/A</v>
      </c>
      <c r="V514" s="1165" t="e">
        <f t="shared" si="370"/>
        <v>#N/A</v>
      </c>
      <c r="W514" s="1034" t="e">
        <f t="shared" si="384"/>
        <v>#N/A</v>
      </c>
      <c r="X514" s="1034" t="b">
        <f t="shared" si="385"/>
        <v>0</v>
      </c>
      <c r="Y514" s="1034">
        <f t="shared" si="386"/>
        <v>0</v>
      </c>
      <c r="Z514" s="1034">
        <f t="shared" si="387"/>
        <v>0</v>
      </c>
      <c r="AA514" s="1034">
        <f t="shared" si="371"/>
        <v>0</v>
      </c>
      <c r="AB514" s="1034">
        <f t="shared" si="372"/>
        <v>0</v>
      </c>
      <c r="AC514" s="1033">
        <f t="shared" si="388"/>
        <v>0</v>
      </c>
      <c r="AD514" s="1266">
        <f t="shared" si="373"/>
        <v>0</v>
      </c>
      <c r="AE514" s="1093">
        <f t="shared" si="389"/>
        <v>0</v>
      </c>
      <c r="AF514" s="1093">
        <f t="shared" si="390"/>
        <v>0</v>
      </c>
      <c r="AG514" s="1093">
        <f t="shared" si="374"/>
        <v>0</v>
      </c>
      <c r="AH514" s="1033" t="e">
        <f t="shared" si="375"/>
        <v>#DIV/0!</v>
      </c>
      <c r="AI514" s="1091">
        <f t="shared" si="376"/>
        <v>0</v>
      </c>
      <c r="AJ514" s="1094">
        <f t="shared" si="377"/>
        <v>0</v>
      </c>
      <c r="AK514" s="1053" t="str">
        <f t="shared" si="378"/>
        <v/>
      </c>
      <c r="AL514" s="1053"/>
      <c r="AM514" s="1290">
        <f>_xlfn.XLOOKUP(F514,Proveedores!A:A,Proveedores!G:G)</f>
        <v>0</v>
      </c>
      <c r="AN514" s="1095" t="str">
        <f t="shared" si="391"/>
        <v>OK</v>
      </c>
    </row>
    <row r="515" spans="1:40" ht="15.95">
      <c r="A515" s="1090" t="b">
        <f t="shared" si="366"/>
        <v>1</v>
      </c>
      <c r="B515" s="1091" t="b">
        <f t="shared" si="379"/>
        <v>1</v>
      </c>
      <c r="C515" s="1092" t="str">
        <f t="shared" si="380"/>
        <v>Dólares</v>
      </c>
      <c r="D515" s="13"/>
      <c r="E515" s="743"/>
      <c r="F515" s="17"/>
      <c r="G515" s="17" t="str">
        <f t="shared" si="367"/>
        <v xml:space="preserve"> </v>
      </c>
      <c r="H515" s="12">
        <v>0</v>
      </c>
      <c r="I515" s="16" t="str">
        <f>IFERROR(VLOOKUP(G515,Proveedores!B:C,2,0)," ")</f>
        <v xml:space="preserve"> </v>
      </c>
      <c r="J515" s="745">
        <v>0</v>
      </c>
      <c r="K515" s="745" t="str">
        <f t="shared" si="368"/>
        <v>Not Found</v>
      </c>
      <c r="L515" s="16">
        <f>IF(K515="Importado",Fletes!$B$66,0%)</f>
        <v>0</v>
      </c>
      <c r="M515" s="745">
        <f t="shared" si="381"/>
        <v>0</v>
      </c>
      <c r="N515" s="16">
        <f>IF(K515&lt;&gt;"Importado",0%,IF(Fletes!$B$67&lt;10,15%,IF(Fletes!$B$67&lt;20,10%,5%)))</f>
        <v>0</v>
      </c>
      <c r="O515" s="745" t="str">
        <f>IFERROR(IF(OR(F515="Offiho",F515="Lauco Sofas",F515="Requiez",F515="Labenze",F515="Sunon Mty",F515="Sonara"),(M515*(1-_xlfn.XLOOKUP(F515,Proveedores!A:A,Proveedores!I:I)))*(1+N515),((M515*(1-_xlfn.XLOOKUP(F515,Proveedores!A:A,Proveedores!I:I)))*(1+N515))+U515),"")</f>
        <v/>
      </c>
      <c r="P515" s="1031"/>
      <c r="Q515" s="1133">
        <f>IF(K515&lt;&gt;"Importado",0,IF(P515&gt;0,P515*H515,IFERROR(_xlfn.XLOOKUP(F515,Proveedores!A:A,Proveedores!F:F,0)*H515,0)))</f>
        <v>0</v>
      </c>
      <c r="R515" s="1134" t="e">
        <f t="shared" si="382"/>
        <v>#VALUE!</v>
      </c>
      <c r="S515" s="743"/>
      <c r="T515" s="1034" t="e">
        <f t="shared" si="369"/>
        <v>#N/A</v>
      </c>
      <c r="U515" s="1034" t="e">
        <f t="shared" si="383"/>
        <v>#N/A</v>
      </c>
      <c r="V515" s="1165" t="e">
        <f t="shared" si="370"/>
        <v>#N/A</v>
      </c>
      <c r="W515" s="1034" t="e">
        <f t="shared" si="384"/>
        <v>#N/A</v>
      </c>
      <c r="X515" s="1034" t="b">
        <f t="shared" si="385"/>
        <v>0</v>
      </c>
      <c r="Y515" s="1034">
        <f t="shared" si="386"/>
        <v>0</v>
      </c>
      <c r="Z515" s="1034">
        <f t="shared" si="387"/>
        <v>0</v>
      </c>
      <c r="AA515" s="1034">
        <f t="shared" si="371"/>
        <v>0</v>
      </c>
      <c r="AB515" s="1034">
        <f t="shared" si="372"/>
        <v>0</v>
      </c>
      <c r="AC515" s="1033">
        <f t="shared" si="388"/>
        <v>0</v>
      </c>
      <c r="AD515" s="1266">
        <f t="shared" si="373"/>
        <v>0</v>
      </c>
      <c r="AE515" s="1093">
        <f t="shared" si="389"/>
        <v>0</v>
      </c>
      <c r="AF515" s="1093">
        <f t="shared" si="390"/>
        <v>0</v>
      </c>
      <c r="AG515" s="1093">
        <f t="shared" si="374"/>
        <v>0</v>
      </c>
      <c r="AH515" s="1033" t="e">
        <f t="shared" si="375"/>
        <v>#DIV/0!</v>
      </c>
      <c r="AI515" s="1091">
        <f t="shared" si="376"/>
        <v>0</v>
      </c>
      <c r="AJ515" s="1094">
        <f t="shared" si="377"/>
        <v>0</v>
      </c>
      <c r="AK515" s="1053" t="str">
        <f t="shared" si="378"/>
        <v/>
      </c>
      <c r="AL515" s="1053"/>
      <c r="AM515" s="1290">
        <f>_xlfn.XLOOKUP(F515,Proveedores!A:A,Proveedores!G:G)</f>
        <v>0</v>
      </c>
      <c r="AN515" s="1095" t="str">
        <f t="shared" si="391"/>
        <v>OK</v>
      </c>
    </row>
    <row r="516" spans="1:40" ht="15.95">
      <c r="A516" s="1090" t="b">
        <f t="shared" si="366"/>
        <v>1</v>
      </c>
      <c r="B516" s="1091" t="b">
        <f t="shared" si="379"/>
        <v>1</v>
      </c>
      <c r="C516" s="1092" t="str">
        <f t="shared" si="380"/>
        <v>Dólares</v>
      </c>
      <c r="D516" s="13"/>
      <c r="E516" s="743"/>
      <c r="F516" s="17"/>
      <c r="G516" s="17" t="str">
        <f t="shared" si="367"/>
        <v xml:space="preserve"> </v>
      </c>
      <c r="H516" s="12">
        <v>0</v>
      </c>
      <c r="I516" s="16" t="str">
        <f>IFERROR(VLOOKUP(G516,Proveedores!B:C,2,0)," ")</f>
        <v xml:space="preserve"> </v>
      </c>
      <c r="J516" s="745">
        <v>0</v>
      </c>
      <c r="K516" s="745" t="str">
        <f t="shared" si="368"/>
        <v>Not Found</v>
      </c>
      <c r="L516" s="16">
        <f>IF(K516="Importado",Fletes!$B$66,0%)</f>
        <v>0</v>
      </c>
      <c r="M516" s="745">
        <f t="shared" si="381"/>
        <v>0</v>
      </c>
      <c r="N516" s="16">
        <f>IF(K516&lt;&gt;"Importado",0%,IF(Fletes!$B$67&lt;10,15%,IF(Fletes!$B$67&lt;20,10%,5%)))</f>
        <v>0</v>
      </c>
      <c r="O516" s="745" t="str">
        <f>IFERROR(IF(OR(F516="Offiho",F516="Lauco Sofas",F516="Requiez",F516="Labenze",F516="Sunon Mty",F516="Sonara"),(M516*(1-_xlfn.XLOOKUP(F516,Proveedores!A:A,Proveedores!I:I)))*(1+N516),((M516*(1-_xlfn.XLOOKUP(F516,Proveedores!A:A,Proveedores!I:I)))*(1+N516))+U516),"")</f>
        <v/>
      </c>
      <c r="P516" s="1031"/>
      <c r="Q516" s="1133">
        <f>IF(K516&lt;&gt;"Importado",0,IF(P516&gt;0,P516*H516,IFERROR(_xlfn.XLOOKUP(F516,Proveedores!A:A,Proveedores!F:F,0)*H516,0)))</f>
        <v>0</v>
      </c>
      <c r="R516" s="1134" t="e">
        <f t="shared" si="382"/>
        <v>#VALUE!</v>
      </c>
      <c r="S516" s="743"/>
      <c r="T516" s="1034" t="e">
        <f t="shared" si="369"/>
        <v>#N/A</v>
      </c>
      <c r="U516" s="1034" t="e">
        <f t="shared" si="383"/>
        <v>#N/A</v>
      </c>
      <c r="V516" s="1165" t="e">
        <f t="shared" si="370"/>
        <v>#N/A</v>
      </c>
      <c r="W516" s="1034" t="e">
        <f t="shared" si="384"/>
        <v>#N/A</v>
      </c>
      <c r="X516" s="1034" t="b">
        <f t="shared" si="385"/>
        <v>0</v>
      </c>
      <c r="Y516" s="1034">
        <f t="shared" si="386"/>
        <v>0</v>
      </c>
      <c r="Z516" s="1034">
        <f t="shared" si="387"/>
        <v>0</v>
      </c>
      <c r="AA516" s="1034">
        <f t="shared" si="371"/>
        <v>0</v>
      </c>
      <c r="AB516" s="1034">
        <f t="shared" si="372"/>
        <v>0</v>
      </c>
      <c r="AC516" s="1033">
        <f t="shared" si="388"/>
        <v>0</v>
      </c>
      <c r="AD516" s="1266">
        <f t="shared" si="373"/>
        <v>0</v>
      </c>
      <c r="AE516" s="1093">
        <f t="shared" si="389"/>
        <v>0</v>
      </c>
      <c r="AF516" s="1093">
        <f t="shared" si="390"/>
        <v>0</v>
      </c>
      <c r="AG516" s="1093">
        <f t="shared" si="374"/>
        <v>0</v>
      </c>
      <c r="AH516" s="1033" t="e">
        <f t="shared" si="375"/>
        <v>#DIV/0!</v>
      </c>
      <c r="AI516" s="1091">
        <f t="shared" si="376"/>
        <v>0</v>
      </c>
      <c r="AJ516" s="1094">
        <f t="shared" si="377"/>
        <v>0</v>
      </c>
      <c r="AK516" s="1053" t="str">
        <f t="shared" si="378"/>
        <v/>
      </c>
      <c r="AL516" s="1053"/>
      <c r="AM516" s="1290">
        <f>_xlfn.XLOOKUP(F516,Proveedores!A:A,Proveedores!G:G)</f>
        <v>0</v>
      </c>
      <c r="AN516" s="1095" t="str">
        <f t="shared" si="391"/>
        <v>OK</v>
      </c>
    </row>
    <row r="517" spans="1:40" ht="15.95">
      <c r="A517" s="1090" t="b">
        <f t="shared" si="366"/>
        <v>1</v>
      </c>
      <c r="B517" s="1091" t="b">
        <f t="shared" si="379"/>
        <v>1</v>
      </c>
      <c r="C517" s="1092" t="str">
        <f t="shared" si="380"/>
        <v>Dólares</v>
      </c>
      <c r="D517" s="13"/>
      <c r="E517" s="743"/>
      <c r="F517" s="17"/>
      <c r="G517" s="17" t="str">
        <f t="shared" si="367"/>
        <v xml:space="preserve"> </v>
      </c>
      <c r="H517" s="12">
        <v>0</v>
      </c>
      <c r="I517" s="16" t="str">
        <f>IFERROR(VLOOKUP(G517,Proveedores!B:C,2,0)," ")</f>
        <v xml:space="preserve"> </v>
      </c>
      <c r="J517" s="745">
        <v>0</v>
      </c>
      <c r="K517" s="745" t="str">
        <f t="shared" si="368"/>
        <v>Not Found</v>
      </c>
      <c r="L517" s="16">
        <f>IF(K517="Importado",Fletes!$B$66,0%)</f>
        <v>0</v>
      </c>
      <c r="M517" s="745">
        <f t="shared" si="381"/>
        <v>0</v>
      </c>
      <c r="N517" s="16">
        <f>IF(K517&lt;&gt;"Importado",0%,IF(Fletes!$B$67&lt;10,15%,IF(Fletes!$B$67&lt;20,10%,5%)))</f>
        <v>0</v>
      </c>
      <c r="O517" s="745" t="str">
        <f>IFERROR(IF(OR(F517="Offiho",F517="Lauco Sofas",F517="Requiez",F517="Labenze",F517="Sunon Mty",F517="Sonara"),(M517*(1-_xlfn.XLOOKUP(F517,Proveedores!A:A,Proveedores!I:I)))*(1+N517),((M517*(1-_xlfn.XLOOKUP(F517,Proveedores!A:A,Proveedores!I:I)))*(1+N517))+U517),"")</f>
        <v/>
      </c>
      <c r="P517" s="1031"/>
      <c r="Q517" s="1133">
        <f>IF(K517&lt;&gt;"Importado",0,IF(P517&gt;0,P517*H517,IFERROR(_xlfn.XLOOKUP(F517,Proveedores!A:A,Proveedores!F:F,0)*H517,0)))</f>
        <v>0</v>
      </c>
      <c r="R517" s="1134" t="e">
        <f t="shared" si="382"/>
        <v>#VALUE!</v>
      </c>
      <c r="S517" s="743"/>
      <c r="T517" s="1034" t="e">
        <f t="shared" si="369"/>
        <v>#N/A</v>
      </c>
      <c r="U517" s="1034" t="e">
        <f t="shared" si="383"/>
        <v>#N/A</v>
      </c>
      <c r="V517" s="1165" t="e">
        <f t="shared" si="370"/>
        <v>#N/A</v>
      </c>
      <c r="W517" s="1034" t="e">
        <f t="shared" si="384"/>
        <v>#N/A</v>
      </c>
      <c r="X517" s="1034" t="b">
        <f t="shared" si="385"/>
        <v>0</v>
      </c>
      <c r="Y517" s="1034">
        <f t="shared" si="386"/>
        <v>0</v>
      </c>
      <c r="Z517" s="1034">
        <f t="shared" si="387"/>
        <v>0</v>
      </c>
      <c r="AA517" s="1034">
        <f t="shared" si="371"/>
        <v>0</v>
      </c>
      <c r="AB517" s="1034">
        <f t="shared" si="372"/>
        <v>0</v>
      </c>
      <c r="AC517" s="1033">
        <f t="shared" si="388"/>
        <v>0</v>
      </c>
      <c r="AD517" s="1266">
        <f t="shared" si="373"/>
        <v>0</v>
      </c>
      <c r="AE517" s="1093">
        <f t="shared" si="389"/>
        <v>0</v>
      </c>
      <c r="AF517" s="1093">
        <f t="shared" si="390"/>
        <v>0</v>
      </c>
      <c r="AG517" s="1093">
        <f t="shared" si="374"/>
        <v>0</v>
      </c>
      <c r="AH517" s="1033" t="e">
        <f t="shared" si="375"/>
        <v>#DIV/0!</v>
      </c>
      <c r="AI517" s="1091">
        <f t="shared" si="376"/>
        <v>0</v>
      </c>
      <c r="AJ517" s="1094">
        <f t="shared" si="377"/>
        <v>0</v>
      </c>
      <c r="AK517" s="1053" t="str">
        <f t="shared" si="378"/>
        <v/>
      </c>
      <c r="AL517" s="1053"/>
      <c r="AM517" s="1290">
        <f>_xlfn.XLOOKUP(F517,Proveedores!A:A,Proveedores!G:G)</f>
        <v>0</v>
      </c>
      <c r="AN517" s="1095" t="str">
        <f t="shared" si="391"/>
        <v>OK</v>
      </c>
    </row>
    <row r="518" spans="1:40" ht="15.95">
      <c r="A518" s="1090" t="b">
        <f t="shared" si="366"/>
        <v>1</v>
      </c>
      <c r="B518" s="1091" t="b">
        <f t="shared" si="379"/>
        <v>1</v>
      </c>
      <c r="C518" s="1092" t="str">
        <f t="shared" si="380"/>
        <v>Dólares</v>
      </c>
      <c r="D518" s="13"/>
      <c r="E518" s="743"/>
      <c r="F518" s="17"/>
      <c r="G518" s="17" t="str">
        <f t="shared" si="367"/>
        <v xml:space="preserve"> </v>
      </c>
      <c r="H518" s="12">
        <v>0</v>
      </c>
      <c r="I518" s="16" t="str">
        <f>IFERROR(VLOOKUP(G518,Proveedores!B:C,2,0)," ")</f>
        <v xml:space="preserve"> </v>
      </c>
      <c r="J518" s="745">
        <v>0</v>
      </c>
      <c r="K518" s="745" t="str">
        <f t="shared" si="368"/>
        <v>Not Found</v>
      </c>
      <c r="L518" s="16">
        <f>IF(K518="Importado",Fletes!$B$66,0%)</f>
        <v>0</v>
      </c>
      <c r="M518" s="745">
        <f t="shared" si="381"/>
        <v>0</v>
      </c>
      <c r="N518" s="16">
        <f>IF(K518&lt;&gt;"Importado",0%,IF(Fletes!$B$67&lt;10,15%,IF(Fletes!$B$67&lt;20,10%,5%)))</f>
        <v>0</v>
      </c>
      <c r="O518" s="745" t="str">
        <f>IFERROR(IF(OR(F518="Offiho",F518="Lauco Sofas",F518="Requiez",F518="Labenze",F518="Sunon Mty",F518="Sonara"),(M518*(1-_xlfn.XLOOKUP(F518,Proveedores!A:A,Proveedores!I:I)))*(1+N518),((M518*(1-_xlfn.XLOOKUP(F518,Proveedores!A:A,Proveedores!I:I)))*(1+N518))+U518),"")</f>
        <v/>
      </c>
      <c r="P518" s="1031"/>
      <c r="Q518" s="1133">
        <f>IF(K518&lt;&gt;"Importado",0,IF(P518&gt;0,P518*H518,IFERROR(_xlfn.XLOOKUP(F518,Proveedores!A:A,Proveedores!F:F,0)*H518,0)))</f>
        <v>0</v>
      </c>
      <c r="R518" s="1134" t="e">
        <f t="shared" si="382"/>
        <v>#VALUE!</v>
      </c>
      <c r="S518" s="743"/>
      <c r="T518" s="1034" t="e">
        <f t="shared" si="369"/>
        <v>#N/A</v>
      </c>
      <c r="U518" s="1034" t="e">
        <f t="shared" si="383"/>
        <v>#N/A</v>
      </c>
      <c r="V518" s="1165" t="e">
        <f t="shared" si="370"/>
        <v>#N/A</v>
      </c>
      <c r="W518" s="1034" t="e">
        <f t="shared" si="384"/>
        <v>#N/A</v>
      </c>
      <c r="X518" s="1034" t="b">
        <f t="shared" si="385"/>
        <v>0</v>
      </c>
      <c r="Y518" s="1034">
        <f t="shared" si="386"/>
        <v>0</v>
      </c>
      <c r="Z518" s="1034">
        <f t="shared" si="387"/>
        <v>0</v>
      </c>
      <c r="AA518" s="1034">
        <f t="shared" si="371"/>
        <v>0</v>
      </c>
      <c r="AB518" s="1034">
        <f t="shared" si="372"/>
        <v>0</v>
      </c>
      <c r="AC518" s="1033">
        <f t="shared" si="388"/>
        <v>0</v>
      </c>
      <c r="AD518" s="1266">
        <f t="shared" si="373"/>
        <v>0</v>
      </c>
      <c r="AE518" s="1093">
        <f t="shared" si="389"/>
        <v>0</v>
      </c>
      <c r="AF518" s="1093">
        <f t="shared" si="390"/>
        <v>0</v>
      </c>
      <c r="AG518" s="1093">
        <f t="shared" si="374"/>
        <v>0</v>
      </c>
      <c r="AH518" s="1033" t="e">
        <f t="shared" si="375"/>
        <v>#DIV/0!</v>
      </c>
      <c r="AI518" s="1091">
        <f t="shared" si="376"/>
        <v>0</v>
      </c>
      <c r="AJ518" s="1094">
        <f t="shared" si="377"/>
        <v>0</v>
      </c>
      <c r="AK518" s="1053" t="str">
        <f t="shared" si="378"/>
        <v/>
      </c>
      <c r="AL518" s="1053"/>
      <c r="AM518" s="1290">
        <f>_xlfn.XLOOKUP(F518,Proveedores!A:A,Proveedores!G:G)</f>
        <v>0</v>
      </c>
      <c r="AN518" s="1095" t="str">
        <f t="shared" si="391"/>
        <v>OK</v>
      </c>
    </row>
    <row r="519" spans="1:40" ht="15.95">
      <c r="A519" s="1090" t="b">
        <f t="shared" si="366"/>
        <v>1</v>
      </c>
      <c r="B519" s="1091" t="b">
        <f t="shared" si="379"/>
        <v>1</v>
      </c>
      <c r="C519" s="1092" t="str">
        <f t="shared" si="380"/>
        <v>Dólares</v>
      </c>
      <c r="D519" s="13"/>
      <c r="E519" s="743"/>
      <c r="F519" s="17"/>
      <c r="G519" s="17" t="str">
        <f t="shared" si="367"/>
        <v xml:space="preserve"> </v>
      </c>
      <c r="H519" s="12">
        <v>0</v>
      </c>
      <c r="I519" s="16" t="str">
        <f>IFERROR(VLOOKUP(G519,Proveedores!B:C,2,0)," ")</f>
        <v xml:space="preserve"> </v>
      </c>
      <c r="J519" s="745">
        <v>0</v>
      </c>
      <c r="K519" s="745" t="str">
        <f t="shared" si="368"/>
        <v>Not Found</v>
      </c>
      <c r="L519" s="16">
        <f>IF(K519="Importado",Fletes!$B$66,0%)</f>
        <v>0</v>
      </c>
      <c r="M519" s="745">
        <f t="shared" si="381"/>
        <v>0</v>
      </c>
      <c r="N519" s="16">
        <f>IF(K519&lt;&gt;"Importado",0%,IF(Fletes!$B$67&lt;10,15%,IF(Fletes!$B$67&lt;20,10%,5%)))</f>
        <v>0</v>
      </c>
      <c r="O519" s="745" t="str">
        <f>IFERROR(IF(OR(F519="Offiho",F519="Lauco Sofas",F519="Requiez",F519="Labenze",F519="Sunon Mty",F519="Sonara"),(M519*(1-_xlfn.XLOOKUP(F519,Proveedores!A:A,Proveedores!I:I)))*(1+N519),((M519*(1-_xlfn.XLOOKUP(F519,Proveedores!A:A,Proveedores!I:I)))*(1+N519))+U519),"")</f>
        <v/>
      </c>
      <c r="P519" s="1031"/>
      <c r="Q519" s="1133">
        <f>IF(K519&lt;&gt;"Importado",0,IF(P519&gt;0,P519*H519,IFERROR(_xlfn.XLOOKUP(F519,Proveedores!A:A,Proveedores!F:F,0)*H519,0)))</f>
        <v>0</v>
      </c>
      <c r="R519" s="1134" t="e">
        <f t="shared" si="382"/>
        <v>#VALUE!</v>
      </c>
      <c r="S519" s="743"/>
      <c r="T519" s="1034" t="e">
        <f t="shared" si="369"/>
        <v>#N/A</v>
      </c>
      <c r="U519" s="1034" t="e">
        <f t="shared" si="383"/>
        <v>#N/A</v>
      </c>
      <c r="V519" s="1165" t="e">
        <f t="shared" si="370"/>
        <v>#N/A</v>
      </c>
      <c r="W519" s="1034" t="e">
        <f t="shared" si="384"/>
        <v>#N/A</v>
      </c>
      <c r="X519" s="1034" t="b">
        <f t="shared" si="385"/>
        <v>0</v>
      </c>
      <c r="Y519" s="1034">
        <f t="shared" si="386"/>
        <v>0</v>
      </c>
      <c r="Z519" s="1034">
        <f t="shared" si="387"/>
        <v>0</v>
      </c>
      <c r="AA519" s="1034">
        <f t="shared" si="371"/>
        <v>0</v>
      </c>
      <c r="AB519" s="1034">
        <f t="shared" si="372"/>
        <v>0</v>
      </c>
      <c r="AC519" s="1033">
        <f t="shared" si="388"/>
        <v>0</v>
      </c>
      <c r="AD519" s="1266">
        <f t="shared" si="373"/>
        <v>0</v>
      </c>
      <c r="AE519" s="1093">
        <f t="shared" si="389"/>
        <v>0</v>
      </c>
      <c r="AF519" s="1093">
        <f t="shared" si="390"/>
        <v>0</v>
      </c>
      <c r="AG519" s="1093">
        <f t="shared" si="374"/>
        <v>0</v>
      </c>
      <c r="AH519" s="1033" t="e">
        <f t="shared" si="375"/>
        <v>#DIV/0!</v>
      </c>
      <c r="AI519" s="1091">
        <f t="shared" si="376"/>
        <v>0</v>
      </c>
      <c r="AJ519" s="1094">
        <f t="shared" si="377"/>
        <v>0</v>
      </c>
      <c r="AK519" s="1053" t="str">
        <f t="shared" si="378"/>
        <v/>
      </c>
      <c r="AL519" s="1053"/>
      <c r="AM519" s="1290">
        <f>_xlfn.XLOOKUP(F519,Proveedores!A:A,Proveedores!G:G)</f>
        <v>0</v>
      </c>
      <c r="AN519" s="1095" t="str">
        <f t="shared" si="391"/>
        <v>OK</v>
      </c>
    </row>
    <row r="520" spans="1:40" ht="15.95">
      <c r="A520" s="1090" t="b">
        <f t="shared" si="366"/>
        <v>1</v>
      </c>
      <c r="B520" s="1091" t="b">
        <f t="shared" si="379"/>
        <v>1</v>
      </c>
      <c r="C520" s="1092" t="str">
        <f t="shared" si="380"/>
        <v>Dólares</v>
      </c>
      <c r="D520" s="13"/>
      <c r="E520" s="743"/>
      <c r="F520" s="17"/>
      <c r="G520" s="17" t="str">
        <f t="shared" si="367"/>
        <v xml:space="preserve"> </v>
      </c>
      <c r="H520" s="12">
        <v>0</v>
      </c>
      <c r="I520" s="16" t="str">
        <f>IFERROR(VLOOKUP(G520,Proveedores!B:C,2,0)," ")</f>
        <v xml:space="preserve"> </v>
      </c>
      <c r="J520" s="745">
        <v>0</v>
      </c>
      <c r="K520" s="745" t="str">
        <f t="shared" si="368"/>
        <v>Not Found</v>
      </c>
      <c r="L520" s="16">
        <f>IF(K520="Importado",Fletes!$B$66,0%)</f>
        <v>0</v>
      </c>
      <c r="M520" s="745">
        <f t="shared" si="381"/>
        <v>0</v>
      </c>
      <c r="N520" s="16">
        <f>IF(K520&lt;&gt;"Importado",0%,IF(Fletes!$B$67&lt;10,15%,IF(Fletes!$B$67&lt;20,10%,5%)))</f>
        <v>0</v>
      </c>
      <c r="O520" s="745" t="str">
        <f>IFERROR(IF(OR(F520="Offiho",F520="Lauco Sofas",F520="Requiez",F520="Labenze",F520="Sunon Mty",F520="Sonara"),(M520*(1-_xlfn.XLOOKUP(F520,Proveedores!A:A,Proveedores!I:I)))*(1+N520),((M520*(1-_xlfn.XLOOKUP(F520,Proveedores!A:A,Proveedores!I:I)))*(1+N520))+U520),"")</f>
        <v/>
      </c>
      <c r="P520" s="1031"/>
      <c r="Q520" s="1133">
        <f>IF(K520&lt;&gt;"Importado",0,IF(P520&gt;0,P520*H520,IFERROR(_xlfn.XLOOKUP(F520,Proveedores!A:A,Proveedores!F:F,0)*H520,0)))</f>
        <v>0</v>
      </c>
      <c r="R520" s="1134" t="e">
        <f t="shared" si="382"/>
        <v>#VALUE!</v>
      </c>
      <c r="S520" s="743"/>
      <c r="T520" s="1034" t="e">
        <f t="shared" si="369"/>
        <v>#N/A</v>
      </c>
      <c r="U520" s="1034" t="e">
        <f t="shared" si="383"/>
        <v>#N/A</v>
      </c>
      <c r="V520" s="1165" t="e">
        <f t="shared" si="370"/>
        <v>#N/A</v>
      </c>
      <c r="W520" s="1034" t="e">
        <f t="shared" si="384"/>
        <v>#N/A</v>
      </c>
      <c r="X520" s="1034" t="b">
        <f t="shared" si="385"/>
        <v>0</v>
      </c>
      <c r="Y520" s="1034">
        <f t="shared" si="386"/>
        <v>0</v>
      </c>
      <c r="Z520" s="1034">
        <f t="shared" si="387"/>
        <v>0</v>
      </c>
      <c r="AA520" s="1034">
        <f t="shared" si="371"/>
        <v>0</v>
      </c>
      <c r="AB520" s="1034">
        <f t="shared" si="372"/>
        <v>0</v>
      </c>
      <c r="AC520" s="1033">
        <f t="shared" si="388"/>
        <v>0</v>
      </c>
      <c r="AD520" s="1266">
        <f t="shared" si="373"/>
        <v>0</v>
      </c>
      <c r="AE520" s="1093">
        <f t="shared" si="389"/>
        <v>0</v>
      </c>
      <c r="AF520" s="1093">
        <f t="shared" si="390"/>
        <v>0</v>
      </c>
      <c r="AG520" s="1093">
        <f t="shared" si="374"/>
        <v>0</v>
      </c>
      <c r="AH520" s="1033" t="e">
        <f t="shared" si="375"/>
        <v>#DIV/0!</v>
      </c>
      <c r="AI520" s="1091">
        <f t="shared" si="376"/>
        <v>0</v>
      </c>
      <c r="AJ520" s="1094">
        <f t="shared" si="377"/>
        <v>0</v>
      </c>
      <c r="AK520" s="1053" t="str">
        <f t="shared" si="378"/>
        <v/>
      </c>
      <c r="AL520" s="1053"/>
      <c r="AM520" s="1290">
        <f>_xlfn.XLOOKUP(F520,Proveedores!A:A,Proveedores!G:G)</f>
        <v>0</v>
      </c>
      <c r="AN520" s="1095" t="str">
        <f t="shared" si="391"/>
        <v>OK</v>
      </c>
    </row>
    <row r="521" spans="1:40" ht="15.95">
      <c r="A521" s="1090" t="b">
        <f t="shared" si="366"/>
        <v>1</v>
      </c>
      <c r="B521" s="1091" t="b">
        <f t="shared" si="379"/>
        <v>1</v>
      </c>
      <c r="C521" s="1092" t="str">
        <f t="shared" si="380"/>
        <v>Dólares</v>
      </c>
      <c r="D521" s="13"/>
      <c r="E521" s="743"/>
      <c r="F521" s="17"/>
      <c r="G521" s="17" t="str">
        <f t="shared" si="367"/>
        <v xml:space="preserve"> </v>
      </c>
      <c r="H521" s="12">
        <v>0</v>
      </c>
      <c r="I521" s="16" t="str">
        <f>IFERROR(VLOOKUP(G521,Proveedores!B:C,2,0)," ")</f>
        <v xml:space="preserve"> </v>
      </c>
      <c r="J521" s="745">
        <v>0</v>
      </c>
      <c r="K521" s="745" t="str">
        <f t="shared" si="368"/>
        <v>Not Found</v>
      </c>
      <c r="L521" s="16">
        <f>IF(K521="Importado",Fletes!$B$66,0%)</f>
        <v>0</v>
      </c>
      <c r="M521" s="745">
        <f t="shared" si="381"/>
        <v>0</v>
      </c>
      <c r="N521" s="16">
        <f>IF(K521&lt;&gt;"Importado",0%,IF(Fletes!$B$67&lt;10,15%,IF(Fletes!$B$67&lt;20,10%,5%)))</f>
        <v>0</v>
      </c>
      <c r="O521" s="745" t="str">
        <f>IFERROR(IF(OR(F521="Offiho",F521="Lauco Sofas",F521="Requiez",F521="Labenze",F521="Sunon Mty",F521="Sonara"),(M521*(1-_xlfn.XLOOKUP(F521,Proveedores!A:A,Proveedores!I:I)))*(1+N521),((M521*(1-_xlfn.XLOOKUP(F521,Proveedores!A:A,Proveedores!I:I)))*(1+N521))+U521),"")</f>
        <v/>
      </c>
      <c r="P521" s="1031"/>
      <c r="Q521" s="1133">
        <f>IF(K521&lt;&gt;"Importado",0,IF(P521&gt;0,P521*H521,IFERROR(_xlfn.XLOOKUP(F521,Proveedores!A:A,Proveedores!F:F,0)*H521,0)))</f>
        <v>0</v>
      </c>
      <c r="R521" s="1134" t="e">
        <f t="shared" si="382"/>
        <v>#VALUE!</v>
      </c>
      <c r="S521" s="743"/>
      <c r="T521" s="1034" t="e">
        <f t="shared" si="369"/>
        <v>#N/A</v>
      </c>
      <c r="U521" s="1034" t="e">
        <f t="shared" si="383"/>
        <v>#N/A</v>
      </c>
      <c r="V521" s="1165" t="e">
        <f t="shared" si="370"/>
        <v>#N/A</v>
      </c>
      <c r="W521" s="1034" t="e">
        <f t="shared" si="384"/>
        <v>#N/A</v>
      </c>
      <c r="X521" s="1034" t="b">
        <f t="shared" si="385"/>
        <v>0</v>
      </c>
      <c r="Y521" s="1034">
        <f t="shared" si="386"/>
        <v>0</v>
      </c>
      <c r="Z521" s="1034">
        <f t="shared" si="387"/>
        <v>0</v>
      </c>
      <c r="AA521" s="1034">
        <f t="shared" si="371"/>
        <v>0</v>
      </c>
      <c r="AB521" s="1034">
        <f t="shared" si="372"/>
        <v>0</v>
      </c>
      <c r="AC521" s="1033">
        <f t="shared" si="388"/>
        <v>0</v>
      </c>
      <c r="AD521" s="1266">
        <f t="shared" si="373"/>
        <v>0</v>
      </c>
      <c r="AE521" s="1093">
        <f t="shared" si="389"/>
        <v>0</v>
      </c>
      <c r="AF521" s="1093">
        <f t="shared" si="390"/>
        <v>0</v>
      </c>
      <c r="AG521" s="1093">
        <f t="shared" si="374"/>
        <v>0</v>
      </c>
      <c r="AH521" s="1033" t="e">
        <f t="shared" si="375"/>
        <v>#DIV/0!</v>
      </c>
      <c r="AI521" s="1091">
        <f t="shared" si="376"/>
        <v>0</v>
      </c>
      <c r="AJ521" s="1094">
        <f t="shared" si="377"/>
        <v>0</v>
      </c>
      <c r="AK521" s="1053" t="str">
        <f t="shared" si="378"/>
        <v/>
      </c>
      <c r="AL521" s="1053"/>
      <c r="AM521" s="1290">
        <f>_xlfn.XLOOKUP(F521,Proveedores!A:A,Proveedores!G:G)</f>
        <v>0</v>
      </c>
      <c r="AN521" s="1095" t="str">
        <f t="shared" si="391"/>
        <v>OK</v>
      </c>
    </row>
    <row r="522" spans="1:40" ht="15.95">
      <c r="A522" s="1090" t="b">
        <f t="shared" si="366"/>
        <v>1</v>
      </c>
      <c r="B522" s="1091" t="b">
        <f t="shared" si="379"/>
        <v>1</v>
      </c>
      <c r="C522" s="1092" t="str">
        <f t="shared" si="380"/>
        <v>Dólares</v>
      </c>
      <c r="D522" s="14"/>
      <c r="E522" s="743"/>
      <c r="F522" s="17"/>
      <c r="G522" s="17" t="str">
        <f t="shared" si="367"/>
        <v xml:space="preserve"> </v>
      </c>
      <c r="H522" s="12">
        <v>0</v>
      </c>
      <c r="I522" s="16" t="str">
        <f>IFERROR(VLOOKUP(G522,Proveedores!B:C,2,0)," ")</f>
        <v xml:space="preserve"> </v>
      </c>
      <c r="J522" s="745">
        <v>0</v>
      </c>
      <c r="K522" s="745" t="str">
        <f t="shared" si="368"/>
        <v>Not Found</v>
      </c>
      <c r="L522" s="16">
        <f>IF(K522="Importado",Fletes!$B$66,0%)</f>
        <v>0</v>
      </c>
      <c r="M522" s="745">
        <f t="shared" si="381"/>
        <v>0</v>
      </c>
      <c r="N522" s="16">
        <f>IF(K522&lt;&gt;"Importado",0%,IF(Fletes!$B$67&lt;10,15%,IF(Fletes!$B$67&lt;20,10%,5%)))</f>
        <v>0</v>
      </c>
      <c r="O522" s="745" t="str">
        <f>IFERROR(IF(OR(F522="Offiho",F522="Lauco Sofas",F522="Requiez",F522="Labenze",F522="Sunon Mty",F522="Sonara"),(M522*(1-_xlfn.XLOOKUP(F522,Proveedores!A:A,Proveedores!I:I)))*(1+N522),((M522*(1-_xlfn.XLOOKUP(F522,Proveedores!A:A,Proveedores!I:I)))*(1+N522))+U522),"")</f>
        <v/>
      </c>
      <c r="P522" s="1031"/>
      <c r="Q522" s="1133">
        <f>IF(K522&lt;&gt;"Importado",0,IF(P522&gt;0,P522*H522,IFERROR(_xlfn.XLOOKUP(F522,Proveedores!A:A,Proveedores!F:F,0)*H522,0)))</f>
        <v>0</v>
      </c>
      <c r="R522" s="1134" t="e">
        <f t="shared" si="382"/>
        <v>#VALUE!</v>
      </c>
      <c r="S522" s="743"/>
      <c r="T522" s="1034" t="e">
        <f t="shared" si="369"/>
        <v>#N/A</v>
      </c>
      <c r="U522" s="1034" t="e">
        <f t="shared" si="383"/>
        <v>#N/A</v>
      </c>
      <c r="V522" s="1165" t="e">
        <f t="shared" si="370"/>
        <v>#N/A</v>
      </c>
      <c r="W522" s="1034" t="e">
        <f t="shared" si="384"/>
        <v>#N/A</v>
      </c>
      <c r="X522" s="1034" t="b">
        <f t="shared" si="385"/>
        <v>0</v>
      </c>
      <c r="Y522" s="1034">
        <f t="shared" si="386"/>
        <v>0</v>
      </c>
      <c r="Z522" s="1034">
        <f t="shared" si="387"/>
        <v>0</v>
      </c>
      <c r="AA522" s="1034">
        <f t="shared" si="371"/>
        <v>0</v>
      </c>
      <c r="AB522" s="1034">
        <f t="shared" si="372"/>
        <v>0</v>
      </c>
      <c r="AC522" s="1033">
        <f t="shared" si="388"/>
        <v>0</v>
      </c>
      <c r="AD522" s="1266">
        <f t="shared" si="373"/>
        <v>0</v>
      </c>
      <c r="AE522" s="1093">
        <f t="shared" si="389"/>
        <v>0</v>
      </c>
      <c r="AF522" s="1093">
        <f t="shared" si="390"/>
        <v>0</v>
      </c>
      <c r="AG522" s="1093">
        <f t="shared" si="374"/>
        <v>0</v>
      </c>
      <c r="AH522" s="1033" t="e">
        <f t="shared" si="375"/>
        <v>#DIV/0!</v>
      </c>
      <c r="AI522" s="1091">
        <f t="shared" si="376"/>
        <v>0</v>
      </c>
      <c r="AJ522" s="1094">
        <f t="shared" si="377"/>
        <v>0</v>
      </c>
      <c r="AK522" s="1053" t="str">
        <f t="shared" si="378"/>
        <v/>
      </c>
      <c r="AL522" s="1053"/>
      <c r="AM522" s="1290">
        <f>_xlfn.XLOOKUP(F522,Proveedores!A:A,Proveedores!G:G)</f>
        <v>0</v>
      </c>
      <c r="AN522" s="1095" t="str">
        <f t="shared" si="391"/>
        <v>OK</v>
      </c>
    </row>
    <row r="523" spans="1:40" ht="15.95">
      <c r="A523" s="1090" t="b">
        <f t="shared" si="366"/>
        <v>1</v>
      </c>
      <c r="B523" s="1091" t="b">
        <f t="shared" si="379"/>
        <v>1</v>
      </c>
      <c r="C523" s="1092" t="str">
        <f t="shared" si="380"/>
        <v>Dólares</v>
      </c>
      <c r="D523" s="15"/>
      <c r="E523" s="743"/>
      <c r="F523" s="17"/>
      <c r="G523" s="17" t="str">
        <f t="shared" si="367"/>
        <v xml:space="preserve"> </v>
      </c>
      <c r="H523" s="12">
        <v>0</v>
      </c>
      <c r="I523" s="16" t="str">
        <f>IFERROR(VLOOKUP(G523,Proveedores!B:C,2,0)," ")</f>
        <v xml:space="preserve"> </v>
      </c>
      <c r="J523" s="745">
        <v>0</v>
      </c>
      <c r="K523" s="745" t="str">
        <f t="shared" si="368"/>
        <v>Not Found</v>
      </c>
      <c r="L523" s="16">
        <f>IF(K523="Importado",Fletes!$B$66,0%)</f>
        <v>0</v>
      </c>
      <c r="M523" s="745">
        <f t="shared" si="381"/>
        <v>0</v>
      </c>
      <c r="N523" s="16">
        <f>IF(K523&lt;&gt;"Importado",0%,IF(Fletes!$B$67&lt;10,15%,IF(Fletes!$B$67&lt;20,10%,5%)))</f>
        <v>0</v>
      </c>
      <c r="O523" s="745" t="str">
        <f>IFERROR(IF(OR(F523="Offiho",F523="Lauco Sofas",F523="Requiez",F523="Labenze",F523="Sunon Mty",F523="Sonara"),(M523*(1-_xlfn.XLOOKUP(F523,Proveedores!A:A,Proveedores!I:I)))*(1+N523),((M523*(1-_xlfn.XLOOKUP(F523,Proveedores!A:A,Proveedores!I:I)))*(1+N523))+U523),"")</f>
        <v/>
      </c>
      <c r="P523" s="1031"/>
      <c r="Q523" s="1133">
        <f>IF(K523&lt;&gt;"Importado",0,IF(P523&gt;0,P523*H523,IFERROR(_xlfn.XLOOKUP(F523,Proveedores!A:A,Proveedores!F:F,0)*H523,0)))</f>
        <v>0</v>
      </c>
      <c r="R523" s="1134" t="e">
        <f t="shared" si="382"/>
        <v>#VALUE!</v>
      </c>
      <c r="S523" s="743"/>
      <c r="T523" s="1034" t="e">
        <f t="shared" si="369"/>
        <v>#N/A</v>
      </c>
      <c r="U523" s="1034" t="e">
        <f t="shared" si="383"/>
        <v>#N/A</v>
      </c>
      <c r="V523" s="1165" t="e">
        <f t="shared" si="370"/>
        <v>#N/A</v>
      </c>
      <c r="W523" s="1034" t="e">
        <f t="shared" si="384"/>
        <v>#N/A</v>
      </c>
      <c r="X523" s="1034" t="b">
        <f t="shared" si="385"/>
        <v>0</v>
      </c>
      <c r="Y523" s="1034">
        <f t="shared" si="386"/>
        <v>0</v>
      </c>
      <c r="Z523" s="1034">
        <f t="shared" si="387"/>
        <v>0</v>
      </c>
      <c r="AA523" s="1034">
        <f t="shared" si="371"/>
        <v>0</v>
      </c>
      <c r="AB523" s="1034">
        <f t="shared" si="372"/>
        <v>0</v>
      </c>
      <c r="AC523" s="1033">
        <f t="shared" si="388"/>
        <v>0</v>
      </c>
      <c r="AD523" s="1266">
        <f t="shared" si="373"/>
        <v>0</v>
      </c>
      <c r="AE523" s="1093">
        <f t="shared" si="389"/>
        <v>0</v>
      </c>
      <c r="AF523" s="1093">
        <f t="shared" si="390"/>
        <v>0</v>
      </c>
      <c r="AG523" s="1093">
        <f t="shared" si="374"/>
        <v>0</v>
      </c>
      <c r="AH523" s="1033" t="e">
        <f t="shared" si="375"/>
        <v>#DIV/0!</v>
      </c>
      <c r="AI523" s="1091">
        <f t="shared" si="376"/>
        <v>0</v>
      </c>
      <c r="AJ523" s="1094">
        <f t="shared" si="377"/>
        <v>0</v>
      </c>
      <c r="AK523" s="1053" t="str">
        <f t="shared" si="378"/>
        <v/>
      </c>
      <c r="AL523" s="1053"/>
      <c r="AM523" s="1290">
        <f>_xlfn.XLOOKUP(F523,Proveedores!A:A,Proveedores!G:G)</f>
        <v>0</v>
      </c>
      <c r="AN523" s="1095" t="str">
        <f t="shared" si="391"/>
        <v>OK</v>
      </c>
    </row>
    <row r="524" spans="1:40" ht="15.95">
      <c r="A524" s="1090" t="b">
        <f t="shared" si="366"/>
        <v>1</v>
      </c>
      <c r="B524" s="1091" t="b">
        <f t="shared" si="379"/>
        <v>1</v>
      </c>
      <c r="C524" s="1092" t="str">
        <f t="shared" si="380"/>
        <v>Dólares</v>
      </c>
      <c r="D524" s="15"/>
      <c r="E524" s="743"/>
      <c r="F524" s="17"/>
      <c r="G524" s="17" t="str">
        <f t="shared" si="367"/>
        <v xml:space="preserve"> </v>
      </c>
      <c r="H524" s="12">
        <v>0</v>
      </c>
      <c r="I524" s="16" t="str">
        <f>IFERROR(VLOOKUP(G524,Proveedores!B:C,2,0)," ")</f>
        <v xml:space="preserve"> </v>
      </c>
      <c r="J524" s="745">
        <v>0</v>
      </c>
      <c r="K524" s="745" t="str">
        <f t="shared" si="368"/>
        <v>Not Found</v>
      </c>
      <c r="L524" s="16">
        <f>IF(K524="Importado",Fletes!$B$66,0%)</f>
        <v>0</v>
      </c>
      <c r="M524" s="745">
        <f t="shared" si="381"/>
        <v>0</v>
      </c>
      <c r="N524" s="16">
        <f>IF(K524&lt;&gt;"Importado",0%,IF(Fletes!$B$67&lt;10,15%,IF(Fletes!$B$67&lt;20,10%,5%)))</f>
        <v>0</v>
      </c>
      <c r="O524" s="745" t="str">
        <f>IFERROR(IF(OR(F524="Offiho",F524="Lauco Sofas",F524="Requiez",F524="Labenze",F524="Sunon Mty",F524="Sonara"),(M524*(1-_xlfn.XLOOKUP(F524,Proveedores!A:A,Proveedores!I:I)))*(1+N524),((M524*(1-_xlfn.XLOOKUP(F524,Proveedores!A:A,Proveedores!I:I)))*(1+N524))+U524),"")</f>
        <v/>
      </c>
      <c r="P524" s="1031"/>
      <c r="Q524" s="1133">
        <f>IF(K524&lt;&gt;"Importado",0,IF(P524&gt;0,P524*H524,IFERROR(_xlfn.XLOOKUP(F524,Proveedores!A:A,Proveedores!F:F,0)*H524,0)))</f>
        <v>0</v>
      </c>
      <c r="R524" s="1134" t="e">
        <f t="shared" si="382"/>
        <v>#VALUE!</v>
      </c>
      <c r="S524" s="743"/>
      <c r="T524" s="1034" t="e">
        <f t="shared" si="369"/>
        <v>#N/A</v>
      </c>
      <c r="U524" s="1034" t="e">
        <f t="shared" si="383"/>
        <v>#N/A</v>
      </c>
      <c r="V524" s="1165" t="e">
        <f t="shared" si="370"/>
        <v>#N/A</v>
      </c>
      <c r="W524" s="1034" t="e">
        <f t="shared" si="384"/>
        <v>#N/A</v>
      </c>
      <c r="X524" s="1034" t="b">
        <f t="shared" si="385"/>
        <v>0</v>
      </c>
      <c r="Y524" s="1034">
        <f t="shared" si="386"/>
        <v>0</v>
      </c>
      <c r="Z524" s="1034">
        <f t="shared" si="387"/>
        <v>0</v>
      </c>
      <c r="AA524" s="1034">
        <f t="shared" si="371"/>
        <v>0</v>
      </c>
      <c r="AB524" s="1034">
        <f t="shared" si="372"/>
        <v>0</v>
      </c>
      <c r="AC524" s="1033">
        <f t="shared" si="388"/>
        <v>0</v>
      </c>
      <c r="AD524" s="1266">
        <f t="shared" si="373"/>
        <v>0</v>
      </c>
      <c r="AE524" s="1093">
        <f t="shared" si="389"/>
        <v>0</v>
      </c>
      <c r="AF524" s="1093">
        <f t="shared" si="390"/>
        <v>0</v>
      </c>
      <c r="AG524" s="1093">
        <f t="shared" si="374"/>
        <v>0</v>
      </c>
      <c r="AH524" s="1033" t="e">
        <f t="shared" si="375"/>
        <v>#DIV/0!</v>
      </c>
      <c r="AI524" s="1091">
        <f t="shared" si="376"/>
        <v>0</v>
      </c>
      <c r="AJ524" s="1094">
        <f t="shared" si="377"/>
        <v>0</v>
      </c>
      <c r="AK524" s="1053" t="str">
        <f t="shared" si="378"/>
        <v/>
      </c>
      <c r="AL524" s="1053"/>
      <c r="AM524" s="1290">
        <f>_xlfn.XLOOKUP(F524,Proveedores!A:A,Proveedores!G:G)</f>
        <v>0</v>
      </c>
      <c r="AN524" s="1095" t="str">
        <f t="shared" si="391"/>
        <v>OK</v>
      </c>
    </row>
    <row r="525" spans="1:40" ht="15.95">
      <c r="A525" s="1090" t="b">
        <f t="shared" si="366"/>
        <v>1</v>
      </c>
      <c r="B525" s="1091" t="b">
        <f t="shared" si="379"/>
        <v>1</v>
      </c>
      <c r="C525" s="1092" t="str">
        <f t="shared" si="380"/>
        <v>Dólares</v>
      </c>
      <c r="D525" s="15"/>
      <c r="E525" s="743"/>
      <c r="F525" s="17"/>
      <c r="G525" s="17" t="str">
        <f t="shared" si="367"/>
        <v xml:space="preserve"> </v>
      </c>
      <c r="H525" s="12">
        <v>0</v>
      </c>
      <c r="I525" s="16" t="str">
        <f>IFERROR(VLOOKUP(G525,Proveedores!B:C,2,0)," ")</f>
        <v xml:space="preserve"> </v>
      </c>
      <c r="J525" s="745">
        <v>0</v>
      </c>
      <c r="K525" s="745" t="str">
        <f t="shared" si="368"/>
        <v>Not Found</v>
      </c>
      <c r="L525" s="16">
        <f>IF(K525="Importado",Fletes!$B$66,0%)</f>
        <v>0</v>
      </c>
      <c r="M525" s="745">
        <f t="shared" si="381"/>
        <v>0</v>
      </c>
      <c r="N525" s="16">
        <f>IF(K525&lt;&gt;"Importado",0%,IF(Fletes!$B$67&lt;10,15%,IF(Fletes!$B$67&lt;20,10%,5%)))</f>
        <v>0</v>
      </c>
      <c r="O525" s="745" t="str">
        <f>IFERROR(IF(OR(F525="Offiho",F525="Lauco Sofas",F525="Requiez",F525="Labenze",F525="Sunon Mty",F525="Sonara"),(M525*(1-_xlfn.XLOOKUP(F525,Proveedores!A:A,Proveedores!I:I)))*(1+N525),((M525*(1-_xlfn.XLOOKUP(F525,Proveedores!A:A,Proveedores!I:I)))*(1+N525))+U525),"")</f>
        <v/>
      </c>
      <c r="P525" s="1031"/>
      <c r="Q525" s="1133">
        <f>IF(K525&lt;&gt;"Importado",0,IF(P525&gt;0,P525*H525,IFERROR(_xlfn.XLOOKUP(F525,Proveedores!A:A,Proveedores!F:F,0)*H525,0)))</f>
        <v>0</v>
      </c>
      <c r="R525" s="1134" t="e">
        <f t="shared" si="382"/>
        <v>#VALUE!</v>
      </c>
      <c r="S525" s="743"/>
      <c r="T525" s="1034" t="e">
        <f t="shared" si="369"/>
        <v>#N/A</v>
      </c>
      <c r="U525" s="1034" t="e">
        <f t="shared" si="383"/>
        <v>#N/A</v>
      </c>
      <c r="V525" s="1165" t="e">
        <f t="shared" si="370"/>
        <v>#N/A</v>
      </c>
      <c r="W525" s="1034" t="e">
        <f t="shared" si="384"/>
        <v>#N/A</v>
      </c>
      <c r="X525" s="1034" t="b">
        <f t="shared" si="385"/>
        <v>0</v>
      </c>
      <c r="Y525" s="1034">
        <f t="shared" si="386"/>
        <v>0</v>
      </c>
      <c r="Z525" s="1034">
        <f t="shared" si="387"/>
        <v>0</v>
      </c>
      <c r="AA525" s="1034">
        <f t="shared" si="371"/>
        <v>0</v>
      </c>
      <c r="AB525" s="1034">
        <f t="shared" si="372"/>
        <v>0</v>
      </c>
      <c r="AC525" s="1033">
        <f t="shared" si="388"/>
        <v>0</v>
      </c>
      <c r="AD525" s="1266">
        <f t="shared" si="373"/>
        <v>0</v>
      </c>
      <c r="AE525" s="1093">
        <f t="shared" si="389"/>
        <v>0</v>
      </c>
      <c r="AF525" s="1093">
        <f t="shared" si="390"/>
        <v>0</v>
      </c>
      <c r="AG525" s="1093">
        <f t="shared" si="374"/>
        <v>0</v>
      </c>
      <c r="AH525" s="1033" t="e">
        <f t="shared" si="375"/>
        <v>#DIV/0!</v>
      </c>
      <c r="AI525" s="1091">
        <f t="shared" si="376"/>
        <v>0</v>
      </c>
      <c r="AJ525" s="1094">
        <f t="shared" si="377"/>
        <v>0</v>
      </c>
      <c r="AK525" s="1053" t="str">
        <f t="shared" si="378"/>
        <v/>
      </c>
      <c r="AL525" s="1053"/>
      <c r="AM525" s="1290">
        <f>_xlfn.XLOOKUP(F525,Proveedores!A:A,Proveedores!G:G)</f>
        <v>0</v>
      </c>
      <c r="AN525" s="1095" t="str">
        <f t="shared" si="391"/>
        <v>OK</v>
      </c>
    </row>
    <row r="526" spans="1:40" ht="15.95">
      <c r="A526" s="1090" t="b">
        <f t="shared" si="366"/>
        <v>1</v>
      </c>
      <c r="B526" s="1091" t="b">
        <f t="shared" si="379"/>
        <v>1</v>
      </c>
      <c r="C526" s="1092" t="str">
        <f t="shared" si="380"/>
        <v>Dólares</v>
      </c>
      <c r="D526" s="15"/>
      <c r="E526" s="743"/>
      <c r="F526" s="17"/>
      <c r="G526" s="17" t="str">
        <f t="shared" si="367"/>
        <v xml:space="preserve"> </v>
      </c>
      <c r="H526" s="12">
        <v>0</v>
      </c>
      <c r="I526" s="16" t="str">
        <f>IFERROR(VLOOKUP(G526,Proveedores!B:C,2,0)," ")</f>
        <v xml:space="preserve"> </v>
      </c>
      <c r="J526" s="745">
        <v>0</v>
      </c>
      <c r="K526" s="745" t="str">
        <f t="shared" si="368"/>
        <v>Not Found</v>
      </c>
      <c r="L526" s="16">
        <f>IF(K526="Importado",Fletes!$B$66,0%)</f>
        <v>0</v>
      </c>
      <c r="M526" s="745">
        <f t="shared" si="381"/>
        <v>0</v>
      </c>
      <c r="N526" s="16">
        <f>IF(K526&lt;&gt;"Importado",0%,IF(Fletes!$B$67&lt;10,15%,IF(Fletes!$B$67&lt;20,10%,5%)))</f>
        <v>0</v>
      </c>
      <c r="O526" s="745" t="str">
        <f>IFERROR(IF(OR(F526="Offiho",F526="Lauco Sofas",F526="Requiez",F526="Labenze",F526="Sunon Mty",F526="Sonara"),(M526*(1-_xlfn.XLOOKUP(F526,Proveedores!A:A,Proveedores!I:I)))*(1+N526),((M526*(1-_xlfn.XLOOKUP(F526,Proveedores!A:A,Proveedores!I:I)))*(1+N526))+U526),"")</f>
        <v/>
      </c>
      <c r="P526" s="1031"/>
      <c r="Q526" s="1133">
        <f>IF(K526&lt;&gt;"Importado",0,IF(P526&gt;0,P526*H526,IFERROR(_xlfn.XLOOKUP(F526,Proveedores!A:A,Proveedores!F:F,0)*H526,0)))</f>
        <v>0</v>
      </c>
      <c r="R526" s="1134" t="e">
        <f t="shared" si="382"/>
        <v>#VALUE!</v>
      </c>
      <c r="S526" s="743"/>
      <c r="T526" s="1034" t="e">
        <f t="shared" si="369"/>
        <v>#N/A</v>
      </c>
      <c r="U526" s="1034" t="e">
        <f t="shared" si="383"/>
        <v>#N/A</v>
      </c>
      <c r="V526" s="1165" t="e">
        <f t="shared" si="370"/>
        <v>#N/A</v>
      </c>
      <c r="W526" s="1034" t="e">
        <f t="shared" si="384"/>
        <v>#N/A</v>
      </c>
      <c r="X526" s="1034" t="b">
        <f t="shared" si="385"/>
        <v>0</v>
      </c>
      <c r="Y526" s="1034">
        <f t="shared" si="386"/>
        <v>0</v>
      </c>
      <c r="Z526" s="1034">
        <f t="shared" si="387"/>
        <v>0</v>
      </c>
      <c r="AA526" s="1034">
        <f t="shared" si="371"/>
        <v>0</v>
      </c>
      <c r="AB526" s="1034">
        <f t="shared" si="372"/>
        <v>0</v>
      </c>
      <c r="AC526" s="1033">
        <f t="shared" si="388"/>
        <v>0</v>
      </c>
      <c r="AD526" s="1266">
        <f t="shared" si="373"/>
        <v>0</v>
      </c>
      <c r="AE526" s="1093">
        <f t="shared" si="389"/>
        <v>0</v>
      </c>
      <c r="AF526" s="1093">
        <f t="shared" si="390"/>
        <v>0</v>
      </c>
      <c r="AG526" s="1093">
        <f t="shared" si="374"/>
        <v>0</v>
      </c>
      <c r="AH526" s="1033" t="e">
        <f t="shared" si="375"/>
        <v>#DIV/0!</v>
      </c>
      <c r="AI526" s="1091">
        <f t="shared" si="376"/>
        <v>0</v>
      </c>
      <c r="AJ526" s="1094">
        <f t="shared" si="377"/>
        <v>0</v>
      </c>
      <c r="AK526" s="1053" t="str">
        <f t="shared" si="378"/>
        <v/>
      </c>
      <c r="AL526" s="1053"/>
      <c r="AM526" s="1290">
        <f>_xlfn.XLOOKUP(F526,Proveedores!A:A,Proveedores!G:G)</f>
        <v>0</v>
      </c>
      <c r="AN526" s="1095" t="str">
        <f t="shared" si="391"/>
        <v>OK</v>
      </c>
    </row>
    <row r="527" spans="1:40" ht="15.95">
      <c r="A527" s="1090" t="b">
        <f t="shared" si="366"/>
        <v>1</v>
      </c>
      <c r="B527" s="1091" t="b">
        <f t="shared" si="379"/>
        <v>1</v>
      </c>
      <c r="C527" s="1092" t="str">
        <f t="shared" si="380"/>
        <v>Dólares</v>
      </c>
      <c r="D527" s="14"/>
      <c r="E527" s="743"/>
      <c r="F527" s="17"/>
      <c r="G527" s="17" t="str">
        <f t="shared" si="367"/>
        <v xml:space="preserve"> </v>
      </c>
      <c r="H527" s="12">
        <v>0</v>
      </c>
      <c r="I527" s="16" t="str">
        <f>IFERROR(VLOOKUP(G527,Proveedores!B:C,2,0)," ")</f>
        <v xml:space="preserve"> </v>
      </c>
      <c r="J527" s="745">
        <v>0</v>
      </c>
      <c r="K527" s="745" t="str">
        <f t="shared" si="368"/>
        <v>Not Found</v>
      </c>
      <c r="L527" s="16">
        <f>IF(K527="Importado",Fletes!$B$66,0%)</f>
        <v>0</v>
      </c>
      <c r="M527" s="745">
        <f t="shared" si="381"/>
        <v>0</v>
      </c>
      <c r="N527" s="16">
        <f>IF(K527&lt;&gt;"Importado",0%,IF(Fletes!$B$67&lt;10,15%,IF(Fletes!$B$67&lt;20,10%,5%)))</f>
        <v>0</v>
      </c>
      <c r="O527" s="745" t="str">
        <f>IFERROR(IF(OR(F527="Offiho",F527="Lauco Sofas",F527="Requiez",F527="Labenze",F527="Sunon Mty",F527="Sonara"),(M527*(1-_xlfn.XLOOKUP(F527,Proveedores!A:A,Proveedores!I:I)))*(1+N527),((M527*(1-_xlfn.XLOOKUP(F527,Proveedores!A:A,Proveedores!I:I)))*(1+N527))+U527),"")</f>
        <v/>
      </c>
      <c r="P527" s="1031"/>
      <c r="Q527" s="1133">
        <f>IF(K527&lt;&gt;"Importado",0,IF(P527&gt;0,P527*H527,IFERROR(_xlfn.XLOOKUP(F527,Proveedores!A:A,Proveedores!F:F,0)*H527,0)))</f>
        <v>0</v>
      </c>
      <c r="R527" s="1134" t="e">
        <f t="shared" si="382"/>
        <v>#VALUE!</v>
      </c>
      <c r="S527" s="743"/>
      <c r="T527" s="1034" t="e">
        <f t="shared" si="369"/>
        <v>#N/A</v>
      </c>
      <c r="U527" s="1034" t="e">
        <f t="shared" si="383"/>
        <v>#N/A</v>
      </c>
      <c r="V527" s="1165" t="e">
        <f t="shared" si="370"/>
        <v>#N/A</v>
      </c>
      <c r="W527" s="1034" t="e">
        <f t="shared" si="384"/>
        <v>#N/A</v>
      </c>
      <c r="X527" s="1034" t="b">
        <f t="shared" si="385"/>
        <v>0</v>
      </c>
      <c r="Y527" s="1034">
        <f t="shared" si="386"/>
        <v>0</v>
      </c>
      <c r="Z527" s="1034">
        <f t="shared" si="387"/>
        <v>0</v>
      </c>
      <c r="AA527" s="1034">
        <f t="shared" si="371"/>
        <v>0</v>
      </c>
      <c r="AB527" s="1034">
        <f t="shared" si="372"/>
        <v>0</v>
      </c>
      <c r="AC527" s="1033">
        <f t="shared" si="388"/>
        <v>0</v>
      </c>
      <c r="AD527" s="1266">
        <f t="shared" si="373"/>
        <v>0</v>
      </c>
      <c r="AE527" s="1093">
        <f t="shared" si="389"/>
        <v>0</v>
      </c>
      <c r="AF527" s="1093">
        <f t="shared" si="390"/>
        <v>0</v>
      </c>
      <c r="AG527" s="1093">
        <f t="shared" si="374"/>
        <v>0</v>
      </c>
      <c r="AH527" s="1033" t="e">
        <f t="shared" si="375"/>
        <v>#DIV/0!</v>
      </c>
      <c r="AI527" s="1091">
        <f t="shared" si="376"/>
        <v>0</v>
      </c>
      <c r="AJ527" s="1094">
        <f t="shared" si="377"/>
        <v>0</v>
      </c>
      <c r="AK527" s="1053" t="str">
        <f t="shared" si="378"/>
        <v/>
      </c>
      <c r="AL527" s="1053"/>
      <c r="AM527" s="1290">
        <f>_xlfn.XLOOKUP(F527,Proveedores!A:A,Proveedores!G:G)</f>
        <v>0</v>
      </c>
      <c r="AN527" s="1095" t="str">
        <f t="shared" si="391"/>
        <v>OK</v>
      </c>
    </row>
    <row r="528" spans="1:40" ht="15.95">
      <c r="A528" s="1090" t="b">
        <f t="shared" si="366"/>
        <v>1</v>
      </c>
      <c r="B528" s="1091" t="b">
        <f t="shared" si="379"/>
        <v>1</v>
      </c>
      <c r="C528" s="1092" t="str">
        <f t="shared" si="380"/>
        <v>Dólares</v>
      </c>
      <c r="D528" s="14"/>
      <c r="E528" s="743"/>
      <c r="F528" s="17"/>
      <c r="G528" s="17" t="str">
        <f t="shared" si="367"/>
        <v xml:space="preserve"> </v>
      </c>
      <c r="H528" s="12">
        <v>0</v>
      </c>
      <c r="I528" s="16" t="str">
        <f>IFERROR(VLOOKUP(G528,Proveedores!B:C,2,0)," ")</f>
        <v xml:space="preserve"> </v>
      </c>
      <c r="J528" s="745">
        <v>0</v>
      </c>
      <c r="K528" s="745" t="str">
        <f t="shared" si="368"/>
        <v>Not Found</v>
      </c>
      <c r="L528" s="16">
        <f>IF(K528="Importado",Fletes!$B$66,0%)</f>
        <v>0</v>
      </c>
      <c r="M528" s="745">
        <f t="shared" si="381"/>
        <v>0</v>
      </c>
      <c r="N528" s="16">
        <f>IF(K528&lt;&gt;"Importado",0%,IF(Fletes!$B$67&lt;10,15%,IF(Fletes!$B$67&lt;20,10%,5%)))</f>
        <v>0</v>
      </c>
      <c r="O528" s="745" t="str">
        <f>IFERROR(IF(OR(F528="Offiho",F528="Lauco Sofas",F528="Requiez",F528="Labenze",F528="Sunon Mty",F528="Sonara"),(M528*(1-_xlfn.XLOOKUP(F528,Proveedores!A:A,Proveedores!I:I)))*(1+N528),((M528*(1-_xlfn.XLOOKUP(F528,Proveedores!A:A,Proveedores!I:I)))*(1+N528))+U528),"")</f>
        <v/>
      </c>
      <c r="P528" s="1031"/>
      <c r="Q528" s="1133">
        <f>IF(K528&lt;&gt;"Importado",0,IF(P528&gt;0,P528*H528,IFERROR(_xlfn.XLOOKUP(F528,Proveedores!A:A,Proveedores!F:F,0)*H528,0)))</f>
        <v>0</v>
      </c>
      <c r="R528" s="1134" t="e">
        <f t="shared" si="382"/>
        <v>#VALUE!</v>
      </c>
      <c r="S528" s="743"/>
      <c r="T528" s="1034" t="e">
        <f t="shared" si="369"/>
        <v>#N/A</v>
      </c>
      <c r="U528" s="1034" t="e">
        <f t="shared" si="383"/>
        <v>#N/A</v>
      </c>
      <c r="V528" s="1165" t="e">
        <f t="shared" si="370"/>
        <v>#N/A</v>
      </c>
      <c r="W528" s="1034" t="e">
        <f t="shared" si="384"/>
        <v>#N/A</v>
      </c>
      <c r="X528" s="1034" t="b">
        <f t="shared" si="385"/>
        <v>0</v>
      </c>
      <c r="Y528" s="1034">
        <f t="shared" si="386"/>
        <v>0</v>
      </c>
      <c r="Z528" s="1034">
        <f t="shared" si="387"/>
        <v>0</v>
      </c>
      <c r="AA528" s="1034">
        <f t="shared" si="371"/>
        <v>0</v>
      </c>
      <c r="AB528" s="1034">
        <f t="shared" si="372"/>
        <v>0</v>
      </c>
      <c r="AC528" s="1033">
        <f t="shared" si="388"/>
        <v>0</v>
      </c>
      <c r="AD528" s="1266">
        <f t="shared" si="373"/>
        <v>0</v>
      </c>
      <c r="AE528" s="1093">
        <f t="shared" si="389"/>
        <v>0</v>
      </c>
      <c r="AF528" s="1093">
        <f t="shared" si="390"/>
        <v>0</v>
      </c>
      <c r="AG528" s="1093">
        <f t="shared" si="374"/>
        <v>0</v>
      </c>
      <c r="AH528" s="1033" t="e">
        <f t="shared" si="375"/>
        <v>#DIV/0!</v>
      </c>
      <c r="AI528" s="1091">
        <f t="shared" si="376"/>
        <v>0</v>
      </c>
      <c r="AJ528" s="1094">
        <f t="shared" si="377"/>
        <v>0</v>
      </c>
      <c r="AK528" s="1053" t="str">
        <f t="shared" si="378"/>
        <v/>
      </c>
      <c r="AL528" s="1053"/>
      <c r="AM528" s="1290">
        <f>_xlfn.XLOOKUP(F528,Proveedores!A:A,Proveedores!G:G)</f>
        <v>0</v>
      </c>
      <c r="AN528" s="1095" t="str">
        <f t="shared" si="391"/>
        <v>OK</v>
      </c>
    </row>
    <row r="529" spans="1:40" ht="15.95">
      <c r="A529" s="1090" t="b">
        <f t="shared" si="366"/>
        <v>1</v>
      </c>
      <c r="B529" s="1091" t="b">
        <f t="shared" si="379"/>
        <v>1</v>
      </c>
      <c r="C529" s="1092" t="str">
        <f t="shared" si="380"/>
        <v>Dólares</v>
      </c>
      <c r="D529" s="14"/>
      <c r="E529" s="743"/>
      <c r="F529" s="17"/>
      <c r="G529" s="17" t="str">
        <f t="shared" si="367"/>
        <v xml:space="preserve"> </v>
      </c>
      <c r="H529" s="12">
        <v>0</v>
      </c>
      <c r="I529" s="16" t="str">
        <f>IFERROR(VLOOKUP(G529,Proveedores!B:C,2,0)," ")</f>
        <v xml:space="preserve"> </v>
      </c>
      <c r="J529" s="745">
        <v>0</v>
      </c>
      <c r="K529" s="745" t="str">
        <f t="shared" si="368"/>
        <v>Not Found</v>
      </c>
      <c r="L529" s="16">
        <f>IF(K529="Importado",Fletes!$B$66,0%)</f>
        <v>0</v>
      </c>
      <c r="M529" s="745">
        <f t="shared" si="381"/>
        <v>0</v>
      </c>
      <c r="N529" s="16">
        <f>IF(K529&lt;&gt;"Importado",0%,IF(Fletes!$B$67&lt;10,15%,IF(Fletes!$B$67&lt;20,10%,5%)))</f>
        <v>0</v>
      </c>
      <c r="O529" s="745" t="str">
        <f>IFERROR(IF(OR(F529="Offiho",F529="Lauco Sofas",F529="Requiez",F529="Labenze",F529="Sunon Mty",F529="Sonara"),(M529*(1-_xlfn.XLOOKUP(F529,Proveedores!A:A,Proveedores!I:I)))*(1+N529),((M529*(1-_xlfn.XLOOKUP(F529,Proveedores!A:A,Proveedores!I:I)))*(1+N529))+U529),"")</f>
        <v/>
      </c>
      <c r="P529" s="1031"/>
      <c r="Q529" s="1133">
        <f>IF(K529&lt;&gt;"Importado",0,IF(P529&gt;0,P529*H529,IFERROR(_xlfn.XLOOKUP(F529,Proveedores!A:A,Proveedores!F:F,0)*H529,0)))</f>
        <v>0</v>
      </c>
      <c r="R529" s="1134" t="e">
        <f t="shared" si="382"/>
        <v>#VALUE!</v>
      </c>
      <c r="S529" s="743"/>
      <c r="T529" s="1034" t="e">
        <f t="shared" si="369"/>
        <v>#N/A</v>
      </c>
      <c r="U529" s="1034" t="e">
        <f t="shared" si="383"/>
        <v>#N/A</v>
      </c>
      <c r="V529" s="1165" t="e">
        <f t="shared" si="370"/>
        <v>#N/A</v>
      </c>
      <c r="W529" s="1034" t="e">
        <f t="shared" si="384"/>
        <v>#N/A</v>
      </c>
      <c r="X529" s="1034" t="b">
        <f t="shared" si="385"/>
        <v>0</v>
      </c>
      <c r="Y529" s="1034">
        <f t="shared" si="386"/>
        <v>0</v>
      </c>
      <c r="Z529" s="1034">
        <f t="shared" si="387"/>
        <v>0</v>
      </c>
      <c r="AA529" s="1034">
        <f t="shared" si="371"/>
        <v>0</v>
      </c>
      <c r="AB529" s="1034">
        <f t="shared" si="372"/>
        <v>0</v>
      </c>
      <c r="AC529" s="1033">
        <f t="shared" si="388"/>
        <v>0</v>
      </c>
      <c r="AD529" s="1266">
        <f t="shared" si="373"/>
        <v>0</v>
      </c>
      <c r="AE529" s="1093">
        <f t="shared" si="389"/>
        <v>0</v>
      </c>
      <c r="AF529" s="1093">
        <f t="shared" si="390"/>
        <v>0</v>
      </c>
      <c r="AG529" s="1093">
        <f t="shared" si="374"/>
        <v>0</v>
      </c>
      <c r="AH529" s="1033" t="e">
        <f t="shared" si="375"/>
        <v>#DIV/0!</v>
      </c>
      <c r="AI529" s="1091">
        <f t="shared" si="376"/>
        <v>0</v>
      </c>
      <c r="AJ529" s="1094">
        <f t="shared" si="377"/>
        <v>0</v>
      </c>
      <c r="AK529" s="1053" t="str">
        <f t="shared" si="378"/>
        <v/>
      </c>
      <c r="AL529" s="1053"/>
      <c r="AM529" s="1290">
        <f>_xlfn.XLOOKUP(F529,Proveedores!A:A,Proveedores!G:G)</f>
        <v>0</v>
      </c>
      <c r="AN529" s="1095" t="str">
        <f t="shared" si="391"/>
        <v>OK</v>
      </c>
    </row>
    <row r="530" spans="1:40" ht="15.95">
      <c r="A530" s="1090" t="b">
        <f t="shared" si="366"/>
        <v>1</v>
      </c>
      <c r="B530" s="1091" t="b">
        <f t="shared" si="379"/>
        <v>1</v>
      </c>
      <c r="C530" s="1092" t="str">
        <f t="shared" si="380"/>
        <v>Dólares</v>
      </c>
      <c r="D530" s="15"/>
      <c r="E530" s="743"/>
      <c r="F530" s="17"/>
      <c r="G530" s="17" t="str">
        <f t="shared" si="367"/>
        <v xml:space="preserve"> </v>
      </c>
      <c r="H530" s="12">
        <v>0</v>
      </c>
      <c r="I530" s="16" t="str">
        <f>IFERROR(VLOOKUP(G530,Proveedores!B:C,2,0)," ")</f>
        <v xml:space="preserve"> </v>
      </c>
      <c r="J530" s="745">
        <v>0</v>
      </c>
      <c r="K530" s="745" t="str">
        <f t="shared" si="368"/>
        <v>Not Found</v>
      </c>
      <c r="L530" s="16">
        <f>IF(K530="Importado",Fletes!$B$66,0%)</f>
        <v>0</v>
      </c>
      <c r="M530" s="745">
        <f t="shared" si="381"/>
        <v>0</v>
      </c>
      <c r="N530" s="16">
        <f>IF(K530&lt;&gt;"Importado",0%,IF(Fletes!$B$67&lt;10,15%,IF(Fletes!$B$67&lt;20,10%,5%)))</f>
        <v>0</v>
      </c>
      <c r="O530" s="745" t="str">
        <f>IFERROR(IF(OR(F530="Offiho",F530="Lauco Sofas",F530="Requiez",F530="Labenze",F530="Sunon Mty",F530="Sonara"),(M530*(1-_xlfn.XLOOKUP(F530,Proveedores!A:A,Proveedores!I:I)))*(1+N530),((M530*(1-_xlfn.XLOOKUP(F530,Proveedores!A:A,Proveedores!I:I)))*(1+N530))+U530),"")</f>
        <v/>
      </c>
      <c r="P530" s="1031"/>
      <c r="Q530" s="1133">
        <f>IF(K530&lt;&gt;"Importado",0,IF(P530&gt;0,P530*H530,IFERROR(_xlfn.XLOOKUP(F530,Proveedores!A:A,Proveedores!F:F,0)*H530,0)))</f>
        <v>0</v>
      </c>
      <c r="R530" s="1134" t="e">
        <f t="shared" si="382"/>
        <v>#VALUE!</v>
      </c>
      <c r="S530" s="743"/>
      <c r="T530" s="1034" t="e">
        <f t="shared" si="369"/>
        <v>#N/A</v>
      </c>
      <c r="U530" s="1034" t="e">
        <f t="shared" si="383"/>
        <v>#N/A</v>
      </c>
      <c r="V530" s="1165" t="e">
        <f t="shared" si="370"/>
        <v>#N/A</v>
      </c>
      <c r="W530" s="1034" t="e">
        <f t="shared" si="384"/>
        <v>#N/A</v>
      </c>
      <c r="X530" s="1034" t="b">
        <f t="shared" si="385"/>
        <v>0</v>
      </c>
      <c r="Y530" s="1034">
        <f t="shared" si="386"/>
        <v>0</v>
      </c>
      <c r="Z530" s="1034">
        <f t="shared" si="387"/>
        <v>0</v>
      </c>
      <c r="AA530" s="1034">
        <f t="shared" si="371"/>
        <v>0</v>
      </c>
      <c r="AB530" s="1034">
        <f t="shared" si="372"/>
        <v>0</v>
      </c>
      <c r="AC530" s="1033">
        <f t="shared" si="388"/>
        <v>0</v>
      </c>
      <c r="AD530" s="1266">
        <f t="shared" si="373"/>
        <v>0</v>
      </c>
      <c r="AE530" s="1093">
        <f t="shared" si="389"/>
        <v>0</v>
      </c>
      <c r="AF530" s="1093">
        <f t="shared" si="390"/>
        <v>0</v>
      </c>
      <c r="AG530" s="1093">
        <f t="shared" si="374"/>
        <v>0</v>
      </c>
      <c r="AH530" s="1033" t="e">
        <f t="shared" si="375"/>
        <v>#DIV/0!</v>
      </c>
      <c r="AI530" s="1091">
        <f t="shared" si="376"/>
        <v>0</v>
      </c>
      <c r="AJ530" s="1094">
        <f t="shared" si="377"/>
        <v>0</v>
      </c>
      <c r="AK530" s="1053" t="str">
        <f t="shared" si="378"/>
        <v/>
      </c>
      <c r="AL530" s="1053"/>
      <c r="AM530" s="1290">
        <f>_xlfn.XLOOKUP(F530,Proveedores!A:A,Proveedores!G:G)</f>
        <v>0</v>
      </c>
      <c r="AN530" s="1095" t="str">
        <f t="shared" si="391"/>
        <v>OK</v>
      </c>
    </row>
    <row r="531" spans="1:40" ht="15.95">
      <c r="A531" s="1090" t="b">
        <f t="shared" si="366"/>
        <v>1</v>
      </c>
      <c r="B531" s="1091" t="b">
        <f t="shared" si="379"/>
        <v>1</v>
      </c>
      <c r="C531" s="1092" t="str">
        <f t="shared" si="380"/>
        <v>Dólares</v>
      </c>
      <c r="D531" s="15"/>
      <c r="E531" s="743"/>
      <c r="F531" s="17"/>
      <c r="G531" s="17" t="str">
        <f t="shared" si="367"/>
        <v xml:space="preserve"> </v>
      </c>
      <c r="H531" s="12">
        <v>0</v>
      </c>
      <c r="I531" s="16" t="str">
        <f>IFERROR(VLOOKUP(G531,Proveedores!B:C,2,0)," ")</f>
        <v xml:space="preserve"> </v>
      </c>
      <c r="J531" s="745">
        <v>0</v>
      </c>
      <c r="K531" s="745" t="str">
        <f t="shared" si="368"/>
        <v>Not Found</v>
      </c>
      <c r="L531" s="16">
        <f>IF(K531="Importado",Fletes!$B$66,0%)</f>
        <v>0</v>
      </c>
      <c r="M531" s="745">
        <f t="shared" si="381"/>
        <v>0</v>
      </c>
      <c r="N531" s="16">
        <f>IF(K531&lt;&gt;"Importado",0%,IF(Fletes!$B$67&lt;10,15%,IF(Fletes!$B$67&lt;20,10%,5%)))</f>
        <v>0</v>
      </c>
      <c r="O531" s="745" t="str">
        <f>IFERROR(IF(OR(F531="Offiho",F531="Lauco Sofas",F531="Requiez",F531="Labenze",F531="Sunon Mty",F531="Sonara"),(M531*(1-_xlfn.XLOOKUP(F531,Proveedores!A:A,Proveedores!I:I)))*(1+N531),((M531*(1-_xlfn.XLOOKUP(F531,Proveedores!A:A,Proveedores!I:I)))*(1+N531))+U531),"")</f>
        <v/>
      </c>
      <c r="P531" s="1031"/>
      <c r="Q531" s="1133">
        <f>IF(K531&lt;&gt;"Importado",0,IF(P531&gt;0,P531*H531,IFERROR(_xlfn.XLOOKUP(F531,Proveedores!A:A,Proveedores!F:F,0)*H531,0)))</f>
        <v>0</v>
      </c>
      <c r="R531" s="1134" t="e">
        <f t="shared" si="382"/>
        <v>#VALUE!</v>
      </c>
      <c r="S531" s="743"/>
      <c r="T531" s="1034" t="e">
        <f t="shared" si="369"/>
        <v>#N/A</v>
      </c>
      <c r="U531" s="1034" t="e">
        <f t="shared" si="383"/>
        <v>#N/A</v>
      </c>
      <c r="V531" s="1165" t="e">
        <f t="shared" si="370"/>
        <v>#N/A</v>
      </c>
      <c r="W531" s="1034" t="e">
        <f t="shared" si="384"/>
        <v>#N/A</v>
      </c>
      <c r="X531" s="1034" t="b">
        <f t="shared" si="385"/>
        <v>0</v>
      </c>
      <c r="Y531" s="1034">
        <f t="shared" si="386"/>
        <v>0</v>
      </c>
      <c r="Z531" s="1034">
        <f t="shared" si="387"/>
        <v>0</v>
      </c>
      <c r="AA531" s="1034">
        <f t="shared" si="371"/>
        <v>0</v>
      </c>
      <c r="AB531" s="1034">
        <f t="shared" si="372"/>
        <v>0</v>
      </c>
      <c r="AC531" s="1033">
        <f t="shared" si="388"/>
        <v>0</v>
      </c>
      <c r="AD531" s="1266">
        <f t="shared" si="373"/>
        <v>0</v>
      </c>
      <c r="AE531" s="1093">
        <f t="shared" si="389"/>
        <v>0</v>
      </c>
      <c r="AF531" s="1093">
        <f t="shared" si="390"/>
        <v>0</v>
      </c>
      <c r="AG531" s="1093">
        <f t="shared" si="374"/>
        <v>0</v>
      </c>
      <c r="AH531" s="1033" t="e">
        <f t="shared" si="375"/>
        <v>#DIV/0!</v>
      </c>
      <c r="AI531" s="1091">
        <f t="shared" si="376"/>
        <v>0</v>
      </c>
      <c r="AJ531" s="1094">
        <f t="shared" si="377"/>
        <v>0</v>
      </c>
      <c r="AK531" s="1053" t="str">
        <f t="shared" si="378"/>
        <v/>
      </c>
      <c r="AL531" s="1053"/>
      <c r="AM531" s="1290">
        <f>_xlfn.XLOOKUP(F531,Proveedores!A:A,Proveedores!G:G)</f>
        <v>0</v>
      </c>
      <c r="AN531" s="1095" t="str">
        <f t="shared" si="391"/>
        <v>OK</v>
      </c>
    </row>
    <row r="532" spans="1:40" ht="15.95">
      <c r="A532" s="1090" t="b">
        <f t="shared" si="366"/>
        <v>1</v>
      </c>
      <c r="B532" s="1091" t="b">
        <f t="shared" si="379"/>
        <v>1</v>
      </c>
      <c r="C532" s="1092" t="str">
        <f t="shared" si="380"/>
        <v>Dólares</v>
      </c>
      <c r="D532" s="14"/>
      <c r="E532" s="743"/>
      <c r="F532" s="17"/>
      <c r="G532" s="17" t="str">
        <f t="shared" si="367"/>
        <v xml:space="preserve"> </v>
      </c>
      <c r="H532" s="12">
        <v>0</v>
      </c>
      <c r="I532" s="16" t="str">
        <f>IFERROR(VLOOKUP(G532,Proveedores!B:C,2,0)," ")</f>
        <v xml:space="preserve"> </v>
      </c>
      <c r="J532" s="745">
        <v>0</v>
      </c>
      <c r="K532" s="745" t="str">
        <f t="shared" si="368"/>
        <v>Not Found</v>
      </c>
      <c r="L532" s="16">
        <f>IF(K532="Importado",Fletes!$B$66,0%)</f>
        <v>0</v>
      </c>
      <c r="M532" s="745">
        <f t="shared" si="381"/>
        <v>0</v>
      </c>
      <c r="N532" s="16">
        <f>IF(K532&lt;&gt;"Importado",0%,IF(Fletes!$B$67&lt;10,15%,IF(Fletes!$B$67&lt;20,10%,5%)))</f>
        <v>0</v>
      </c>
      <c r="O532" s="745" t="str">
        <f>IFERROR(IF(OR(F532="Offiho",F532="Lauco Sofas",F532="Requiez",F532="Labenze",F532="Sunon Mty",F532="Sonara"),(M532*(1-_xlfn.XLOOKUP(F532,Proveedores!A:A,Proveedores!I:I)))*(1+N532),((M532*(1-_xlfn.XLOOKUP(F532,Proveedores!A:A,Proveedores!I:I)))*(1+N532))+U532),"")</f>
        <v/>
      </c>
      <c r="P532" s="1031"/>
      <c r="Q532" s="1133">
        <f>IF(K532&lt;&gt;"Importado",0,IF(P532&gt;0,P532*H532,IFERROR(_xlfn.XLOOKUP(F532,Proveedores!A:A,Proveedores!F:F,0)*H532,0)))</f>
        <v>0</v>
      </c>
      <c r="R532" s="1134" t="e">
        <f t="shared" si="382"/>
        <v>#VALUE!</v>
      </c>
      <c r="S532" s="743"/>
      <c r="T532" s="1034" t="e">
        <f t="shared" si="369"/>
        <v>#N/A</v>
      </c>
      <c r="U532" s="1034" t="e">
        <f t="shared" si="383"/>
        <v>#N/A</v>
      </c>
      <c r="V532" s="1165" t="e">
        <f t="shared" si="370"/>
        <v>#N/A</v>
      </c>
      <c r="W532" s="1034" t="e">
        <f t="shared" si="384"/>
        <v>#N/A</v>
      </c>
      <c r="X532" s="1034" t="b">
        <f t="shared" si="385"/>
        <v>0</v>
      </c>
      <c r="Y532" s="1034">
        <f t="shared" si="386"/>
        <v>0</v>
      </c>
      <c r="Z532" s="1034">
        <f t="shared" si="387"/>
        <v>0</v>
      </c>
      <c r="AA532" s="1034">
        <f t="shared" si="371"/>
        <v>0</v>
      </c>
      <c r="AB532" s="1034">
        <f t="shared" si="372"/>
        <v>0</v>
      </c>
      <c r="AC532" s="1033">
        <f t="shared" si="388"/>
        <v>0</v>
      </c>
      <c r="AD532" s="1266">
        <f t="shared" si="373"/>
        <v>0</v>
      </c>
      <c r="AE532" s="1093">
        <f t="shared" si="389"/>
        <v>0</v>
      </c>
      <c r="AF532" s="1093">
        <f t="shared" si="390"/>
        <v>0</v>
      </c>
      <c r="AG532" s="1093">
        <f t="shared" si="374"/>
        <v>0</v>
      </c>
      <c r="AH532" s="1033" t="e">
        <f t="shared" si="375"/>
        <v>#DIV/0!</v>
      </c>
      <c r="AI532" s="1091">
        <f t="shared" si="376"/>
        <v>0</v>
      </c>
      <c r="AJ532" s="1094">
        <f t="shared" si="377"/>
        <v>0</v>
      </c>
      <c r="AK532" s="1053" t="str">
        <f t="shared" si="378"/>
        <v/>
      </c>
      <c r="AL532" s="1053"/>
      <c r="AM532" s="1290">
        <f>_xlfn.XLOOKUP(F532,Proveedores!A:A,Proveedores!G:G)</f>
        <v>0</v>
      </c>
      <c r="AN532" s="1095" t="str">
        <f t="shared" si="391"/>
        <v>OK</v>
      </c>
    </row>
    <row r="533" spans="1:40" ht="15.95">
      <c r="A533" s="1090" t="b">
        <f t="shared" si="366"/>
        <v>1</v>
      </c>
      <c r="B533" s="1091" t="b">
        <f t="shared" si="379"/>
        <v>1</v>
      </c>
      <c r="C533" s="1092" t="str">
        <f t="shared" si="380"/>
        <v>Dólares</v>
      </c>
      <c r="D533" s="14"/>
      <c r="E533" s="743"/>
      <c r="F533" s="17"/>
      <c r="G533" s="17" t="str">
        <f t="shared" si="367"/>
        <v xml:space="preserve"> </v>
      </c>
      <c r="H533" s="12">
        <v>0</v>
      </c>
      <c r="I533" s="16" t="str">
        <f>IFERROR(VLOOKUP(G533,Proveedores!B:C,2,0)," ")</f>
        <v xml:space="preserve"> </v>
      </c>
      <c r="J533" s="745">
        <v>0</v>
      </c>
      <c r="K533" s="745" t="str">
        <f t="shared" si="368"/>
        <v>Not Found</v>
      </c>
      <c r="L533" s="16">
        <f>IF(K533="Importado",Fletes!$B$66,0%)</f>
        <v>0</v>
      </c>
      <c r="M533" s="745">
        <f t="shared" si="381"/>
        <v>0</v>
      </c>
      <c r="N533" s="16">
        <f>IF(K533&lt;&gt;"Importado",0%,IF(Fletes!$B$67&lt;10,15%,IF(Fletes!$B$67&lt;20,10%,5%)))</f>
        <v>0</v>
      </c>
      <c r="O533" s="745" t="str">
        <f>IFERROR(IF(OR(F533="Offiho",F533="Lauco Sofas",F533="Requiez",F533="Labenze",F533="Sunon Mty",F533="Sonara"),(M533*(1-_xlfn.XLOOKUP(F533,Proveedores!A:A,Proveedores!I:I)))*(1+N533),((M533*(1-_xlfn.XLOOKUP(F533,Proveedores!A:A,Proveedores!I:I)))*(1+N533))+U533),"")</f>
        <v/>
      </c>
      <c r="P533" s="1031"/>
      <c r="Q533" s="1133">
        <f>IF(K533&lt;&gt;"Importado",0,IF(P533&gt;0,P533*H533,IFERROR(_xlfn.XLOOKUP(F533,Proveedores!A:A,Proveedores!F:F,0)*H533,0)))</f>
        <v>0</v>
      </c>
      <c r="R533" s="1134" t="e">
        <f t="shared" si="382"/>
        <v>#VALUE!</v>
      </c>
      <c r="S533" s="743"/>
      <c r="T533" s="1034" t="e">
        <f t="shared" si="369"/>
        <v>#N/A</v>
      </c>
      <c r="U533" s="1034" t="e">
        <f t="shared" si="383"/>
        <v>#N/A</v>
      </c>
      <c r="V533" s="1165" t="e">
        <f t="shared" si="370"/>
        <v>#N/A</v>
      </c>
      <c r="W533" s="1034" t="e">
        <f t="shared" si="384"/>
        <v>#N/A</v>
      </c>
      <c r="X533" s="1034" t="b">
        <f t="shared" si="385"/>
        <v>0</v>
      </c>
      <c r="Y533" s="1034">
        <f t="shared" si="386"/>
        <v>0</v>
      </c>
      <c r="Z533" s="1034">
        <f t="shared" si="387"/>
        <v>0</v>
      </c>
      <c r="AA533" s="1034">
        <f t="shared" si="371"/>
        <v>0</v>
      </c>
      <c r="AB533" s="1034">
        <f t="shared" si="372"/>
        <v>0</v>
      </c>
      <c r="AC533" s="1033">
        <f t="shared" si="388"/>
        <v>0</v>
      </c>
      <c r="AD533" s="1266">
        <f t="shared" si="373"/>
        <v>0</v>
      </c>
      <c r="AE533" s="1093">
        <f t="shared" si="389"/>
        <v>0</v>
      </c>
      <c r="AF533" s="1093">
        <f t="shared" si="390"/>
        <v>0</v>
      </c>
      <c r="AG533" s="1093">
        <f t="shared" si="374"/>
        <v>0</v>
      </c>
      <c r="AH533" s="1033" t="e">
        <f t="shared" si="375"/>
        <v>#DIV/0!</v>
      </c>
      <c r="AI533" s="1091">
        <f t="shared" si="376"/>
        <v>0</v>
      </c>
      <c r="AJ533" s="1094">
        <f t="shared" si="377"/>
        <v>0</v>
      </c>
      <c r="AK533" s="1053" t="str">
        <f t="shared" si="378"/>
        <v/>
      </c>
      <c r="AL533" s="1053"/>
      <c r="AM533" s="1290">
        <f>_xlfn.XLOOKUP(F533,Proveedores!A:A,Proveedores!G:G)</f>
        <v>0</v>
      </c>
      <c r="AN533" s="1095" t="str">
        <f t="shared" si="391"/>
        <v>OK</v>
      </c>
    </row>
    <row r="534" spans="1:40" ht="15.95">
      <c r="A534" s="1090" t="b">
        <f t="shared" si="366"/>
        <v>1</v>
      </c>
      <c r="B534" s="1091" t="b">
        <f t="shared" si="379"/>
        <v>1</v>
      </c>
      <c r="C534" s="1092" t="str">
        <f t="shared" si="380"/>
        <v>Dólares</v>
      </c>
      <c r="D534" s="14"/>
      <c r="E534" s="743"/>
      <c r="F534" s="17"/>
      <c r="G534" s="17" t="str">
        <f t="shared" si="367"/>
        <v xml:space="preserve"> </v>
      </c>
      <c r="H534" s="12">
        <v>0</v>
      </c>
      <c r="I534" s="16" t="str">
        <f>IFERROR(VLOOKUP(G534,Proveedores!B:C,2,0)," ")</f>
        <v xml:space="preserve"> </v>
      </c>
      <c r="J534" s="745">
        <v>0</v>
      </c>
      <c r="K534" s="745" t="str">
        <f t="shared" si="368"/>
        <v>Not Found</v>
      </c>
      <c r="L534" s="16">
        <f>IF(K534="Importado",Fletes!$B$66,0%)</f>
        <v>0</v>
      </c>
      <c r="M534" s="745">
        <f t="shared" si="381"/>
        <v>0</v>
      </c>
      <c r="N534" s="16">
        <f>IF(K534&lt;&gt;"Importado",0%,IF(Fletes!$B$67&lt;10,15%,IF(Fletes!$B$67&lt;20,10%,5%)))</f>
        <v>0</v>
      </c>
      <c r="O534" s="745" t="str">
        <f>IFERROR(IF(OR(F534="Offiho",F534="Lauco Sofas",F534="Requiez",F534="Labenze",F534="Sunon Mty",F534="Sonara"),(M534*(1-_xlfn.XLOOKUP(F534,Proveedores!A:A,Proveedores!I:I)))*(1+N534),((M534*(1-_xlfn.XLOOKUP(F534,Proveedores!A:A,Proveedores!I:I)))*(1+N534))+U534),"")</f>
        <v/>
      </c>
      <c r="P534" s="1031"/>
      <c r="Q534" s="1133">
        <f>IF(K534&lt;&gt;"Importado",0,IF(P534&gt;0,P534*H534,IFERROR(_xlfn.XLOOKUP(F534,Proveedores!A:A,Proveedores!F:F,0)*H534,0)))</f>
        <v>0</v>
      </c>
      <c r="R534" s="1134" t="e">
        <f t="shared" si="382"/>
        <v>#VALUE!</v>
      </c>
      <c r="S534" s="743"/>
      <c r="T534" s="1034" t="e">
        <f t="shared" si="369"/>
        <v>#N/A</v>
      </c>
      <c r="U534" s="1034" t="e">
        <f t="shared" si="383"/>
        <v>#N/A</v>
      </c>
      <c r="V534" s="1165" t="e">
        <f t="shared" si="370"/>
        <v>#N/A</v>
      </c>
      <c r="W534" s="1034" t="e">
        <f t="shared" si="384"/>
        <v>#N/A</v>
      </c>
      <c r="X534" s="1034" t="b">
        <f t="shared" si="385"/>
        <v>0</v>
      </c>
      <c r="Y534" s="1034">
        <f t="shared" si="386"/>
        <v>0</v>
      </c>
      <c r="Z534" s="1034">
        <f t="shared" si="387"/>
        <v>0</v>
      </c>
      <c r="AA534" s="1034">
        <f t="shared" si="371"/>
        <v>0</v>
      </c>
      <c r="AB534" s="1034">
        <f t="shared" si="372"/>
        <v>0</v>
      </c>
      <c r="AC534" s="1033">
        <f t="shared" si="388"/>
        <v>0</v>
      </c>
      <c r="AD534" s="1266">
        <f t="shared" si="373"/>
        <v>0</v>
      </c>
      <c r="AE534" s="1093">
        <f t="shared" si="389"/>
        <v>0</v>
      </c>
      <c r="AF534" s="1093">
        <f t="shared" si="390"/>
        <v>0</v>
      </c>
      <c r="AG534" s="1093">
        <f t="shared" si="374"/>
        <v>0</v>
      </c>
      <c r="AH534" s="1033" t="e">
        <f t="shared" si="375"/>
        <v>#DIV/0!</v>
      </c>
      <c r="AI534" s="1091">
        <f t="shared" si="376"/>
        <v>0</v>
      </c>
      <c r="AJ534" s="1094">
        <f t="shared" si="377"/>
        <v>0</v>
      </c>
      <c r="AK534" s="1053" t="str">
        <f t="shared" si="378"/>
        <v/>
      </c>
      <c r="AL534" s="1053"/>
      <c r="AM534" s="1290">
        <f>_xlfn.XLOOKUP(F534,Proveedores!A:A,Proveedores!G:G)</f>
        <v>0</v>
      </c>
      <c r="AN534" s="1095" t="str">
        <f t="shared" si="391"/>
        <v>OK</v>
      </c>
    </row>
    <row r="535" spans="1:40" ht="15.95">
      <c r="A535" s="1090" t="b">
        <f t="shared" si="366"/>
        <v>1</v>
      </c>
      <c r="B535" s="1091" t="b">
        <f t="shared" si="379"/>
        <v>1</v>
      </c>
      <c r="C535" s="1092" t="str">
        <f t="shared" si="380"/>
        <v>Dólares</v>
      </c>
      <c r="D535" s="14"/>
      <c r="E535" s="743"/>
      <c r="F535" s="17"/>
      <c r="G535" s="17" t="str">
        <f t="shared" si="367"/>
        <v xml:space="preserve"> </v>
      </c>
      <c r="H535" s="12">
        <v>0</v>
      </c>
      <c r="I535" s="16" t="str">
        <f>IFERROR(VLOOKUP(G535,Proveedores!B:C,2,0)," ")</f>
        <v xml:space="preserve"> </v>
      </c>
      <c r="J535" s="745">
        <v>0</v>
      </c>
      <c r="K535" s="745" t="str">
        <f t="shared" si="368"/>
        <v>Not Found</v>
      </c>
      <c r="L535" s="16">
        <f>IF(K535="Importado",Fletes!$B$66,0%)</f>
        <v>0</v>
      </c>
      <c r="M535" s="745">
        <f t="shared" si="381"/>
        <v>0</v>
      </c>
      <c r="N535" s="16">
        <f>IF(K535&lt;&gt;"Importado",0%,IF(Fletes!$B$67&lt;10,15%,IF(Fletes!$B$67&lt;20,10%,5%)))</f>
        <v>0</v>
      </c>
      <c r="O535" s="745" t="str">
        <f>IFERROR(IF(OR(F535="Offiho",F535="Lauco Sofas",F535="Requiez",F535="Labenze",F535="Sunon Mty",F535="Sonara"),(M535*(1-_xlfn.XLOOKUP(F535,Proveedores!A:A,Proveedores!I:I)))*(1+N535),((M535*(1-_xlfn.XLOOKUP(F535,Proveedores!A:A,Proveedores!I:I)))*(1+N535))+U535),"")</f>
        <v/>
      </c>
      <c r="P535" s="1031"/>
      <c r="Q535" s="1133">
        <f>IF(K535&lt;&gt;"Importado",0,IF(P535&gt;0,P535*H535,IFERROR(_xlfn.XLOOKUP(F535,Proveedores!A:A,Proveedores!F:F,0)*H535,0)))</f>
        <v>0</v>
      </c>
      <c r="R535" s="1134" t="e">
        <f t="shared" si="382"/>
        <v>#VALUE!</v>
      </c>
      <c r="S535" s="743"/>
      <c r="T535" s="1034" t="e">
        <f t="shared" si="369"/>
        <v>#N/A</v>
      </c>
      <c r="U535" s="1034" t="e">
        <f t="shared" si="383"/>
        <v>#N/A</v>
      </c>
      <c r="V535" s="1165" t="e">
        <f t="shared" si="370"/>
        <v>#N/A</v>
      </c>
      <c r="W535" s="1034" t="e">
        <f t="shared" si="384"/>
        <v>#N/A</v>
      </c>
      <c r="X535" s="1034" t="b">
        <f t="shared" si="385"/>
        <v>0</v>
      </c>
      <c r="Y535" s="1034">
        <f t="shared" si="386"/>
        <v>0</v>
      </c>
      <c r="Z535" s="1034">
        <f t="shared" si="387"/>
        <v>0</v>
      </c>
      <c r="AA535" s="1034">
        <f t="shared" si="371"/>
        <v>0</v>
      </c>
      <c r="AB535" s="1034">
        <f t="shared" si="372"/>
        <v>0</v>
      </c>
      <c r="AC535" s="1033">
        <f t="shared" si="388"/>
        <v>0</v>
      </c>
      <c r="AD535" s="1266">
        <f t="shared" si="373"/>
        <v>0</v>
      </c>
      <c r="AE535" s="1093">
        <f t="shared" si="389"/>
        <v>0</v>
      </c>
      <c r="AF535" s="1093">
        <f t="shared" si="390"/>
        <v>0</v>
      </c>
      <c r="AG535" s="1093">
        <f t="shared" si="374"/>
        <v>0</v>
      </c>
      <c r="AH535" s="1033" t="e">
        <f t="shared" si="375"/>
        <v>#DIV/0!</v>
      </c>
      <c r="AI535" s="1091">
        <f t="shared" si="376"/>
        <v>0</v>
      </c>
      <c r="AJ535" s="1094">
        <f t="shared" si="377"/>
        <v>0</v>
      </c>
      <c r="AK535" s="1053" t="str">
        <f t="shared" si="378"/>
        <v/>
      </c>
      <c r="AL535" s="1053"/>
      <c r="AM535" s="1290">
        <f>_xlfn.XLOOKUP(F535,Proveedores!A:A,Proveedores!G:G)</f>
        <v>0</v>
      </c>
      <c r="AN535" s="1095" t="str">
        <f t="shared" si="391"/>
        <v>OK</v>
      </c>
    </row>
    <row r="536" spans="1:40" ht="15.95">
      <c r="A536" s="1090" t="b">
        <f t="shared" si="366"/>
        <v>1</v>
      </c>
      <c r="B536" s="1091" t="b">
        <f t="shared" si="379"/>
        <v>1</v>
      </c>
      <c r="C536" s="1092" t="str">
        <f t="shared" si="380"/>
        <v>Dólares</v>
      </c>
      <c r="D536" s="14"/>
      <c r="E536" s="743"/>
      <c r="F536" s="17"/>
      <c r="G536" s="17" t="str">
        <f t="shared" si="367"/>
        <v xml:space="preserve"> </v>
      </c>
      <c r="H536" s="12">
        <v>0</v>
      </c>
      <c r="I536" s="16" t="str">
        <f>IFERROR(VLOOKUP(G536,Proveedores!B:C,2,0)," ")</f>
        <v xml:space="preserve"> </v>
      </c>
      <c r="J536" s="745">
        <v>0</v>
      </c>
      <c r="K536" s="745" t="str">
        <f t="shared" si="368"/>
        <v>Not Found</v>
      </c>
      <c r="L536" s="16">
        <f>IF(K536="Importado",Fletes!$B$66,0%)</f>
        <v>0</v>
      </c>
      <c r="M536" s="745">
        <f t="shared" si="381"/>
        <v>0</v>
      </c>
      <c r="N536" s="16">
        <f>IF(K536&lt;&gt;"Importado",0%,IF(Fletes!$B$67&lt;10,15%,IF(Fletes!$B$67&lt;20,10%,5%)))</f>
        <v>0</v>
      </c>
      <c r="O536" s="745" t="str">
        <f>IFERROR(IF(OR(F536="Offiho",F536="Lauco Sofas",F536="Requiez",F536="Labenze",F536="Sunon Mty",F536="Sonara"),(M536*(1-_xlfn.XLOOKUP(F536,Proveedores!A:A,Proveedores!I:I)))*(1+N536),((M536*(1-_xlfn.XLOOKUP(F536,Proveedores!A:A,Proveedores!I:I)))*(1+N536))+U536),"")</f>
        <v/>
      </c>
      <c r="P536" s="1031"/>
      <c r="Q536" s="1133">
        <f>IF(K536&lt;&gt;"Importado",0,IF(P536&gt;0,P536*H536,IFERROR(_xlfn.XLOOKUP(F536,Proveedores!A:A,Proveedores!F:F,0)*H536,0)))</f>
        <v>0</v>
      </c>
      <c r="R536" s="1134" t="e">
        <f t="shared" si="382"/>
        <v>#VALUE!</v>
      </c>
      <c r="S536" s="743"/>
      <c r="T536" s="1034" t="e">
        <f t="shared" si="369"/>
        <v>#N/A</v>
      </c>
      <c r="U536" s="1034" t="e">
        <f t="shared" si="383"/>
        <v>#N/A</v>
      </c>
      <c r="V536" s="1165" t="e">
        <f t="shared" si="370"/>
        <v>#N/A</v>
      </c>
      <c r="W536" s="1034" t="e">
        <f t="shared" si="384"/>
        <v>#N/A</v>
      </c>
      <c r="X536" s="1034" t="b">
        <f t="shared" si="385"/>
        <v>0</v>
      </c>
      <c r="Y536" s="1034">
        <f t="shared" si="386"/>
        <v>0</v>
      </c>
      <c r="Z536" s="1034">
        <f t="shared" si="387"/>
        <v>0</v>
      </c>
      <c r="AA536" s="1034">
        <f t="shared" si="371"/>
        <v>0</v>
      </c>
      <c r="AB536" s="1034">
        <f t="shared" si="372"/>
        <v>0</v>
      </c>
      <c r="AC536" s="1033">
        <f t="shared" si="388"/>
        <v>0</v>
      </c>
      <c r="AD536" s="1266">
        <f t="shared" si="373"/>
        <v>0</v>
      </c>
      <c r="AE536" s="1093">
        <f t="shared" si="389"/>
        <v>0</v>
      </c>
      <c r="AF536" s="1093">
        <f t="shared" si="390"/>
        <v>0</v>
      </c>
      <c r="AG536" s="1093">
        <f t="shared" si="374"/>
        <v>0</v>
      </c>
      <c r="AH536" s="1033" t="e">
        <f t="shared" si="375"/>
        <v>#DIV/0!</v>
      </c>
      <c r="AI536" s="1091">
        <f t="shared" si="376"/>
        <v>0</v>
      </c>
      <c r="AJ536" s="1094">
        <f t="shared" si="377"/>
        <v>0</v>
      </c>
      <c r="AK536" s="1053" t="str">
        <f t="shared" si="378"/>
        <v/>
      </c>
      <c r="AL536" s="1053"/>
      <c r="AM536" s="1290">
        <f>_xlfn.XLOOKUP(F536,Proveedores!A:A,Proveedores!G:G)</f>
        <v>0</v>
      </c>
      <c r="AN536" s="1095" t="str">
        <f t="shared" si="391"/>
        <v>OK</v>
      </c>
    </row>
    <row r="537" spans="1:40" ht="15.95">
      <c r="A537" s="1090" t="b">
        <f t="shared" si="366"/>
        <v>1</v>
      </c>
      <c r="B537" s="1091" t="b">
        <f t="shared" si="379"/>
        <v>1</v>
      </c>
      <c r="C537" s="1092" t="str">
        <f t="shared" si="380"/>
        <v>Dólares</v>
      </c>
      <c r="D537" s="14"/>
      <c r="E537" s="743"/>
      <c r="F537" s="17"/>
      <c r="G537" s="17" t="str">
        <f t="shared" si="367"/>
        <v xml:space="preserve"> </v>
      </c>
      <c r="H537" s="12">
        <v>0</v>
      </c>
      <c r="I537" s="16" t="str">
        <f>IFERROR(VLOOKUP(G537,Proveedores!B:C,2,0)," ")</f>
        <v xml:space="preserve"> </v>
      </c>
      <c r="J537" s="745">
        <v>0</v>
      </c>
      <c r="K537" s="745" t="str">
        <f t="shared" si="368"/>
        <v>Not Found</v>
      </c>
      <c r="L537" s="16">
        <f>IF(K537="Importado",Fletes!$B$66,0%)</f>
        <v>0</v>
      </c>
      <c r="M537" s="745">
        <f t="shared" si="381"/>
        <v>0</v>
      </c>
      <c r="N537" s="16">
        <f>IF(K537&lt;&gt;"Importado",0%,IF(Fletes!$B$67&lt;10,15%,IF(Fletes!$B$67&lt;20,10%,5%)))</f>
        <v>0</v>
      </c>
      <c r="O537" s="745" t="str">
        <f>IFERROR(IF(OR(F537="Offiho",F537="Lauco Sofas",F537="Requiez",F537="Labenze",F537="Sunon Mty",F537="Sonara"),(M537*(1-_xlfn.XLOOKUP(F537,Proveedores!A:A,Proveedores!I:I)))*(1+N537),((M537*(1-_xlfn.XLOOKUP(F537,Proveedores!A:A,Proveedores!I:I)))*(1+N537))+U537),"")</f>
        <v/>
      </c>
      <c r="P537" s="1031"/>
      <c r="Q537" s="1133">
        <f>IF(K537&lt;&gt;"Importado",0,IF(P537&gt;0,P537*H537,IFERROR(_xlfn.XLOOKUP(F537,Proveedores!A:A,Proveedores!F:F,0)*H537,0)))</f>
        <v>0</v>
      </c>
      <c r="R537" s="1134" t="e">
        <f t="shared" si="382"/>
        <v>#VALUE!</v>
      </c>
      <c r="S537" s="743"/>
      <c r="T537" s="1034" t="e">
        <f t="shared" si="369"/>
        <v>#N/A</v>
      </c>
      <c r="U537" s="1034" t="e">
        <f t="shared" si="383"/>
        <v>#N/A</v>
      </c>
      <c r="V537" s="1165" t="e">
        <f t="shared" si="370"/>
        <v>#N/A</v>
      </c>
      <c r="W537" s="1034" t="e">
        <f t="shared" si="384"/>
        <v>#N/A</v>
      </c>
      <c r="X537" s="1034" t="b">
        <f t="shared" si="385"/>
        <v>0</v>
      </c>
      <c r="Y537" s="1034">
        <f t="shared" si="386"/>
        <v>0</v>
      </c>
      <c r="Z537" s="1034">
        <f t="shared" si="387"/>
        <v>0</v>
      </c>
      <c r="AA537" s="1034">
        <f t="shared" si="371"/>
        <v>0</v>
      </c>
      <c r="AB537" s="1034">
        <f t="shared" si="372"/>
        <v>0</v>
      </c>
      <c r="AC537" s="1033">
        <f t="shared" si="388"/>
        <v>0</v>
      </c>
      <c r="AD537" s="1266">
        <f t="shared" si="373"/>
        <v>0</v>
      </c>
      <c r="AE537" s="1093">
        <f t="shared" si="389"/>
        <v>0</v>
      </c>
      <c r="AF537" s="1093">
        <f t="shared" si="390"/>
        <v>0</v>
      </c>
      <c r="AG537" s="1093">
        <f t="shared" si="374"/>
        <v>0</v>
      </c>
      <c r="AH537" s="1033" t="str">
        <f t="shared" si="375"/>
        <v>NA</v>
      </c>
      <c r="AI537" s="1091">
        <f t="shared" si="376"/>
        <v>0</v>
      </c>
      <c r="AJ537" s="1094">
        <f t="shared" si="377"/>
        <v>0</v>
      </c>
      <c r="AK537" s="1053" t="str">
        <f t="shared" si="378"/>
        <v/>
      </c>
      <c r="AL537" s="1053"/>
      <c r="AM537" s="1290">
        <f>_xlfn.XLOOKUP(F537,Proveedores!A:A,Proveedores!G:G)</f>
        <v>0</v>
      </c>
      <c r="AN537" s="1095" t="str">
        <f t="shared" si="391"/>
        <v>OK</v>
      </c>
    </row>
    <row r="538" spans="1:40" ht="24" customHeight="1">
      <c r="A538" s="1375" t="s">
        <v>155</v>
      </c>
      <c r="B538" s="1375"/>
      <c r="C538" s="1375"/>
      <c r="D538" s="1375"/>
      <c r="E538" s="1375"/>
      <c r="F538" s="1375"/>
      <c r="G538" s="1099"/>
      <c r="H538" s="1100" cm="1">
        <f t="array" ref="H538">SUM(IFERROR(H505:H537,0))</f>
        <v>0</v>
      </c>
      <c r="I538" s="1099"/>
      <c r="J538" s="1099"/>
      <c r="K538" s="1099"/>
      <c r="L538" s="1099"/>
      <c r="M538" s="1099"/>
      <c r="N538" s="1099"/>
      <c r="O538" s="1099"/>
      <c r="P538" s="1102"/>
      <c r="Q538" s="1100" cm="1">
        <f t="array" ref="Q538">SUM(IFERROR(Q505:Q537,0))</f>
        <v>0</v>
      </c>
      <c r="R538" s="1103" cm="1">
        <f t="array" ref="R538">SUM(IFERROR(R505:R537,0))</f>
        <v>0</v>
      </c>
      <c r="S538" s="1104"/>
      <c r="T538" s="1104"/>
      <c r="U538" s="1104"/>
      <c r="V538" s="1104"/>
      <c r="W538" s="1104"/>
      <c r="X538" s="1104"/>
      <c r="Y538" s="1102"/>
      <c r="Z538" s="1102"/>
      <c r="AA538" s="1102"/>
      <c r="AB538" s="1103" cm="1">
        <f t="array" ref="AB538">SUM(IFERROR(AB505:AB537,0))</f>
        <v>0</v>
      </c>
      <c r="AC538" s="1104" t="s">
        <v>127</v>
      </c>
      <c r="AD538" s="1104"/>
      <c r="AE538" s="1104"/>
      <c r="AF538" s="1104"/>
      <c r="AG538" s="1103" cm="1">
        <f t="array" ref="AG538">SUM(IFERROR(AG505:AG537,0))</f>
        <v>0</v>
      </c>
      <c r="AH538" s="1103"/>
      <c r="AI538" s="1103"/>
      <c r="AJ538" s="1103" cm="1">
        <f t="array" ref="AJ538">SUM(IFERROR(AJ505:AJ537,0))</f>
        <v>0</v>
      </c>
      <c r="AK538" s="1054" cm="1">
        <f t="array" ref="AK538">IFERROR(SUMPRODUCT(IFERROR(AG505:AG537,0),IFERROR(AK505:AK537,0))/SUMPRODUCT(IFERROR(AG505:AG537,0)),0)</f>
        <v>0</v>
      </c>
      <c r="AL538" s="1288"/>
      <c r="AM538" s="1288"/>
      <c r="AN538"/>
    </row>
    <row r="539" spans="1:40" ht="26.1" customHeight="1">
      <c r="A539" s="1397" t="s">
        <v>156</v>
      </c>
      <c r="B539" s="1397"/>
      <c r="C539" s="1397"/>
      <c r="D539" s="1397"/>
      <c r="E539" s="1397"/>
      <c r="F539" s="1397"/>
      <c r="G539" s="1397"/>
      <c r="H539" s="1397"/>
      <c r="I539" s="1397"/>
      <c r="J539" s="1398"/>
      <c r="K539" s="1160"/>
      <c r="L539" s="1160"/>
      <c r="M539" s="1160"/>
      <c r="N539" s="1160"/>
      <c r="O539" s="1160"/>
      <c r="P539" s="1088"/>
      <c r="Q539" s="1088"/>
      <c r="R539" s="1088"/>
      <c r="S539" s="1087"/>
      <c r="T539" s="1087"/>
      <c r="U539" s="1087"/>
      <c r="V539" s="1087"/>
      <c r="W539" s="1087"/>
      <c r="X539" s="1087"/>
      <c r="Y539" s="1055"/>
      <c r="Z539" s="1055"/>
      <c r="AA539" s="1055"/>
      <c r="AB539" s="1055"/>
      <c r="AC539" s="1055"/>
      <c r="AD539" s="1087"/>
      <c r="AE539" s="1087"/>
      <c r="AF539" s="1087"/>
      <c r="AG539" s="1087"/>
      <c r="AH539" s="1087"/>
      <c r="AI539" s="1087"/>
      <c r="AJ539" s="1087"/>
      <c r="AK539" s="1089"/>
      <c r="AL539" s="1287"/>
      <c r="AM539" s="1287"/>
      <c r="AN539"/>
    </row>
    <row r="540" spans="1:40" ht="15.95">
      <c r="A540" s="1090" t="b">
        <f t="shared" ref="A540:A572" si="392">$A$14</f>
        <v>1</v>
      </c>
      <c r="B540" s="1091" t="b">
        <f>A540</f>
        <v>1</v>
      </c>
      <c r="C540" s="1092" t="str">
        <f>$C$14</f>
        <v>Dólares</v>
      </c>
      <c r="D540" s="11"/>
      <c r="E540" s="743"/>
      <c r="F540" s="17"/>
      <c r="G540" s="17" t="str">
        <f t="shared" ref="G540:G572" si="393">IFERROR(VLOOKUP(F540,Tabla_Proveedores_1,2,0)," ")</f>
        <v xml:space="preserve"> </v>
      </c>
      <c r="H540" s="12">
        <v>0</v>
      </c>
      <c r="I540" s="16" t="str">
        <f>IFERROR(VLOOKUP(G540,Proveedores!B:C,2,0)," ")</f>
        <v xml:space="preserve"> </v>
      </c>
      <c r="J540" s="745">
        <v>0</v>
      </c>
      <c r="K540" s="745" t="str">
        <f t="shared" ref="K540:K572" si="394">IFERROR(VLOOKUP(TRIM(F540), ProveedoreS_TC, 5, FALSE), "Not Found")</f>
        <v>Not Found</v>
      </c>
      <c r="L540" s="16">
        <f>IF(K540="Importado",Fletes!$B$66,0%)</f>
        <v>0</v>
      </c>
      <c r="M540" s="745">
        <f>IF(K540="Importado",J540*(1+L540),J540*(1+L540))</f>
        <v>0</v>
      </c>
      <c r="N540" s="16">
        <f>IF(K540&lt;&gt;"Importado",0%,IF(Fletes!$B$67&lt;10,15%,IF(Fletes!$B$67&lt;20,10%,5%)))</f>
        <v>0</v>
      </c>
      <c r="O540" s="745" t="str">
        <f>IFERROR(IF(OR(F540="Offiho",F540="Lauco Sofas",F540="Requiez",F540="Labenze",F540="Sunon Mty",F540="Sonara"),(M540*(1-_xlfn.XLOOKUP(F540,Proveedores!A:A,Proveedores!I:I)))*(1+N540),((M540*(1-_xlfn.XLOOKUP(F540,Proveedores!A:A,Proveedores!I:I)))*(1+N540))+U540),"")</f>
        <v/>
      </c>
      <c r="P540" s="1031"/>
      <c r="Q540" s="1133">
        <f>IF(K540&lt;&gt;"Importado",0,IF(P540&gt;0,P540*H540,IFERROR(_xlfn.XLOOKUP(F540,Proveedores!A:A,Proveedores!F:F,0)*H540,0)))</f>
        <v>0</v>
      </c>
      <c r="R540" s="1134" t="e">
        <f>O540*H540</f>
        <v>#VALUE!</v>
      </c>
      <c r="S540" s="743"/>
      <c r="T540" s="1034" t="e">
        <f t="shared" ref="T540:T572" si="395">IF(H540&gt;15,0,VLOOKUP(E540,Tabla_Instalacion,2,FALSE))</f>
        <v>#N/A</v>
      </c>
      <c r="U540" s="1034" t="e">
        <f>X540/V540</f>
        <v>#N/A</v>
      </c>
      <c r="V540" s="1165" t="e">
        <f t="shared" ref="V540:V572" si="396">VLOOKUP(E540,Tabla_Factor,2,FALSE)</f>
        <v>#N/A</v>
      </c>
      <c r="W540" s="1034" t="e">
        <f>T540*V540</f>
        <v>#N/A</v>
      </c>
      <c r="X540" s="1034" t="b">
        <f>IF(S540="Occidente",W540,IF(S540="Norte",W540*1.5,IF(S540="Centro",W540*1.2,IF(S540="Sur",W540*1.7))))</f>
        <v>0</v>
      </c>
      <c r="Y540" s="1034">
        <f>ROUNDUP(IF(OR(F540="Offiho",F540="Lauco Sofas",F540="Requiez",F540="Labenze",F540="Sunon Mty",F540="Sonara",F540="Santeco"),J540,IF(K540="Nacional",O540/(1-30%),IF(K540="Importado",O540/(1-40%),IF(OR(F540="Lumbro",F540="Idelika"),O540/(1-20%))))),0)</f>
        <v>0</v>
      </c>
      <c r="Z540" s="1034">
        <f>ROUNDUP(IF(OR(F540="Offiho",F540="Lauco Sofas",F540="Requiez",F540="Labenze",F540="Sunon Mty",F540="Sonara",F540="Sonara"),Y540,IF($P$10="MIXTO",IF(K540="Nacional",Y540/(1-50%),Y540/(1-50%)),IF($P$10="IMPORTADO",Y540/(1-50%),IF($P$10="NACIONAL",Y540/(1-20%),Y540/(1-20%))))),0)</f>
        <v>0</v>
      </c>
      <c r="AA540" s="1034">
        <f t="shared" ref="AA540:AA572" si="397">IF(Z540&gt;=Y540,_xlfn.MINIFS($Z$15:$Z$572,$D$15:$D$572,D540),"NO SE ESTA RESPETANDO EL MARGEN")</f>
        <v>0</v>
      </c>
      <c r="AB540" s="1034">
        <f t="shared" ref="AB540:AB572" si="398">IFERROR(AA540*H540,0)</f>
        <v>0</v>
      </c>
      <c r="AC540" s="1033">
        <f>IF($P$10="IMPORTADO",50%,IF($P$10="NACIONAL",20%,IF($P$10="MIXTO",50%,0%)))</f>
        <v>0</v>
      </c>
      <c r="AD540" s="1266">
        <f t="shared" ref="AD540:AD572" si="399">IF(H540&gt;0,$E$5,0)</f>
        <v>0</v>
      </c>
      <c r="AE540" s="1093">
        <f>IFERROR(AA540*AD540,0)</f>
        <v>0</v>
      </c>
      <c r="AF540" s="1093">
        <f>IF($E$5&gt;$E$6,"ERROR",AA540-AE540)</f>
        <v>0</v>
      </c>
      <c r="AG540" s="1093">
        <f t="shared" ref="AG540:AG572" si="400">AF540*H540</f>
        <v>0</v>
      </c>
      <c r="AH540" s="1033" t="e">
        <f t="shared" ref="AH540:AH572" si="401">IF(A541=TRUE,MAX(0,1-(AI540/Z540)),"NA")</f>
        <v>#DIV/0!</v>
      </c>
      <c r="AI540" s="1091">
        <f t="shared" ref="AI540:AI572" si="402">IF(A539=FALSE,"NO APLICA",AF540*(1+$AI$8))</f>
        <v>0</v>
      </c>
      <c r="AJ540" s="1094">
        <f t="shared" ref="AJ540:AJ572" si="403">AI540*H540</f>
        <v>0</v>
      </c>
      <c r="AK540" s="1053" t="str">
        <f t="shared" ref="AK540:AK572" si="404">IFERROR(IF(OR(F540="Offiho",F540="Vandesk",F540="Requiez",F540="Labenze",F540="Idelika",F540="Sunon Mty"),(AG540-(J540*(1-I540)*H540))/AG540,(AG540-R540)/AG540),"")</f>
        <v/>
      </c>
      <c r="AL540" s="1053"/>
      <c r="AM540" s="1290">
        <f>_xlfn.XLOOKUP(F540,Proveedores!A:A,Proveedores!G:G)</f>
        <v>0</v>
      </c>
      <c r="AN540" s="1095" t="str">
        <f>IF(AK540&lt;AM540,"ERROR","OK")</f>
        <v>OK</v>
      </c>
    </row>
    <row r="541" spans="1:40" ht="15.95">
      <c r="A541" s="1090" t="b">
        <f t="shared" si="392"/>
        <v>1</v>
      </c>
      <c r="B541" s="1091" t="b">
        <f t="shared" ref="B541:B572" si="405">A541</f>
        <v>1</v>
      </c>
      <c r="C541" s="1092" t="str">
        <f t="shared" ref="C541:C572" si="406">$C$14</f>
        <v>Dólares</v>
      </c>
      <c r="D541" s="13"/>
      <c r="E541" s="743"/>
      <c r="F541" s="17"/>
      <c r="G541" s="17" t="str">
        <f t="shared" si="393"/>
        <v xml:space="preserve"> </v>
      </c>
      <c r="H541" s="12">
        <v>0</v>
      </c>
      <c r="I541" s="16" t="str">
        <f>IFERROR(VLOOKUP(G541,Proveedores!B:C,2,0)," ")</f>
        <v xml:space="preserve"> </v>
      </c>
      <c r="J541" s="745">
        <v>0</v>
      </c>
      <c r="K541" s="745" t="str">
        <f t="shared" si="394"/>
        <v>Not Found</v>
      </c>
      <c r="L541" s="16">
        <f>IF(K541="Importado",Fletes!$B$66,0%)</f>
        <v>0</v>
      </c>
      <c r="M541" s="745">
        <f t="shared" ref="M541:M572" si="407">IF(K541="Importado",J541*(1+L541),J541*(1+L541))</f>
        <v>0</v>
      </c>
      <c r="N541" s="16">
        <f>IF(K541&lt;&gt;"Importado",0%,IF(Fletes!$B$67&lt;10,15%,IF(Fletes!$B$67&lt;20,10%,5%)))</f>
        <v>0</v>
      </c>
      <c r="O541" s="745" t="str">
        <f>IFERROR(IF(OR(F541="Offiho",F541="Lauco Sofas",F541="Requiez",F541="Labenze",F541="Sunon Mty",F541="Sonara"),(M541*(1-_xlfn.XLOOKUP(F541,Proveedores!A:A,Proveedores!I:I)))*(1+N541),((M541*(1-_xlfn.XLOOKUP(F541,Proveedores!A:A,Proveedores!I:I)))*(1+N541))+U541),"")</f>
        <v/>
      </c>
      <c r="P541" s="1031"/>
      <c r="Q541" s="1133">
        <f>IF(K541&lt;&gt;"Importado",0,IF(P541&gt;0,P541*H541,IFERROR(_xlfn.XLOOKUP(F541,Proveedores!A:A,Proveedores!F:F,0)*H541,0)))</f>
        <v>0</v>
      </c>
      <c r="R541" s="1134" t="e">
        <f t="shared" ref="R541:R572" si="408">O541*H541</f>
        <v>#VALUE!</v>
      </c>
      <c r="S541" s="743"/>
      <c r="T541" s="1034" t="e">
        <f t="shared" si="395"/>
        <v>#N/A</v>
      </c>
      <c r="U541" s="1034" t="e">
        <f t="shared" ref="U541:U572" si="409">X541/V541</f>
        <v>#N/A</v>
      </c>
      <c r="V541" s="1165" t="e">
        <f t="shared" si="396"/>
        <v>#N/A</v>
      </c>
      <c r="W541" s="1034" t="e">
        <f t="shared" ref="W541:W572" si="410">T541*V541</f>
        <v>#N/A</v>
      </c>
      <c r="X541" s="1034" t="b">
        <f t="shared" ref="X541:X572" si="411">IF(S541="Occidente",W541,IF(S541="Norte",W541*1.5,IF(S541="Centro",W541*1.2,IF(S541="Sur",W541*1.7))))</f>
        <v>0</v>
      </c>
      <c r="Y541" s="1034">
        <f t="shared" ref="Y541:Y572" si="412">ROUNDUP(IF(OR(F541="Offiho",F541="Lauco Sofas",F541="Requiez",F541="Labenze",F541="Sunon Mty",F541="Sonara",F541="Santeco"),J541,IF(K541="Nacional",O541/(1-30%),IF(K541="Importado",O541/(1-40%),IF(OR(F541="Lumbro",F541="Idelika"),O541/(1-20%))))),0)</f>
        <v>0</v>
      </c>
      <c r="Z541" s="1034">
        <f t="shared" ref="Z541:Z572" si="413">ROUNDUP(IF(OR(F541="Offiho",F541="Lauco Sofas",F541="Requiez",F541="Labenze",F541="Sunon Mty",F541="Sonara",F541="Sonara"),Y541,IF($P$10="MIXTO",IF(K541="Nacional",Y541/(1-50%),Y541/(1-50%)),IF($P$10="IMPORTADO",Y541/(1-50%),IF($P$10="NACIONAL",Y541/(1-20%),Y541/(1-20%))))),0)</f>
        <v>0</v>
      </c>
      <c r="AA541" s="1034">
        <f t="shared" si="397"/>
        <v>0</v>
      </c>
      <c r="AB541" s="1034">
        <f t="shared" si="398"/>
        <v>0</v>
      </c>
      <c r="AC541" s="1033">
        <f t="shared" ref="AC541:AC572" si="414">IF($P$10="IMPORTADO",50%,IF($P$10="NACIONAL",20%,IF($P$10="MIXTO",50%,0%)))</f>
        <v>0</v>
      </c>
      <c r="AD541" s="1266">
        <f t="shared" si="399"/>
        <v>0</v>
      </c>
      <c r="AE541" s="1093">
        <f t="shared" ref="AE541:AE572" si="415">IFERROR(AA541*AD541,0)</f>
        <v>0</v>
      </c>
      <c r="AF541" s="1093">
        <f t="shared" ref="AF541:AF572" si="416">IF($E$5&gt;$E$6,"ERROR",AA541-AE541)</f>
        <v>0</v>
      </c>
      <c r="AG541" s="1093">
        <f t="shared" si="400"/>
        <v>0</v>
      </c>
      <c r="AH541" s="1033" t="e">
        <f t="shared" si="401"/>
        <v>#DIV/0!</v>
      </c>
      <c r="AI541" s="1091">
        <f t="shared" si="402"/>
        <v>0</v>
      </c>
      <c r="AJ541" s="1094">
        <f t="shared" si="403"/>
        <v>0</v>
      </c>
      <c r="AK541" s="1053" t="str">
        <f t="shared" si="404"/>
        <v/>
      </c>
      <c r="AL541" s="1053"/>
      <c r="AM541" s="1290">
        <f>_xlfn.XLOOKUP(F541,Proveedores!A:A,Proveedores!G:G)</f>
        <v>0</v>
      </c>
      <c r="AN541" s="1095" t="str">
        <f t="shared" ref="AN541:AN572" si="417">IF(AK541&lt;AM541,"ERROR","OK")</f>
        <v>OK</v>
      </c>
    </row>
    <row r="542" spans="1:40" ht="15.95">
      <c r="A542" s="1090" t="b">
        <f t="shared" si="392"/>
        <v>1</v>
      </c>
      <c r="B542" s="1091" t="b">
        <f t="shared" si="405"/>
        <v>1</v>
      </c>
      <c r="C542" s="1092" t="str">
        <f t="shared" si="406"/>
        <v>Dólares</v>
      </c>
      <c r="D542" s="13"/>
      <c r="E542" s="743"/>
      <c r="F542" s="17"/>
      <c r="G542" s="17" t="str">
        <f t="shared" si="393"/>
        <v xml:space="preserve"> </v>
      </c>
      <c r="H542" s="12">
        <v>0</v>
      </c>
      <c r="I542" s="16" t="str">
        <f>IFERROR(VLOOKUP(G542,Proveedores!B:C,2,0)," ")</f>
        <v xml:space="preserve"> </v>
      </c>
      <c r="J542" s="745">
        <v>0</v>
      </c>
      <c r="K542" s="745" t="str">
        <f t="shared" si="394"/>
        <v>Not Found</v>
      </c>
      <c r="L542" s="16">
        <f>IF(K542="Importado",Fletes!$B$66,0%)</f>
        <v>0</v>
      </c>
      <c r="M542" s="745">
        <f t="shared" si="407"/>
        <v>0</v>
      </c>
      <c r="N542" s="16">
        <f>IF(K542&lt;&gt;"Importado",0%,IF(Fletes!$B$67&lt;10,15%,IF(Fletes!$B$67&lt;20,10%,5%)))</f>
        <v>0</v>
      </c>
      <c r="O542" s="745" t="str">
        <f>IFERROR(IF(OR(F542="Offiho",F542="Lauco Sofas",F542="Requiez",F542="Labenze",F542="Sunon Mty",F542="Sonara"),(M542*(1-_xlfn.XLOOKUP(F542,Proveedores!A:A,Proveedores!I:I)))*(1+N542),((M542*(1-_xlfn.XLOOKUP(F542,Proveedores!A:A,Proveedores!I:I)))*(1+N542))+U542),"")</f>
        <v/>
      </c>
      <c r="P542" s="1031"/>
      <c r="Q542" s="1133">
        <f>IF(K542&lt;&gt;"Importado",0,IF(P542&gt;0,P542*H542,IFERROR(_xlfn.XLOOKUP(F542,Proveedores!A:A,Proveedores!F:F,0)*H542,0)))</f>
        <v>0</v>
      </c>
      <c r="R542" s="1134" t="e">
        <f t="shared" si="408"/>
        <v>#VALUE!</v>
      </c>
      <c r="S542" s="743"/>
      <c r="T542" s="1034" t="e">
        <f t="shared" si="395"/>
        <v>#N/A</v>
      </c>
      <c r="U542" s="1034" t="e">
        <f t="shared" si="409"/>
        <v>#N/A</v>
      </c>
      <c r="V542" s="1165" t="e">
        <f t="shared" si="396"/>
        <v>#N/A</v>
      </c>
      <c r="W542" s="1034" t="e">
        <f t="shared" si="410"/>
        <v>#N/A</v>
      </c>
      <c r="X542" s="1034" t="b">
        <f t="shared" si="411"/>
        <v>0</v>
      </c>
      <c r="Y542" s="1034">
        <f t="shared" si="412"/>
        <v>0</v>
      </c>
      <c r="Z542" s="1034">
        <f t="shared" si="413"/>
        <v>0</v>
      </c>
      <c r="AA542" s="1034">
        <f t="shared" si="397"/>
        <v>0</v>
      </c>
      <c r="AB542" s="1034">
        <f t="shared" si="398"/>
        <v>0</v>
      </c>
      <c r="AC542" s="1033">
        <f t="shared" si="414"/>
        <v>0</v>
      </c>
      <c r="AD542" s="1266">
        <f t="shared" si="399"/>
        <v>0</v>
      </c>
      <c r="AE542" s="1093">
        <f t="shared" si="415"/>
        <v>0</v>
      </c>
      <c r="AF542" s="1093">
        <f t="shared" si="416"/>
        <v>0</v>
      </c>
      <c r="AG542" s="1093">
        <f t="shared" si="400"/>
        <v>0</v>
      </c>
      <c r="AH542" s="1033" t="e">
        <f t="shared" si="401"/>
        <v>#DIV/0!</v>
      </c>
      <c r="AI542" s="1091">
        <f t="shared" si="402"/>
        <v>0</v>
      </c>
      <c r="AJ542" s="1094">
        <f t="shared" si="403"/>
        <v>0</v>
      </c>
      <c r="AK542" s="1053" t="str">
        <f t="shared" si="404"/>
        <v/>
      </c>
      <c r="AL542" s="1053"/>
      <c r="AM542" s="1290">
        <f>_xlfn.XLOOKUP(F542,Proveedores!A:A,Proveedores!G:G)</f>
        <v>0</v>
      </c>
      <c r="AN542" s="1095" t="str">
        <f t="shared" si="417"/>
        <v>OK</v>
      </c>
    </row>
    <row r="543" spans="1:40" ht="15.95">
      <c r="A543" s="1090" t="b">
        <f t="shared" si="392"/>
        <v>1</v>
      </c>
      <c r="B543" s="1091" t="b">
        <f t="shared" si="405"/>
        <v>1</v>
      </c>
      <c r="C543" s="1092" t="str">
        <f t="shared" si="406"/>
        <v>Dólares</v>
      </c>
      <c r="D543" s="13"/>
      <c r="E543" s="743"/>
      <c r="F543" s="17"/>
      <c r="G543" s="17" t="str">
        <f t="shared" si="393"/>
        <v xml:space="preserve"> </v>
      </c>
      <c r="H543" s="12">
        <v>0</v>
      </c>
      <c r="I543" s="16" t="str">
        <f>IFERROR(VLOOKUP(G543,Proveedores!B:C,2,0)," ")</f>
        <v xml:space="preserve"> </v>
      </c>
      <c r="J543" s="745">
        <v>0</v>
      </c>
      <c r="K543" s="745" t="str">
        <f t="shared" si="394"/>
        <v>Not Found</v>
      </c>
      <c r="L543" s="16">
        <f>IF(K543="Importado",Fletes!$B$66,0%)</f>
        <v>0</v>
      </c>
      <c r="M543" s="745">
        <f t="shared" si="407"/>
        <v>0</v>
      </c>
      <c r="N543" s="16">
        <f>IF(K543&lt;&gt;"Importado",0%,IF(Fletes!$B$67&lt;10,15%,IF(Fletes!$B$67&lt;20,10%,5%)))</f>
        <v>0</v>
      </c>
      <c r="O543" s="745" t="str">
        <f>IFERROR(IF(OR(F543="Offiho",F543="Lauco Sofas",F543="Requiez",F543="Labenze",F543="Sunon Mty",F543="Sonara"),(M543*(1-_xlfn.XLOOKUP(F543,Proveedores!A:A,Proveedores!I:I)))*(1+N543),((M543*(1-_xlfn.XLOOKUP(F543,Proveedores!A:A,Proveedores!I:I)))*(1+N543))+U543),"")</f>
        <v/>
      </c>
      <c r="P543" s="1031"/>
      <c r="Q543" s="1133">
        <f>IF(K543&lt;&gt;"Importado",0,IF(P543&gt;0,P543*H543,IFERROR(_xlfn.XLOOKUP(F543,Proveedores!A:A,Proveedores!F:F,0)*H543,0)))</f>
        <v>0</v>
      </c>
      <c r="R543" s="1134" t="e">
        <f t="shared" si="408"/>
        <v>#VALUE!</v>
      </c>
      <c r="S543" s="743"/>
      <c r="T543" s="1034" t="e">
        <f t="shared" si="395"/>
        <v>#N/A</v>
      </c>
      <c r="U543" s="1034" t="e">
        <f t="shared" si="409"/>
        <v>#N/A</v>
      </c>
      <c r="V543" s="1165" t="e">
        <f t="shared" si="396"/>
        <v>#N/A</v>
      </c>
      <c r="W543" s="1034" t="e">
        <f t="shared" si="410"/>
        <v>#N/A</v>
      </c>
      <c r="X543" s="1034" t="b">
        <f t="shared" si="411"/>
        <v>0</v>
      </c>
      <c r="Y543" s="1034">
        <f t="shared" si="412"/>
        <v>0</v>
      </c>
      <c r="Z543" s="1034">
        <f t="shared" si="413"/>
        <v>0</v>
      </c>
      <c r="AA543" s="1034">
        <f t="shared" si="397"/>
        <v>0</v>
      </c>
      <c r="AB543" s="1034">
        <f t="shared" si="398"/>
        <v>0</v>
      </c>
      <c r="AC543" s="1033">
        <f t="shared" si="414"/>
        <v>0</v>
      </c>
      <c r="AD543" s="1266">
        <f t="shared" si="399"/>
        <v>0</v>
      </c>
      <c r="AE543" s="1093">
        <f t="shared" si="415"/>
        <v>0</v>
      </c>
      <c r="AF543" s="1093">
        <f t="shared" si="416"/>
        <v>0</v>
      </c>
      <c r="AG543" s="1093">
        <f t="shared" si="400"/>
        <v>0</v>
      </c>
      <c r="AH543" s="1033" t="e">
        <f t="shared" si="401"/>
        <v>#DIV/0!</v>
      </c>
      <c r="AI543" s="1091">
        <f t="shared" si="402"/>
        <v>0</v>
      </c>
      <c r="AJ543" s="1094">
        <f t="shared" si="403"/>
        <v>0</v>
      </c>
      <c r="AK543" s="1053" t="str">
        <f t="shared" si="404"/>
        <v/>
      </c>
      <c r="AL543" s="1053"/>
      <c r="AM543" s="1290">
        <f>_xlfn.XLOOKUP(F543,Proveedores!A:A,Proveedores!G:G)</f>
        <v>0</v>
      </c>
      <c r="AN543" s="1095" t="str">
        <f t="shared" si="417"/>
        <v>OK</v>
      </c>
    </row>
    <row r="544" spans="1:40" ht="15.95">
      <c r="A544" s="1090" t="b">
        <f t="shared" si="392"/>
        <v>1</v>
      </c>
      <c r="B544" s="1091" t="b">
        <f t="shared" si="405"/>
        <v>1</v>
      </c>
      <c r="C544" s="1092" t="str">
        <f t="shared" si="406"/>
        <v>Dólares</v>
      </c>
      <c r="D544" s="13"/>
      <c r="E544" s="743"/>
      <c r="F544" s="17"/>
      <c r="G544" s="17" t="str">
        <f t="shared" si="393"/>
        <v xml:space="preserve"> </v>
      </c>
      <c r="H544" s="12">
        <v>0</v>
      </c>
      <c r="I544" s="16" t="str">
        <f>IFERROR(VLOOKUP(G544,Proveedores!B:C,2,0)," ")</f>
        <v xml:space="preserve"> </v>
      </c>
      <c r="J544" s="745">
        <v>0</v>
      </c>
      <c r="K544" s="745" t="str">
        <f t="shared" si="394"/>
        <v>Not Found</v>
      </c>
      <c r="L544" s="16">
        <f>IF(K544="Importado",Fletes!$B$66,0%)</f>
        <v>0</v>
      </c>
      <c r="M544" s="745">
        <f t="shared" si="407"/>
        <v>0</v>
      </c>
      <c r="N544" s="16">
        <f>IF(K544&lt;&gt;"Importado",0%,IF(Fletes!$B$67&lt;10,15%,IF(Fletes!$B$67&lt;20,10%,5%)))</f>
        <v>0</v>
      </c>
      <c r="O544" s="745" t="str">
        <f>IFERROR(IF(OR(F544="Offiho",F544="Lauco Sofas",F544="Requiez",F544="Labenze",F544="Sunon Mty",F544="Sonara"),(M544*(1-_xlfn.XLOOKUP(F544,Proveedores!A:A,Proveedores!I:I)))*(1+N544),((M544*(1-_xlfn.XLOOKUP(F544,Proveedores!A:A,Proveedores!I:I)))*(1+N544))+U544),"")</f>
        <v/>
      </c>
      <c r="P544" s="1031"/>
      <c r="Q544" s="1133">
        <f>IF(K544&lt;&gt;"Importado",0,IF(P544&gt;0,P544*H544,IFERROR(_xlfn.XLOOKUP(F544,Proveedores!A:A,Proveedores!F:F,0)*H544,0)))</f>
        <v>0</v>
      </c>
      <c r="R544" s="1134" t="e">
        <f t="shared" si="408"/>
        <v>#VALUE!</v>
      </c>
      <c r="S544" s="743"/>
      <c r="T544" s="1034" t="e">
        <f t="shared" si="395"/>
        <v>#N/A</v>
      </c>
      <c r="U544" s="1034" t="e">
        <f t="shared" si="409"/>
        <v>#N/A</v>
      </c>
      <c r="V544" s="1165" t="e">
        <f t="shared" si="396"/>
        <v>#N/A</v>
      </c>
      <c r="W544" s="1034" t="e">
        <f t="shared" si="410"/>
        <v>#N/A</v>
      </c>
      <c r="X544" s="1034" t="b">
        <f t="shared" si="411"/>
        <v>0</v>
      </c>
      <c r="Y544" s="1034">
        <f t="shared" si="412"/>
        <v>0</v>
      </c>
      <c r="Z544" s="1034">
        <f t="shared" si="413"/>
        <v>0</v>
      </c>
      <c r="AA544" s="1034">
        <f t="shared" si="397"/>
        <v>0</v>
      </c>
      <c r="AB544" s="1034">
        <f t="shared" si="398"/>
        <v>0</v>
      </c>
      <c r="AC544" s="1033">
        <f t="shared" si="414"/>
        <v>0</v>
      </c>
      <c r="AD544" s="1266">
        <f t="shared" si="399"/>
        <v>0</v>
      </c>
      <c r="AE544" s="1093">
        <f t="shared" si="415"/>
        <v>0</v>
      </c>
      <c r="AF544" s="1093">
        <f t="shared" si="416"/>
        <v>0</v>
      </c>
      <c r="AG544" s="1093">
        <f t="shared" si="400"/>
        <v>0</v>
      </c>
      <c r="AH544" s="1033" t="e">
        <f t="shared" si="401"/>
        <v>#DIV/0!</v>
      </c>
      <c r="AI544" s="1091">
        <f t="shared" si="402"/>
        <v>0</v>
      </c>
      <c r="AJ544" s="1094">
        <f t="shared" si="403"/>
        <v>0</v>
      </c>
      <c r="AK544" s="1053" t="str">
        <f t="shared" si="404"/>
        <v/>
      </c>
      <c r="AL544" s="1053"/>
      <c r="AM544" s="1290">
        <f>_xlfn.XLOOKUP(F544,Proveedores!A:A,Proveedores!G:G)</f>
        <v>0</v>
      </c>
      <c r="AN544" s="1095" t="str">
        <f t="shared" si="417"/>
        <v>OK</v>
      </c>
    </row>
    <row r="545" spans="1:40" ht="15.95">
      <c r="A545" s="1090" t="b">
        <f t="shared" si="392"/>
        <v>1</v>
      </c>
      <c r="B545" s="1091" t="b">
        <f t="shared" si="405"/>
        <v>1</v>
      </c>
      <c r="C545" s="1092" t="str">
        <f t="shared" si="406"/>
        <v>Dólares</v>
      </c>
      <c r="D545" s="13"/>
      <c r="E545" s="743"/>
      <c r="F545" s="17"/>
      <c r="G545" s="17" t="str">
        <f t="shared" si="393"/>
        <v xml:space="preserve"> </v>
      </c>
      <c r="H545" s="12">
        <v>0</v>
      </c>
      <c r="I545" s="16" t="str">
        <f>IFERROR(VLOOKUP(G545,Proveedores!B:C,2,0)," ")</f>
        <v xml:space="preserve"> </v>
      </c>
      <c r="J545" s="745">
        <v>0</v>
      </c>
      <c r="K545" s="745" t="str">
        <f t="shared" si="394"/>
        <v>Not Found</v>
      </c>
      <c r="L545" s="16">
        <f>IF(K545="Importado",Fletes!$B$66,0%)</f>
        <v>0</v>
      </c>
      <c r="M545" s="745">
        <f t="shared" si="407"/>
        <v>0</v>
      </c>
      <c r="N545" s="16">
        <f>IF(K545&lt;&gt;"Importado",0%,IF(Fletes!$B$67&lt;10,15%,IF(Fletes!$B$67&lt;20,10%,5%)))</f>
        <v>0</v>
      </c>
      <c r="O545" s="745" t="str">
        <f>IFERROR(IF(OR(F545="Offiho",F545="Lauco Sofas",F545="Requiez",F545="Labenze",F545="Sunon Mty",F545="Sonara"),(M545*(1-_xlfn.XLOOKUP(F545,Proveedores!A:A,Proveedores!I:I)))*(1+N545),((M545*(1-_xlfn.XLOOKUP(F545,Proveedores!A:A,Proveedores!I:I)))*(1+N545))+U545),"")</f>
        <v/>
      </c>
      <c r="P545" s="1031"/>
      <c r="Q545" s="1133">
        <f>IF(K545&lt;&gt;"Importado",0,IF(P545&gt;0,P545*H545,IFERROR(_xlfn.XLOOKUP(F545,Proveedores!A:A,Proveedores!F:F,0)*H545,0)))</f>
        <v>0</v>
      </c>
      <c r="R545" s="1134" t="e">
        <f t="shared" si="408"/>
        <v>#VALUE!</v>
      </c>
      <c r="S545" s="743"/>
      <c r="T545" s="1034" t="e">
        <f t="shared" si="395"/>
        <v>#N/A</v>
      </c>
      <c r="U545" s="1034" t="e">
        <f t="shared" si="409"/>
        <v>#N/A</v>
      </c>
      <c r="V545" s="1165" t="e">
        <f t="shared" si="396"/>
        <v>#N/A</v>
      </c>
      <c r="W545" s="1034" t="e">
        <f t="shared" si="410"/>
        <v>#N/A</v>
      </c>
      <c r="X545" s="1034" t="b">
        <f t="shared" si="411"/>
        <v>0</v>
      </c>
      <c r="Y545" s="1034">
        <f t="shared" si="412"/>
        <v>0</v>
      </c>
      <c r="Z545" s="1034">
        <f t="shared" si="413"/>
        <v>0</v>
      </c>
      <c r="AA545" s="1034">
        <f t="shared" si="397"/>
        <v>0</v>
      </c>
      <c r="AB545" s="1034">
        <f t="shared" si="398"/>
        <v>0</v>
      </c>
      <c r="AC545" s="1033">
        <f t="shared" si="414"/>
        <v>0</v>
      </c>
      <c r="AD545" s="1266">
        <f t="shared" si="399"/>
        <v>0</v>
      </c>
      <c r="AE545" s="1093">
        <f t="shared" si="415"/>
        <v>0</v>
      </c>
      <c r="AF545" s="1093">
        <f t="shared" si="416"/>
        <v>0</v>
      </c>
      <c r="AG545" s="1093">
        <f t="shared" si="400"/>
        <v>0</v>
      </c>
      <c r="AH545" s="1033" t="e">
        <f t="shared" si="401"/>
        <v>#DIV/0!</v>
      </c>
      <c r="AI545" s="1091">
        <f t="shared" si="402"/>
        <v>0</v>
      </c>
      <c r="AJ545" s="1094">
        <f t="shared" si="403"/>
        <v>0</v>
      </c>
      <c r="AK545" s="1053" t="str">
        <f t="shared" si="404"/>
        <v/>
      </c>
      <c r="AL545" s="1053"/>
      <c r="AM545" s="1290">
        <f>_xlfn.XLOOKUP(F545,Proveedores!A:A,Proveedores!G:G)</f>
        <v>0</v>
      </c>
      <c r="AN545" s="1095" t="str">
        <f t="shared" si="417"/>
        <v>OK</v>
      </c>
    </row>
    <row r="546" spans="1:40" ht="15.95">
      <c r="A546" s="1090" t="b">
        <f t="shared" si="392"/>
        <v>1</v>
      </c>
      <c r="B546" s="1091" t="b">
        <f t="shared" si="405"/>
        <v>1</v>
      </c>
      <c r="C546" s="1092" t="str">
        <f t="shared" si="406"/>
        <v>Dólares</v>
      </c>
      <c r="D546" s="11"/>
      <c r="E546" s="743"/>
      <c r="F546" s="17"/>
      <c r="G546" s="17" t="str">
        <f t="shared" si="393"/>
        <v xml:space="preserve"> </v>
      </c>
      <c r="H546" s="12">
        <v>0</v>
      </c>
      <c r="I546" s="16" t="str">
        <f>IFERROR(VLOOKUP(G546,Proveedores!B:C,2,0)," ")</f>
        <v xml:space="preserve"> </v>
      </c>
      <c r="J546" s="745">
        <v>0</v>
      </c>
      <c r="K546" s="745" t="str">
        <f t="shared" si="394"/>
        <v>Not Found</v>
      </c>
      <c r="L546" s="16">
        <f>IF(K546="Importado",Fletes!$B$66,0%)</f>
        <v>0</v>
      </c>
      <c r="M546" s="745">
        <f t="shared" si="407"/>
        <v>0</v>
      </c>
      <c r="N546" s="16">
        <f>IF(K546&lt;&gt;"Importado",0%,IF(Fletes!$B$67&lt;10,15%,IF(Fletes!$B$67&lt;20,10%,5%)))</f>
        <v>0</v>
      </c>
      <c r="O546" s="745" t="str">
        <f>IFERROR(IF(OR(F546="Offiho",F546="Lauco Sofas",F546="Requiez",F546="Labenze",F546="Sunon Mty",F546="Sonara"),(M546*(1-_xlfn.XLOOKUP(F546,Proveedores!A:A,Proveedores!I:I)))*(1+N546),((M546*(1-_xlfn.XLOOKUP(F546,Proveedores!A:A,Proveedores!I:I)))*(1+N546))+U546),"")</f>
        <v/>
      </c>
      <c r="P546" s="1031"/>
      <c r="Q546" s="1133">
        <f>IF(K546&lt;&gt;"Importado",0,IF(P546&gt;0,P546*H546,IFERROR(_xlfn.XLOOKUP(F546,Proveedores!A:A,Proveedores!F:F,0)*H546,0)))</f>
        <v>0</v>
      </c>
      <c r="R546" s="1134" t="e">
        <f t="shared" si="408"/>
        <v>#VALUE!</v>
      </c>
      <c r="S546" s="743"/>
      <c r="T546" s="1034" t="e">
        <f t="shared" si="395"/>
        <v>#N/A</v>
      </c>
      <c r="U546" s="1034" t="e">
        <f t="shared" si="409"/>
        <v>#N/A</v>
      </c>
      <c r="V546" s="1165" t="e">
        <f t="shared" si="396"/>
        <v>#N/A</v>
      </c>
      <c r="W546" s="1034" t="e">
        <f t="shared" si="410"/>
        <v>#N/A</v>
      </c>
      <c r="X546" s="1034" t="b">
        <f t="shared" si="411"/>
        <v>0</v>
      </c>
      <c r="Y546" s="1034">
        <f t="shared" si="412"/>
        <v>0</v>
      </c>
      <c r="Z546" s="1034">
        <f t="shared" si="413"/>
        <v>0</v>
      </c>
      <c r="AA546" s="1034">
        <f t="shared" si="397"/>
        <v>0</v>
      </c>
      <c r="AB546" s="1034">
        <f t="shared" si="398"/>
        <v>0</v>
      </c>
      <c r="AC546" s="1033">
        <f t="shared" si="414"/>
        <v>0</v>
      </c>
      <c r="AD546" s="1266">
        <f t="shared" si="399"/>
        <v>0</v>
      </c>
      <c r="AE546" s="1093">
        <f t="shared" si="415"/>
        <v>0</v>
      </c>
      <c r="AF546" s="1093">
        <f t="shared" si="416"/>
        <v>0</v>
      </c>
      <c r="AG546" s="1093">
        <f t="shared" si="400"/>
        <v>0</v>
      </c>
      <c r="AH546" s="1033" t="e">
        <f t="shared" si="401"/>
        <v>#DIV/0!</v>
      </c>
      <c r="AI546" s="1091">
        <f t="shared" si="402"/>
        <v>0</v>
      </c>
      <c r="AJ546" s="1094">
        <f t="shared" si="403"/>
        <v>0</v>
      </c>
      <c r="AK546" s="1053" t="str">
        <f t="shared" si="404"/>
        <v/>
      </c>
      <c r="AL546" s="1053"/>
      <c r="AM546" s="1290">
        <f>_xlfn.XLOOKUP(F546,Proveedores!A:A,Proveedores!G:G)</f>
        <v>0</v>
      </c>
      <c r="AN546" s="1095" t="str">
        <f t="shared" si="417"/>
        <v>OK</v>
      </c>
    </row>
    <row r="547" spans="1:40" ht="15.95">
      <c r="A547" s="1090" t="b">
        <f t="shared" si="392"/>
        <v>1</v>
      </c>
      <c r="B547" s="1091" t="b">
        <f t="shared" si="405"/>
        <v>1</v>
      </c>
      <c r="C547" s="1092" t="str">
        <f t="shared" si="406"/>
        <v>Dólares</v>
      </c>
      <c r="D547" s="11"/>
      <c r="E547" s="743"/>
      <c r="F547" s="17"/>
      <c r="G547" s="17" t="str">
        <f t="shared" si="393"/>
        <v xml:space="preserve"> </v>
      </c>
      <c r="H547" s="12">
        <v>0</v>
      </c>
      <c r="I547" s="16" t="str">
        <f>IFERROR(VLOOKUP(G547,Proveedores!B:C,2,0)," ")</f>
        <v xml:space="preserve"> </v>
      </c>
      <c r="J547" s="745">
        <v>0</v>
      </c>
      <c r="K547" s="745" t="str">
        <f t="shared" si="394"/>
        <v>Not Found</v>
      </c>
      <c r="L547" s="16">
        <f>IF(K547="Importado",Fletes!$B$66,0%)</f>
        <v>0</v>
      </c>
      <c r="M547" s="745">
        <f t="shared" si="407"/>
        <v>0</v>
      </c>
      <c r="N547" s="16">
        <f>IF(K547&lt;&gt;"Importado",0%,IF(Fletes!$B$67&lt;10,15%,IF(Fletes!$B$67&lt;20,10%,5%)))</f>
        <v>0</v>
      </c>
      <c r="O547" s="745" t="str">
        <f>IFERROR(IF(OR(F547="Offiho",F547="Lauco Sofas",F547="Requiez",F547="Labenze",F547="Sunon Mty",F547="Sonara"),(M547*(1-_xlfn.XLOOKUP(F547,Proveedores!A:A,Proveedores!I:I)))*(1+N547),((M547*(1-_xlfn.XLOOKUP(F547,Proveedores!A:A,Proveedores!I:I)))*(1+N547))+U547),"")</f>
        <v/>
      </c>
      <c r="P547" s="1031"/>
      <c r="Q547" s="1133">
        <f>IF(K547&lt;&gt;"Importado",0,IF(P547&gt;0,P547*H547,IFERROR(_xlfn.XLOOKUP(F547,Proveedores!A:A,Proveedores!F:F,0)*H547,0)))</f>
        <v>0</v>
      </c>
      <c r="R547" s="1134" t="e">
        <f t="shared" si="408"/>
        <v>#VALUE!</v>
      </c>
      <c r="S547" s="743"/>
      <c r="T547" s="1034" t="e">
        <f t="shared" si="395"/>
        <v>#N/A</v>
      </c>
      <c r="U547" s="1034" t="e">
        <f t="shared" si="409"/>
        <v>#N/A</v>
      </c>
      <c r="V547" s="1165" t="e">
        <f t="shared" si="396"/>
        <v>#N/A</v>
      </c>
      <c r="W547" s="1034" t="e">
        <f t="shared" si="410"/>
        <v>#N/A</v>
      </c>
      <c r="X547" s="1034" t="b">
        <f t="shared" si="411"/>
        <v>0</v>
      </c>
      <c r="Y547" s="1034">
        <f t="shared" si="412"/>
        <v>0</v>
      </c>
      <c r="Z547" s="1034">
        <f t="shared" si="413"/>
        <v>0</v>
      </c>
      <c r="AA547" s="1034">
        <f t="shared" si="397"/>
        <v>0</v>
      </c>
      <c r="AB547" s="1034">
        <f t="shared" si="398"/>
        <v>0</v>
      </c>
      <c r="AC547" s="1033">
        <f t="shared" si="414"/>
        <v>0</v>
      </c>
      <c r="AD547" s="1266">
        <f t="shared" si="399"/>
        <v>0</v>
      </c>
      <c r="AE547" s="1093">
        <f t="shared" si="415"/>
        <v>0</v>
      </c>
      <c r="AF547" s="1093">
        <f t="shared" si="416"/>
        <v>0</v>
      </c>
      <c r="AG547" s="1093">
        <f t="shared" si="400"/>
        <v>0</v>
      </c>
      <c r="AH547" s="1033" t="e">
        <f t="shared" si="401"/>
        <v>#DIV/0!</v>
      </c>
      <c r="AI547" s="1091">
        <f t="shared" si="402"/>
        <v>0</v>
      </c>
      <c r="AJ547" s="1094">
        <f t="shared" si="403"/>
        <v>0</v>
      </c>
      <c r="AK547" s="1053" t="str">
        <f t="shared" si="404"/>
        <v/>
      </c>
      <c r="AL547" s="1053"/>
      <c r="AM547" s="1290">
        <f>_xlfn.XLOOKUP(F547,Proveedores!A:A,Proveedores!G:G)</f>
        <v>0</v>
      </c>
      <c r="AN547" s="1095" t="str">
        <f t="shared" si="417"/>
        <v>OK</v>
      </c>
    </row>
    <row r="548" spans="1:40" ht="15.95">
      <c r="A548" s="1090" t="b">
        <f t="shared" si="392"/>
        <v>1</v>
      </c>
      <c r="B548" s="1091" t="b">
        <f t="shared" si="405"/>
        <v>1</v>
      </c>
      <c r="C548" s="1092" t="str">
        <f t="shared" si="406"/>
        <v>Dólares</v>
      </c>
      <c r="D548" s="11"/>
      <c r="E548" s="743"/>
      <c r="F548" s="17"/>
      <c r="G548" s="17" t="str">
        <f t="shared" si="393"/>
        <v xml:space="preserve"> </v>
      </c>
      <c r="H548" s="12">
        <v>0</v>
      </c>
      <c r="I548" s="16" t="str">
        <f>IFERROR(VLOOKUP(G548,Proveedores!B:C,2,0)," ")</f>
        <v xml:space="preserve"> </v>
      </c>
      <c r="J548" s="745">
        <v>0</v>
      </c>
      <c r="K548" s="745" t="str">
        <f t="shared" si="394"/>
        <v>Not Found</v>
      </c>
      <c r="L548" s="16">
        <f>IF(K548="Importado",Fletes!$B$66,0%)</f>
        <v>0</v>
      </c>
      <c r="M548" s="745">
        <f t="shared" si="407"/>
        <v>0</v>
      </c>
      <c r="N548" s="16">
        <f>IF(K548&lt;&gt;"Importado",0%,IF(Fletes!$B$67&lt;10,15%,IF(Fletes!$B$67&lt;20,10%,5%)))</f>
        <v>0</v>
      </c>
      <c r="O548" s="745" t="str">
        <f>IFERROR(IF(OR(F548="Offiho",F548="Lauco Sofas",F548="Requiez",F548="Labenze",F548="Sunon Mty",F548="Sonara"),(M548*(1-_xlfn.XLOOKUP(F548,Proveedores!A:A,Proveedores!I:I)))*(1+N548),((M548*(1-_xlfn.XLOOKUP(F548,Proveedores!A:A,Proveedores!I:I)))*(1+N548))+U548),"")</f>
        <v/>
      </c>
      <c r="P548" s="1031"/>
      <c r="Q548" s="1133">
        <f>IF(K548&lt;&gt;"Importado",0,IF(P548&gt;0,P548*H548,IFERROR(_xlfn.XLOOKUP(F548,Proveedores!A:A,Proveedores!F:F,0)*H548,0)))</f>
        <v>0</v>
      </c>
      <c r="R548" s="1134" t="e">
        <f t="shared" si="408"/>
        <v>#VALUE!</v>
      </c>
      <c r="S548" s="743"/>
      <c r="T548" s="1034" t="e">
        <f t="shared" si="395"/>
        <v>#N/A</v>
      </c>
      <c r="U548" s="1034" t="e">
        <f t="shared" si="409"/>
        <v>#N/A</v>
      </c>
      <c r="V548" s="1165" t="e">
        <f t="shared" si="396"/>
        <v>#N/A</v>
      </c>
      <c r="W548" s="1034" t="e">
        <f t="shared" si="410"/>
        <v>#N/A</v>
      </c>
      <c r="X548" s="1034" t="b">
        <f t="shared" si="411"/>
        <v>0</v>
      </c>
      <c r="Y548" s="1034">
        <f t="shared" si="412"/>
        <v>0</v>
      </c>
      <c r="Z548" s="1034">
        <f t="shared" si="413"/>
        <v>0</v>
      </c>
      <c r="AA548" s="1034">
        <f t="shared" si="397"/>
        <v>0</v>
      </c>
      <c r="AB548" s="1034">
        <f t="shared" si="398"/>
        <v>0</v>
      </c>
      <c r="AC548" s="1033">
        <f t="shared" si="414"/>
        <v>0</v>
      </c>
      <c r="AD548" s="1266">
        <f t="shared" si="399"/>
        <v>0</v>
      </c>
      <c r="AE548" s="1093">
        <f t="shared" si="415"/>
        <v>0</v>
      </c>
      <c r="AF548" s="1093">
        <f t="shared" si="416"/>
        <v>0</v>
      </c>
      <c r="AG548" s="1093">
        <f t="shared" si="400"/>
        <v>0</v>
      </c>
      <c r="AH548" s="1033" t="e">
        <f t="shared" si="401"/>
        <v>#DIV/0!</v>
      </c>
      <c r="AI548" s="1091">
        <f t="shared" si="402"/>
        <v>0</v>
      </c>
      <c r="AJ548" s="1094">
        <f t="shared" si="403"/>
        <v>0</v>
      </c>
      <c r="AK548" s="1053" t="str">
        <f t="shared" si="404"/>
        <v/>
      </c>
      <c r="AL548" s="1053"/>
      <c r="AM548" s="1290">
        <f>_xlfn.XLOOKUP(F548,Proveedores!A:A,Proveedores!G:G)</f>
        <v>0</v>
      </c>
      <c r="AN548" s="1095" t="str">
        <f t="shared" si="417"/>
        <v>OK</v>
      </c>
    </row>
    <row r="549" spans="1:40" ht="15.95">
      <c r="A549" s="1090" t="b">
        <f t="shared" si="392"/>
        <v>1</v>
      </c>
      <c r="B549" s="1091" t="b">
        <f t="shared" si="405"/>
        <v>1</v>
      </c>
      <c r="C549" s="1092" t="str">
        <f t="shared" si="406"/>
        <v>Dólares</v>
      </c>
      <c r="D549" s="11"/>
      <c r="E549" s="743"/>
      <c r="F549" s="17"/>
      <c r="G549" s="17" t="str">
        <f t="shared" si="393"/>
        <v xml:space="preserve"> </v>
      </c>
      <c r="H549" s="12">
        <v>0</v>
      </c>
      <c r="I549" s="16" t="str">
        <f>IFERROR(VLOOKUP(G549,Proveedores!B:C,2,0)," ")</f>
        <v xml:space="preserve"> </v>
      </c>
      <c r="J549" s="745">
        <v>0</v>
      </c>
      <c r="K549" s="745" t="str">
        <f t="shared" si="394"/>
        <v>Not Found</v>
      </c>
      <c r="L549" s="16">
        <f>IF(K549="Importado",Fletes!$B$66,0%)</f>
        <v>0</v>
      </c>
      <c r="M549" s="745">
        <f t="shared" si="407"/>
        <v>0</v>
      </c>
      <c r="N549" s="16">
        <f>IF(K549&lt;&gt;"Importado",0%,IF(Fletes!$B$67&lt;10,15%,IF(Fletes!$B$67&lt;20,10%,5%)))</f>
        <v>0</v>
      </c>
      <c r="O549" s="745" t="str">
        <f>IFERROR(IF(OR(F549="Offiho",F549="Lauco Sofas",F549="Requiez",F549="Labenze",F549="Sunon Mty",F549="Sonara"),(M549*(1-_xlfn.XLOOKUP(F549,Proveedores!A:A,Proveedores!I:I)))*(1+N549),((M549*(1-_xlfn.XLOOKUP(F549,Proveedores!A:A,Proveedores!I:I)))*(1+N549))+U549),"")</f>
        <v/>
      </c>
      <c r="P549" s="1031"/>
      <c r="Q549" s="1133">
        <f>IF(K549&lt;&gt;"Importado",0,IF(P549&gt;0,P549*H549,IFERROR(_xlfn.XLOOKUP(F549,Proveedores!A:A,Proveedores!F:F,0)*H549,0)))</f>
        <v>0</v>
      </c>
      <c r="R549" s="1134" t="e">
        <f t="shared" si="408"/>
        <v>#VALUE!</v>
      </c>
      <c r="S549" s="743"/>
      <c r="T549" s="1034" t="e">
        <f t="shared" si="395"/>
        <v>#N/A</v>
      </c>
      <c r="U549" s="1034" t="e">
        <f t="shared" si="409"/>
        <v>#N/A</v>
      </c>
      <c r="V549" s="1165" t="e">
        <f t="shared" si="396"/>
        <v>#N/A</v>
      </c>
      <c r="W549" s="1034" t="e">
        <f t="shared" si="410"/>
        <v>#N/A</v>
      </c>
      <c r="X549" s="1034" t="b">
        <f t="shared" si="411"/>
        <v>0</v>
      </c>
      <c r="Y549" s="1034">
        <f t="shared" si="412"/>
        <v>0</v>
      </c>
      <c r="Z549" s="1034">
        <f t="shared" si="413"/>
        <v>0</v>
      </c>
      <c r="AA549" s="1034">
        <f t="shared" si="397"/>
        <v>0</v>
      </c>
      <c r="AB549" s="1034">
        <f t="shared" si="398"/>
        <v>0</v>
      </c>
      <c r="AC549" s="1033">
        <f t="shared" si="414"/>
        <v>0</v>
      </c>
      <c r="AD549" s="1266">
        <f t="shared" si="399"/>
        <v>0</v>
      </c>
      <c r="AE549" s="1093">
        <f t="shared" si="415"/>
        <v>0</v>
      </c>
      <c r="AF549" s="1093">
        <f t="shared" si="416"/>
        <v>0</v>
      </c>
      <c r="AG549" s="1093">
        <f t="shared" si="400"/>
        <v>0</v>
      </c>
      <c r="AH549" s="1033" t="e">
        <f t="shared" si="401"/>
        <v>#DIV/0!</v>
      </c>
      <c r="AI549" s="1091">
        <f t="shared" si="402"/>
        <v>0</v>
      </c>
      <c r="AJ549" s="1094">
        <f t="shared" si="403"/>
        <v>0</v>
      </c>
      <c r="AK549" s="1053" t="str">
        <f t="shared" si="404"/>
        <v/>
      </c>
      <c r="AL549" s="1053"/>
      <c r="AM549" s="1290">
        <f>_xlfn.XLOOKUP(F549,Proveedores!A:A,Proveedores!G:G)</f>
        <v>0</v>
      </c>
      <c r="AN549" s="1095" t="str">
        <f t="shared" si="417"/>
        <v>OK</v>
      </c>
    </row>
    <row r="550" spans="1:40" ht="15.95">
      <c r="A550" s="1090" t="b">
        <f t="shared" si="392"/>
        <v>1</v>
      </c>
      <c r="B550" s="1091" t="b">
        <f t="shared" si="405"/>
        <v>1</v>
      </c>
      <c r="C550" s="1092" t="str">
        <f t="shared" si="406"/>
        <v>Dólares</v>
      </c>
      <c r="D550" s="13"/>
      <c r="E550" s="743"/>
      <c r="F550" s="17"/>
      <c r="G550" s="17" t="str">
        <f t="shared" si="393"/>
        <v xml:space="preserve"> </v>
      </c>
      <c r="H550" s="12">
        <v>0</v>
      </c>
      <c r="I550" s="16" t="str">
        <f>IFERROR(VLOOKUP(G550,Proveedores!B:C,2,0)," ")</f>
        <v xml:space="preserve"> </v>
      </c>
      <c r="J550" s="745">
        <v>0</v>
      </c>
      <c r="K550" s="745" t="str">
        <f t="shared" si="394"/>
        <v>Not Found</v>
      </c>
      <c r="L550" s="16">
        <f>IF(K550="Importado",Fletes!$B$66,0%)</f>
        <v>0</v>
      </c>
      <c r="M550" s="745">
        <f t="shared" si="407"/>
        <v>0</v>
      </c>
      <c r="N550" s="16">
        <f>IF(K550&lt;&gt;"Importado",0%,IF(Fletes!$B$67&lt;10,15%,IF(Fletes!$B$67&lt;20,10%,5%)))</f>
        <v>0</v>
      </c>
      <c r="O550" s="745" t="str">
        <f>IFERROR(IF(OR(F550="Offiho",F550="Lauco Sofas",F550="Requiez",F550="Labenze",F550="Sunon Mty",F550="Sonara"),(M550*(1-_xlfn.XLOOKUP(F550,Proveedores!A:A,Proveedores!I:I)))*(1+N550),((M550*(1-_xlfn.XLOOKUP(F550,Proveedores!A:A,Proveedores!I:I)))*(1+N550))+U550),"")</f>
        <v/>
      </c>
      <c r="P550" s="1031"/>
      <c r="Q550" s="1133">
        <f>IF(K550&lt;&gt;"Importado",0,IF(P550&gt;0,P550*H550,IFERROR(_xlfn.XLOOKUP(F550,Proveedores!A:A,Proveedores!F:F,0)*H550,0)))</f>
        <v>0</v>
      </c>
      <c r="R550" s="1134" t="e">
        <f t="shared" si="408"/>
        <v>#VALUE!</v>
      </c>
      <c r="S550" s="743"/>
      <c r="T550" s="1034" t="e">
        <f t="shared" si="395"/>
        <v>#N/A</v>
      </c>
      <c r="U550" s="1034" t="e">
        <f t="shared" si="409"/>
        <v>#N/A</v>
      </c>
      <c r="V550" s="1165" t="e">
        <f t="shared" si="396"/>
        <v>#N/A</v>
      </c>
      <c r="W550" s="1034" t="e">
        <f t="shared" si="410"/>
        <v>#N/A</v>
      </c>
      <c r="X550" s="1034" t="b">
        <f t="shared" si="411"/>
        <v>0</v>
      </c>
      <c r="Y550" s="1034">
        <f t="shared" si="412"/>
        <v>0</v>
      </c>
      <c r="Z550" s="1034">
        <f t="shared" si="413"/>
        <v>0</v>
      </c>
      <c r="AA550" s="1034">
        <f t="shared" si="397"/>
        <v>0</v>
      </c>
      <c r="AB550" s="1034">
        <f t="shared" si="398"/>
        <v>0</v>
      </c>
      <c r="AC550" s="1033">
        <f t="shared" si="414"/>
        <v>0</v>
      </c>
      <c r="AD550" s="1266">
        <f t="shared" si="399"/>
        <v>0</v>
      </c>
      <c r="AE550" s="1093">
        <f t="shared" si="415"/>
        <v>0</v>
      </c>
      <c r="AF550" s="1093">
        <f t="shared" si="416"/>
        <v>0</v>
      </c>
      <c r="AG550" s="1093">
        <f t="shared" si="400"/>
        <v>0</v>
      </c>
      <c r="AH550" s="1033" t="e">
        <f t="shared" si="401"/>
        <v>#DIV/0!</v>
      </c>
      <c r="AI550" s="1091">
        <f t="shared" si="402"/>
        <v>0</v>
      </c>
      <c r="AJ550" s="1094">
        <f t="shared" si="403"/>
        <v>0</v>
      </c>
      <c r="AK550" s="1053" t="str">
        <f t="shared" si="404"/>
        <v/>
      </c>
      <c r="AL550" s="1053"/>
      <c r="AM550" s="1290">
        <f>_xlfn.XLOOKUP(F550,Proveedores!A:A,Proveedores!G:G)</f>
        <v>0</v>
      </c>
      <c r="AN550" s="1095" t="str">
        <f t="shared" si="417"/>
        <v>OK</v>
      </c>
    </row>
    <row r="551" spans="1:40" ht="15.95">
      <c r="A551" s="1090" t="b">
        <f t="shared" si="392"/>
        <v>1</v>
      </c>
      <c r="B551" s="1091" t="b">
        <f t="shared" si="405"/>
        <v>1</v>
      </c>
      <c r="C551" s="1092" t="str">
        <f t="shared" si="406"/>
        <v>Dólares</v>
      </c>
      <c r="D551" s="13"/>
      <c r="E551" s="743"/>
      <c r="F551" s="17"/>
      <c r="G551" s="17" t="str">
        <f t="shared" si="393"/>
        <v xml:space="preserve"> </v>
      </c>
      <c r="H551" s="12">
        <v>0</v>
      </c>
      <c r="I551" s="16" t="str">
        <f>IFERROR(VLOOKUP(G551,Proveedores!B:C,2,0)," ")</f>
        <v xml:space="preserve"> </v>
      </c>
      <c r="J551" s="745">
        <v>0</v>
      </c>
      <c r="K551" s="745" t="str">
        <f t="shared" si="394"/>
        <v>Not Found</v>
      </c>
      <c r="L551" s="16">
        <f>IF(K551="Importado",Fletes!$B$66,0%)</f>
        <v>0</v>
      </c>
      <c r="M551" s="745">
        <f t="shared" si="407"/>
        <v>0</v>
      </c>
      <c r="N551" s="16">
        <f>IF(K551&lt;&gt;"Importado",0%,IF(Fletes!$B$67&lt;10,15%,IF(Fletes!$B$67&lt;20,10%,5%)))</f>
        <v>0</v>
      </c>
      <c r="O551" s="745" t="str">
        <f>IFERROR(IF(OR(F551="Offiho",F551="Lauco Sofas",F551="Requiez",F551="Labenze",F551="Sunon Mty",F551="Sonara"),(M551*(1-_xlfn.XLOOKUP(F551,Proveedores!A:A,Proveedores!I:I)))*(1+N551),((M551*(1-_xlfn.XLOOKUP(F551,Proveedores!A:A,Proveedores!I:I)))*(1+N551))+U551),"")</f>
        <v/>
      </c>
      <c r="P551" s="1031"/>
      <c r="Q551" s="1133">
        <f>IF(K551&lt;&gt;"Importado",0,IF(P551&gt;0,P551*H551,IFERROR(_xlfn.XLOOKUP(F551,Proveedores!A:A,Proveedores!F:F,0)*H551,0)))</f>
        <v>0</v>
      </c>
      <c r="R551" s="1134" t="e">
        <f t="shared" si="408"/>
        <v>#VALUE!</v>
      </c>
      <c r="S551" s="743"/>
      <c r="T551" s="1034" t="e">
        <f t="shared" si="395"/>
        <v>#N/A</v>
      </c>
      <c r="U551" s="1034" t="e">
        <f t="shared" si="409"/>
        <v>#N/A</v>
      </c>
      <c r="V551" s="1165" t="e">
        <f t="shared" si="396"/>
        <v>#N/A</v>
      </c>
      <c r="W551" s="1034" t="e">
        <f t="shared" si="410"/>
        <v>#N/A</v>
      </c>
      <c r="X551" s="1034" t="b">
        <f t="shared" si="411"/>
        <v>0</v>
      </c>
      <c r="Y551" s="1034">
        <f t="shared" si="412"/>
        <v>0</v>
      </c>
      <c r="Z551" s="1034">
        <f t="shared" si="413"/>
        <v>0</v>
      </c>
      <c r="AA551" s="1034">
        <f t="shared" si="397"/>
        <v>0</v>
      </c>
      <c r="AB551" s="1034">
        <f t="shared" si="398"/>
        <v>0</v>
      </c>
      <c r="AC551" s="1033">
        <f t="shared" si="414"/>
        <v>0</v>
      </c>
      <c r="AD551" s="1266">
        <f t="shared" si="399"/>
        <v>0</v>
      </c>
      <c r="AE551" s="1093">
        <f t="shared" si="415"/>
        <v>0</v>
      </c>
      <c r="AF551" s="1093">
        <f t="shared" si="416"/>
        <v>0</v>
      </c>
      <c r="AG551" s="1093">
        <f t="shared" si="400"/>
        <v>0</v>
      </c>
      <c r="AH551" s="1033" t="e">
        <f t="shared" si="401"/>
        <v>#DIV/0!</v>
      </c>
      <c r="AI551" s="1091">
        <f t="shared" si="402"/>
        <v>0</v>
      </c>
      <c r="AJ551" s="1094">
        <f t="shared" si="403"/>
        <v>0</v>
      </c>
      <c r="AK551" s="1053" t="str">
        <f t="shared" si="404"/>
        <v/>
      </c>
      <c r="AL551" s="1053"/>
      <c r="AM551" s="1290">
        <f>_xlfn.XLOOKUP(F551,Proveedores!A:A,Proveedores!G:G)</f>
        <v>0</v>
      </c>
      <c r="AN551" s="1095" t="str">
        <f t="shared" si="417"/>
        <v>OK</v>
      </c>
    </row>
    <row r="552" spans="1:40" ht="15.95">
      <c r="A552" s="1090" t="b">
        <f t="shared" si="392"/>
        <v>1</v>
      </c>
      <c r="B552" s="1091" t="b">
        <f t="shared" si="405"/>
        <v>1</v>
      </c>
      <c r="C552" s="1092" t="str">
        <f t="shared" si="406"/>
        <v>Dólares</v>
      </c>
      <c r="D552" s="13"/>
      <c r="E552" s="743"/>
      <c r="F552" s="17"/>
      <c r="G552" s="17" t="str">
        <f t="shared" si="393"/>
        <v xml:space="preserve"> </v>
      </c>
      <c r="H552" s="12">
        <v>0</v>
      </c>
      <c r="I552" s="16" t="str">
        <f>IFERROR(VLOOKUP(G552,Proveedores!B:C,2,0)," ")</f>
        <v xml:space="preserve"> </v>
      </c>
      <c r="J552" s="745">
        <v>0</v>
      </c>
      <c r="K552" s="745" t="str">
        <f t="shared" si="394"/>
        <v>Not Found</v>
      </c>
      <c r="L552" s="16">
        <f>IF(K552="Importado",Fletes!$B$66,0%)</f>
        <v>0</v>
      </c>
      <c r="M552" s="745">
        <f t="shared" si="407"/>
        <v>0</v>
      </c>
      <c r="N552" s="16">
        <f>IF(K552&lt;&gt;"Importado",0%,IF(Fletes!$B$67&lt;10,15%,IF(Fletes!$B$67&lt;20,10%,5%)))</f>
        <v>0</v>
      </c>
      <c r="O552" s="745" t="str">
        <f>IFERROR(IF(OR(F552="Offiho",F552="Lauco Sofas",F552="Requiez",F552="Labenze",F552="Sunon Mty",F552="Sonara"),(M552*(1-_xlfn.XLOOKUP(F552,Proveedores!A:A,Proveedores!I:I)))*(1+N552),((M552*(1-_xlfn.XLOOKUP(F552,Proveedores!A:A,Proveedores!I:I)))*(1+N552))+U552),"")</f>
        <v/>
      </c>
      <c r="P552" s="1031"/>
      <c r="Q552" s="1133">
        <f>IF(K552&lt;&gt;"Importado",0,IF(P552&gt;0,P552*H552,IFERROR(_xlfn.XLOOKUP(F552,Proveedores!A:A,Proveedores!F:F,0)*H552,0)))</f>
        <v>0</v>
      </c>
      <c r="R552" s="1134" t="e">
        <f t="shared" si="408"/>
        <v>#VALUE!</v>
      </c>
      <c r="S552" s="743"/>
      <c r="T552" s="1034" t="e">
        <f t="shared" si="395"/>
        <v>#N/A</v>
      </c>
      <c r="U552" s="1034" t="e">
        <f t="shared" si="409"/>
        <v>#N/A</v>
      </c>
      <c r="V552" s="1165" t="e">
        <f t="shared" si="396"/>
        <v>#N/A</v>
      </c>
      <c r="W552" s="1034" t="e">
        <f t="shared" si="410"/>
        <v>#N/A</v>
      </c>
      <c r="X552" s="1034" t="b">
        <f t="shared" si="411"/>
        <v>0</v>
      </c>
      <c r="Y552" s="1034">
        <f t="shared" si="412"/>
        <v>0</v>
      </c>
      <c r="Z552" s="1034">
        <f t="shared" si="413"/>
        <v>0</v>
      </c>
      <c r="AA552" s="1034">
        <f t="shared" si="397"/>
        <v>0</v>
      </c>
      <c r="AB552" s="1034">
        <f t="shared" si="398"/>
        <v>0</v>
      </c>
      <c r="AC552" s="1033">
        <f t="shared" si="414"/>
        <v>0</v>
      </c>
      <c r="AD552" s="1266">
        <f t="shared" si="399"/>
        <v>0</v>
      </c>
      <c r="AE552" s="1093">
        <f t="shared" si="415"/>
        <v>0</v>
      </c>
      <c r="AF552" s="1093">
        <f t="shared" si="416"/>
        <v>0</v>
      </c>
      <c r="AG552" s="1093">
        <f t="shared" si="400"/>
        <v>0</v>
      </c>
      <c r="AH552" s="1033" t="e">
        <f t="shared" si="401"/>
        <v>#DIV/0!</v>
      </c>
      <c r="AI552" s="1091">
        <f t="shared" si="402"/>
        <v>0</v>
      </c>
      <c r="AJ552" s="1094">
        <f t="shared" si="403"/>
        <v>0</v>
      </c>
      <c r="AK552" s="1053" t="str">
        <f t="shared" si="404"/>
        <v/>
      </c>
      <c r="AL552" s="1053"/>
      <c r="AM552" s="1290">
        <f>_xlfn.XLOOKUP(F552,Proveedores!A:A,Proveedores!G:G)</f>
        <v>0</v>
      </c>
      <c r="AN552" s="1095" t="str">
        <f t="shared" si="417"/>
        <v>OK</v>
      </c>
    </row>
    <row r="553" spans="1:40" ht="15.95">
      <c r="A553" s="1090" t="b">
        <f t="shared" si="392"/>
        <v>1</v>
      </c>
      <c r="B553" s="1091" t="b">
        <f t="shared" si="405"/>
        <v>1</v>
      </c>
      <c r="C553" s="1092" t="str">
        <f t="shared" si="406"/>
        <v>Dólares</v>
      </c>
      <c r="D553" s="13"/>
      <c r="E553" s="743"/>
      <c r="F553" s="17"/>
      <c r="G553" s="17" t="str">
        <f t="shared" si="393"/>
        <v xml:space="preserve"> </v>
      </c>
      <c r="H553" s="12">
        <v>0</v>
      </c>
      <c r="I553" s="16" t="str">
        <f>IFERROR(VLOOKUP(G553,Proveedores!B:C,2,0)," ")</f>
        <v xml:space="preserve"> </v>
      </c>
      <c r="J553" s="745">
        <v>0</v>
      </c>
      <c r="K553" s="745" t="str">
        <f t="shared" si="394"/>
        <v>Not Found</v>
      </c>
      <c r="L553" s="16">
        <f>IF(K553="Importado",Fletes!$B$66,0%)</f>
        <v>0</v>
      </c>
      <c r="M553" s="745">
        <f t="shared" si="407"/>
        <v>0</v>
      </c>
      <c r="N553" s="16">
        <f>IF(K553&lt;&gt;"Importado",0%,IF(Fletes!$B$67&lt;10,15%,IF(Fletes!$B$67&lt;20,10%,5%)))</f>
        <v>0</v>
      </c>
      <c r="O553" s="745" t="str">
        <f>IFERROR(IF(OR(F553="Offiho",F553="Lauco Sofas",F553="Requiez",F553="Labenze",F553="Sunon Mty",F553="Sonara"),(M553*(1-_xlfn.XLOOKUP(F553,Proveedores!A:A,Proveedores!I:I)))*(1+N553),((M553*(1-_xlfn.XLOOKUP(F553,Proveedores!A:A,Proveedores!I:I)))*(1+N553))+U553),"")</f>
        <v/>
      </c>
      <c r="P553" s="1031"/>
      <c r="Q553" s="1133">
        <f>IF(K553&lt;&gt;"Importado",0,IF(P553&gt;0,P553*H553,IFERROR(_xlfn.XLOOKUP(F553,Proveedores!A:A,Proveedores!F:F,0)*H553,0)))</f>
        <v>0</v>
      </c>
      <c r="R553" s="1134" t="e">
        <f t="shared" si="408"/>
        <v>#VALUE!</v>
      </c>
      <c r="S553" s="743"/>
      <c r="T553" s="1034" t="e">
        <f t="shared" si="395"/>
        <v>#N/A</v>
      </c>
      <c r="U553" s="1034" t="e">
        <f t="shared" si="409"/>
        <v>#N/A</v>
      </c>
      <c r="V553" s="1165" t="e">
        <f t="shared" si="396"/>
        <v>#N/A</v>
      </c>
      <c r="W553" s="1034" t="e">
        <f t="shared" si="410"/>
        <v>#N/A</v>
      </c>
      <c r="X553" s="1034" t="b">
        <f t="shared" si="411"/>
        <v>0</v>
      </c>
      <c r="Y553" s="1034">
        <f t="shared" si="412"/>
        <v>0</v>
      </c>
      <c r="Z553" s="1034">
        <f t="shared" si="413"/>
        <v>0</v>
      </c>
      <c r="AA553" s="1034">
        <f t="shared" si="397"/>
        <v>0</v>
      </c>
      <c r="AB553" s="1034">
        <f t="shared" si="398"/>
        <v>0</v>
      </c>
      <c r="AC553" s="1033">
        <f t="shared" si="414"/>
        <v>0</v>
      </c>
      <c r="AD553" s="1266">
        <f t="shared" si="399"/>
        <v>0</v>
      </c>
      <c r="AE553" s="1093">
        <f t="shared" si="415"/>
        <v>0</v>
      </c>
      <c r="AF553" s="1093">
        <f t="shared" si="416"/>
        <v>0</v>
      </c>
      <c r="AG553" s="1093">
        <f t="shared" si="400"/>
        <v>0</v>
      </c>
      <c r="AH553" s="1033" t="e">
        <f t="shared" si="401"/>
        <v>#DIV/0!</v>
      </c>
      <c r="AI553" s="1091">
        <f t="shared" si="402"/>
        <v>0</v>
      </c>
      <c r="AJ553" s="1094">
        <f t="shared" si="403"/>
        <v>0</v>
      </c>
      <c r="AK553" s="1053" t="str">
        <f t="shared" si="404"/>
        <v/>
      </c>
      <c r="AL553" s="1053"/>
      <c r="AM553" s="1290">
        <f>_xlfn.XLOOKUP(F553,Proveedores!A:A,Proveedores!G:G)</f>
        <v>0</v>
      </c>
      <c r="AN553" s="1095" t="str">
        <f t="shared" si="417"/>
        <v>OK</v>
      </c>
    </row>
    <row r="554" spans="1:40" ht="15.95">
      <c r="A554" s="1090" t="b">
        <f t="shared" si="392"/>
        <v>1</v>
      </c>
      <c r="B554" s="1091" t="b">
        <f t="shared" si="405"/>
        <v>1</v>
      </c>
      <c r="C554" s="1092" t="str">
        <f t="shared" si="406"/>
        <v>Dólares</v>
      </c>
      <c r="D554" s="13"/>
      <c r="E554" s="743"/>
      <c r="F554" s="17"/>
      <c r="G554" s="17" t="str">
        <f t="shared" si="393"/>
        <v xml:space="preserve"> </v>
      </c>
      <c r="H554" s="12">
        <v>0</v>
      </c>
      <c r="I554" s="16" t="str">
        <f>IFERROR(VLOOKUP(G554,Proveedores!B:C,2,0)," ")</f>
        <v xml:space="preserve"> </v>
      </c>
      <c r="J554" s="745">
        <v>0</v>
      </c>
      <c r="K554" s="745" t="str">
        <f t="shared" si="394"/>
        <v>Not Found</v>
      </c>
      <c r="L554" s="16">
        <f>IF(K554="Importado",Fletes!$B$66,0%)</f>
        <v>0</v>
      </c>
      <c r="M554" s="745">
        <f t="shared" si="407"/>
        <v>0</v>
      </c>
      <c r="N554" s="16">
        <f>IF(K554&lt;&gt;"Importado",0%,IF(Fletes!$B$67&lt;10,15%,IF(Fletes!$B$67&lt;20,10%,5%)))</f>
        <v>0</v>
      </c>
      <c r="O554" s="745" t="str">
        <f>IFERROR(IF(OR(F554="Offiho",F554="Lauco Sofas",F554="Requiez",F554="Labenze",F554="Sunon Mty",F554="Sonara"),(M554*(1-_xlfn.XLOOKUP(F554,Proveedores!A:A,Proveedores!I:I)))*(1+N554),((M554*(1-_xlfn.XLOOKUP(F554,Proveedores!A:A,Proveedores!I:I)))*(1+N554))+U554),"")</f>
        <v/>
      </c>
      <c r="P554" s="1031"/>
      <c r="Q554" s="1133">
        <f>IF(K554&lt;&gt;"Importado",0,IF(P554&gt;0,P554*H554,IFERROR(_xlfn.XLOOKUP(F554,Proveedores!A:A,Proveedores!F:F,0)*H554,0)))</f>
        <v>0</v>
      </c>
      <c r="R554" s="1134" t="e">
        <f t="shared" si="408"/>
        <v>#VALUE!</v>
      </c>
      <c r="S554" s="743"/>
      <c r="T554" s="1034" t="e">
        <f t="shared" si="395"/>
        <v>#N/A</v>
      </c>
      <c r="U554" s="1034" t="e">
        <f t="shared" si="409"/>
        <v>#N/A</v>
      </c>
      <c r="V554" s="1165" t="e">
        <f t="shared" si="396"/>
        <v>#N/A</v>
      </c>
      <c r="W554" s="1034" t="e">
        <f t="shared" si="410"/>
        <v>#N/A</v>
      </c>
      <c r="X554" s="1034" t="b">
        <f t="shared" si="411"/>
        <v>0</v>
      </c>
      <c r="Y554" s="1034">
        <f t="shared" si="412"/>
        <v>0</v>
      </c>
      <c r="Z554" s="1034">
        <f t="shared" si="413"/>
        <v>0</v>
      </c>
      <c r="AA554" s="1034">
        <f t="shared" si="397"/>
        <v>0</v>
      </c>
      <c r="AB554" s="1034">
        <f t="shared" si="398"/>
        <v>0</v>
      </c>
      <c r="AC554" s="1033">
        <f t="shared" si="414"/>
        <v>0</v>
      </c>
      <c r="AD554" s="1266">
        <f t="shared" si="399"/>
        <v>0</v>
      </c>
      <c r="AE554" s="1093">
        <f t="shared" si="415"/>
        <v>0</v>
      </c>
      <c r="AF554" s="1093">
        <f t="shared" si="416"/>
        <v>0</v>
      </c>
      <c r="AG554" s="1093">
        <f t="shared" si="400"/>
        <v>0</v>
      </c>
      <c r="AH554" s="1033" t="e">
        <f t="shared" si="401"/>
        <v>#DIV/0!</v>
      </c>
      <c r="AI554" s="1091">
        <f t="shared" si="402"/>
        <v>0</v>
      </c>
      <c r="AJ554" s="1094">
        <f t="shared" si="403"/>
        <v>0</v>
      </c>
      <c r="AK554" s="1053" t="str">
        <f t="shared" si="404"/>
        <v/>
      </c>
      <c r="AL554" s="1053"/>
      <c r="AM554" s="1290">
        <f>_xlfn.XLOOKUP(F554,Proveedores!A:A,Proveedores!G:G)</f>
        <v>0</v>
      </c>
      <c r="AN554" s="1095" t="str">
        <f t="shared" si="417"/>
        <v>OK</v>
      </c>
    </row>
    <row r="555" spans="1:40" ht="15.95">
      <c r="A555" s="1090" t="b">
        <f t="shared" si="392"/>
        <v>1</v>
      </c>
      <c r="B555" s="1091" t="b">
        <f t="shared" si="405"/>
        <v>1</v>
      </c>
      <c r="C555" s="1092" t="str">
        <f t="shared" si="406"/>
        <v>Dólares</v>
      </c>
      <c r="D555" s="13"/>
      <c r="E555" s="743"/>
      <c r="F555" s="17"/>
      <c r="G555" s="17" t="str">
        <f t="shared" si="393"/>
        <v xml:space="preserve"> </v>
      </c>
      <c r="H555" s="12">
        <v>0</v>
      </c>
      <c r="I555" s="16" t="str">
        <f>IFERROR(VLOOKUP(G555,Proveedores!B:C,2,0)," ")</f>
        <v xml:space="preserve"> </v>
      </c>
      <c r="J555" s="745">
        <v>0</v>
      </c>
      <c r="K555" s="745" t="str">
        <f t="shared" si="394"/>
        <v>Not Found</v>
      </c>
      <c r="L555" s="16">
        <f>IF(K555="Importado",Fletes!$B$66,0%)</f>
        <v>0</v>
      </c>
      <c r="M555" s="745">
        <f t="shared" si="407"/>
        <v>0</v>
      </c>
      <c r="N555" s="16">
        <f>IF(K555&lt;&gt;"Importado",0%,IF(Fletes!$B$67&lt;10,15%,IF(Fletes!$B$67&lt;20,10%,5%)))</f>
        <v>0</v>
      </c>
      <c r="O555" s="745" t="str">
        <f>IFERROR(IF(OR(F555="Offiho",F555="Lauco Sofas",F555="Requiez",F555="Labenze",F555="Sunon Mty",F555="Sonara"),(M555*(1-_xlfn.XLOOKUP(F555,Proveedores!A:A,Proveedores!I:I)))*(1+N555),((M555*(1-_xlfn.XLOOKUP(F555,Proveedores!A:A,Proveedores!I:I)))*(1+N555))+U555),"")</f>
        <v/>
      </c>
      <c r="P555" s="1031"/>
      <c r="Q555" s="1133">
        <f>IF(K555&lt;&gt;"Importado",0,IF(P555&gt;0,P555*H555,IFERROR(_xlfn.XLOOKUP(F555,Proveedores!A:A,Proveedores!F:F,0)*H555,0)))</f>
        <v>0</v>
      </c>
      <c r="R555" s="1134" t="e">
        <f t="shared" si="408"/>
        <v>#VALUE!</v>
      </c>
      <c r="S555" s="743"/>
      <c r="T555" s="1034" t="e">
        <f t="shared" si="395"/>
        <v>#N/A</v>
      </c>
      <c r="U555" s="1034" t="e">
        <f t="shared" si="409"/>
        <v>#N/A</v>
      </c>
      <c r="V555" s="1165" t="e">
        <f t="shared" si="396"/>
        <v>#N/A</v>
      </c>
      <c r="W555" s="1034" t="e">
        <f t="shared" si="410"/>
        <v>#N/A</v>
      </c>
      <c r="X555" s="1034" t="b">
        <f t="shared" si="411"/>
        <v>0</v>
      </c>
      <c r="Y555" s="1034">
        <f t="shared" si="412"/>
        <v>0</v>
      </c>
      <c r="Z555" s="1034">
        <f t="shared" si="413"/>
        <v>0</v>
      </c>
      <c r="AA555" s="1034">
        <f t="shared" si="397"/>
        <v>0</v>
      </c>
      <c r="AB555" s="1034">
        <f t="shared" si="398"/>
        <v>0</v>
      </c>
      <c r="AC555" s="1033">
        <f t="shared" si="414"/>
        <v>0</v>
      </c>
      <c r="AD555" s="1266">
        <f t="shared" si="399"/>
        <v>0</v>
      </c>
      <c r="AE555" s="1093">
        <f t="shared" si="415"/>
        <v>0</v>
      </c>
      <c r="AF555" s="1093">
        <f t="shared" si="416"/>
        <v>0</v>
      </c>
      <c r="AG555" s="1093">
        <f t="shared" si="400"/>
        <v>0</v>
      </c>
      <c r="AH555" s="1033" t="e">
        <f t="shared" si="401"/>
        <v>#DIV/0!</v>
      </c>
      <c r="AI555" s="1091">
        <f t="shared" si="402"/>
        <v>0</v>
      </c>
      <c r="AJ555" s="1094">
        <f t="shared" si="403"/>
        <v>0</v>
      </c>
      <c r="AK555" s="1053" t="str">
        <f t="shared" si="404"/>
        <v/>
      </c>
      <c r="AL555" s="1053"/>
      <c r="AM555" s="1290">
        <f>_xlfn.XLOOKUP(F555,Proveedores!A:A,Proveedores!G:G)</f>
        <v>0</v>
      </c>
      <c r="AN555" s="1095" t="str">
        <f t="shared" si="417"/>
        <v>OK</v>
      </c>
    </row>
    <row r="556" spans="1:40" ht="15.95">
      <c r="A556" s="1090" t="b">
        <f t="shared" si="392"/>
        <v>1</v>
      </c>
      <c r="B556" s="1091" t="b">
        <f t="shared" si="405"/>
        <v>1</v>
      </c>
      <c r="C556" s="1092" t="str">
        <f t="shared" si="406"/>
        <v>Dólares</v>
      </c>
      <c r="D556" s="13"/>
      <c r="E556" s="743"/>
      <c r="F556" s="17"/>
      <c r="G556" s="17" t="str">
        <f t="shared" si="393"/>
        <v xml:space="preserve"> </v>
      </c>
      <c r="H556" s="12">
        <v>0</v>
      </c>
      <c r="I556" s="16" t="str">
        <f>IFERROR(VLOOKUP(G556,Proveedores!B:C,2,0)," ")</f>
        <v xml:space="preserve"> </v>
      </c>
      <c r="J556" s="745">
        <v>0</v>
      </c>
      <c r="K556" s="745" t="str">
        <f t="shared" si="394"/>
        <v>Not Found</v>
      </c>
      <c r="L556" s="16">
        <f>IF(K556="Importado",Fletes!$B$66,0%)</f>
        <v>0</v>
      </c>
      <c r="M556" s="745">
        <f t="shared" si="407"/>
        <v>0</v>
      </c>
      <c r="N556" s="16">
        <f>IF(K556&lt;&gt;"Importado",0%,IF(Fletes!$B$67&lt;10,15%,IF(Fletes!$B$67&lt;20,10%,5%)))</f>
        <v>0</v>
      </c>
      <c r="O556" s="745" t="str">
        <f>IFERROR(IF(OR(F556="Offiho",F556="Lauco Sofas",F556="Requiez",F556="Labenze",F556="Sunon Mty",F556="Sonara"),(M556*(1-_xlfn.XLOOKUP(F556,Proveedores!A:A,Proveedores!I:I)))*(1+N556),((M556*(1-_xlfn.XLOOKUP(F556,Proveedores!A:A,Proveedores!I:I)))*(1+N556))+U556),"")</f>
        <v/>
      </c>
      <c r="P556" s="1031"/>
      <c r="Q556" s="1133">
        <f>IF(K556&lt;&gt;"Importado",0,IF(P556&gt;0,P556*H556,IFERROR(_xlfn.XLOOKUP(F556,Proveedores!A:A,Proveedores!F:F,0)*H556,0)))</f>
        <v>0</v>
      </c>
      <c r="R556" s="1134" t="e">
        <f t="shared" si="408"/>
        <v>#VALUE!</v>
      </c>
      <c r="S556" s="743"/>
      <c r="T556" s="1034" t="e">
        <f t="shared" si="395"/>
        <v>#N/A</v>
      </c>
      <c r="U556" s="1034" t="e">
        <f t="shared" si="409"/>
        <v>#N/A</v>
      </c>
      <c r="V556" s="1165" t="e">
        <f t="shared" si="396"/>
        <v>#N/A</v>
      </c>
      <c r="W556" s="1034" t="e">
        <f t="shared" si="410"/>
        <v>#N/A</v>
      </c>
      <c r="X556" s="1034" t="b">
        <f t="shared" si="411"/>
        <v>0</v>
      </c>
      <c r="Y556" s="1034">
        <f t="shared" si="412"/>
        <v>0</v>
      </c>
      <c r="Z556" s="1034">
        <f t="shared" si="413"/>
        <v>0</v>
      </c>
      <c r="AA556" s="1034">
        <f t="shared" si="397"/>
        <v>0</v>
      </c>
      <c r="AB556" s="1034">
        <f t="shared" si="398"/>
        <v>0</v>
      </c>
      <c r="AC556" s="1033">
        <f t="shared" si="414"/>
        <v>0</v>
      </c>
      <c r="AD556" s="1266">
        <f t="shared" si="399"/>
        <v>0</v>
      </c>
      <c r="AE556" s="1093">
        <f t="shared" si="415"/>
        <v>0</v>
      </c>
      <c r="AF556" s="1093">
        <f t="shared" si="416"/>
        <v>0</v>
      </c>
      <c r="AG556" s="1093">
        <f t="shared" si="400"/>
        <v>0</v>
      </c>
      <c r="AH556" s="1033" t="e">
        <f t="shared" si="401"/>
        <v>#DIV/0!</v>
      </c>
      <c r="AI556" s="1091">
        <f t="shared" si="402"/>
        <v>0</v>
      </c>
      <c r="AJ556" s="1094">
        <f t="shared" si="403"/>
        <v>0</v>
      </c>
      <c r="AK556" s="1053" t="str">
        <f t="shared" si="404"/>
        <v/>
      </c>
      <c r="AL556" s="1053"/>
      <c r="AM556" s="1290">
        <f>_xlfn.XLOOKUP(F556,Proveedores!A:A,Proveedores!G:G)</f>
        <v>0</v>
      </c>
      <c r="AN556" s="1095" t="str">
        <f t="shared" si="417"/>
        <v>OK</v>
      </c>
    </row>
    <row r="557" spans="1:40" ht="15.95">
      <c r="A557" s="1090" t="b">
        <f t="shared" si="392"/>
        <v>1</v>
      </c>
      <c r="B557" s="1091" t="b">
        <f t="shared" si="405"/>
        <v>1</v>
      </c>
      <c r="C557" s="1092" t="str">
        <f t="shared" si="406"/>
        <v>Dólares</v>
      </c>
      <c r="D557" s="14"/>
      <c r="E557" s="743"/>
      <c r="F557" s="17"/>
      <c r="G557" s="17" t="str">
        <f t="shared" si="393"/>
        <v xml:space="preserve"> </v>
      </c>
      <c r="H557" s="12">
        <v>0</v>
      </c>
      <c r="I557" s="16" t="str">
        <f>IFERROR(VLOOKUP(G557,Proveedores!B:C,2,0)," ")</f>
        <v xml:space="preserve"> </v>
      </c>
      <c r="J557" s="745">
        <v>0</v>
      </c>
      <c r="K557" s="745" t="str">
        <f t="shared" si="394"/>
        <v>Not Found</v>
      </c>
      <c r="L557" s="16">
        <f>IF(K557="Importado",Fletes!$B$66,0%)</f>
        <v>0</v>
      </c>
      <c r="M557" s="745">
        <f t="shared" si="407"/>
        <v>0</v>
      </c>
      <c r="N557" s="16">
        <f>IF(K557&lt;&gt;"Importado",0%,IF(Fletes!$B$67&lt;10,15%,IF(Fletes!$B$67&lt;20,10%,5%)))</f>
        <v>0</v>
      </c>
      <c r="O557" s="745" t="str">
        <f>IFERROR(IF(OR(F557="Offiho",F557="Lauco Sofas",F557="Requiez",F557="Labenze",F557="Sunon Mty",F557="Sonara"),(M557*(1-_xlfn.XLOOKUP(F557,Proveedores!A:A,Proveedores!I:I)))*(1+N557),((M557*(1-_xlfn.XLOOKUP(F557,Proveedores!A:A,Proveedores!I:I)))*(1+N557))+U557),"")</f>
        <v/>
      </c>
      <c r="P557" s="1031"/>
      <c r="Q557" s="1133">
        <f>IF(K557&lt;&gt;"Importado",0,IF(P557&gt;0,P557*H557,IFERROR(_xlfn.XLOOKUP(F557,Proveedores!A:A,Proveedores!F:F,0)*H557,0)))</f>
        <v>0</v>
      </c>
      <c r="R557" s="1134" t="e">
        <f t="shared" si="408"/>
        <v>#VALUE!</v>
      </c>
      <c r="S557" s="743"/>
      <c r="T557" s="1034" t="e">
        <f t="shared" si="395"/>
        <v>#N/A</v>
      </c>
      <c r="U557" s="1034" t="e">
        <f t="shared" si="409"/>
        <v>#N/A</v>
      </c>
      <c r="V557" s="1165" t="e">
        <f t="shared" si="396"/>
        <v>#N/A</v>
      </c>
      <c r="W557" s="1034" t="e">
        <f t="shared" si="410"/>
        <v>#N/A</v>
      </c>
      <c r="X557" s="1034" t="b">
        <f t="shared" si="411"/>
        <v>0</v>
      </c>
      <c r="Y557" s="1034">
        <f t="shared" si="412"/>
        <v>0</v>
      </c>
      <c r="Z557" s="1034">
        <f t="shared" si="413"/>
        <v>0</v>
      </c>
      <c r="AA557" s="1034">
        <f t="shared" si="397"/>
        <v>0</v>
      </c>
      <c r="AB557" s="1034">
        <f t="shared" si="398"/>
        <v>0</v>
      </c>
      <c r="AC557" s="1033">
        <f t="shared" si="414"/>
        <v>0</v>
      </c>
      <c r="AD557" s="1266">
        <f t="shared" si="399"/>
        <v>0</v>
      </c>
      <c r="AE557" s="1093">
        <f t="shared" si="415"/>
        <v>0</v>
      </c>
      <c r="AF557" s="1093">
        <f t="shared" si="416"/>
        <v>0</v>
      </c>
      <c r="AG557" s="1093">
        <f t="shared" si="400"/>
        <v>0</v>
      </c>
      <c r="AH557" s="1033" t="e">
        <f t="shared" si="401"/>
        <v>#DIV/0!</v>
      </c>
      <c r="AI557" s="1091">
        <f t="shared" si="402"/>
        <v>0</v>
      </c>
      <c r="AJ557" s="1094">
        <f t="shared" si="403"/>
        <v>0</v>
      </c>
      <c r="AK557" s="1053" t="str">
        <f t="shared" si="404"/>
        <v/>
      </c>
      <c r="AL557" s="1053"/>
      <c r="AM557" s="1290">
        <f>_xlfn.XLOOKUP(F557,Proveedores!A:A,Proveedores!G:G)</f>
        <v>0</v>
      </c>
      <c r="AN557" s="1095" t="str">
        <f t="shared" si="417"/>
        <v>OK</v>
      </c>
    </row>
    <row r="558" spans="1:40" ht="15.95">
      <c r="A558" s="1090" t="b">
        <f t="shared" si="392"/>
        <v>1</v>
      </c>
      <c r="B558" s="1091" t="b">
        <f t="shared" si="405"/>
        <v>1</v>
      </c>
      <c r="C558" s="1092" t="str">
        <f t="shared" si="406"/>
        <v>Dólares</v>
      </c>
      <c r="D558" s="15"/>
      <c r="E558" s="743"/>
      <c r="F558" s="17"/>
      <c r="G558" s="17" t="str">
        <f t="shared" si="393"/>
        <v xml:space="preserve"> </v>
      </c>
      <c r="H558" s="12">
        <v>0</v>
      </c>
      <c r="I558" s="16" t="str">
        <f>IFERROR(VLOOKUP(G558,Proveedores!B:C,2,0)," ")</f>
        <v xml:space="preserve"> </v>
      </c>
      <c r="J558" s="745">
        <v>0</v>
      </c>
      <c r="K558" s="745" t="str">
        <f t="shared" si="394"/>
        <v>Not Found</v>
      </c>
      <c r="L558" s="16">
        <f>IF(K558="Importado",Fletes!$B$66,0%)</f>
        <v>0</v>
      </c>
      <c r="M558" s="745">
        <f t="shared" si="407"/>
        <v>0</v>
      </c>
      <c r="N558" s="16">
        <f>IF(K558&lt;&gt;"Importado",0%,IF(Fletes!$B$67&lt;10,15%,IF(Fletes!$B$67&lt;20,10%,5%)))</f>
        <v>0</v>
      </c>
      <c r="O558" s="745" t="str">
        <f>IFERROR(IF(OR(F558="Offiho",F558="Lauco Sofas",F558="Requiez",F558="Labenze",F558="Sunon Mty",F558="Sonara"),(M558*(1-_xlfn.XLOOKUP(F558,Proveedores!A:A,Proveedores!I:I)))*(1+N558),((M558*(1-_xlfn.XLOOKUP(F558,Proveedores!A:A,Proveedores!I:I)))*(1+N558))+U558),"")</f>
        <v/>
      </c>
      <c r="P558" s="1031"/>
      <c r="Q558" s="1133">
        <f>IF(K558&lt;&gt;"Importado",0,IF(P558&gt;0,P558*H558,IFERROR(_xlfn.XLOOKUP(F558,Proveedores!A:A,Proveedores!F:F,0)*H558,0)))</f>
        <v>0</v>
      </c>
      <c r="R558" s="1134" t="e">
        <f t="shared" si="408"/>
        <v>#VALUE!</v>
      </c>
      <c r="S558" s="743"/>
      <c r="T558" s="1034" t="e">
        <f t="shared" si="395"/>
        <v>#N/A</v>
      </c>
      <c r="U558" s="1034" t="e">
        <f t="shared" si="409"/>
        <v>#N/A</v>
      </c>
      <c r="V558" s="1165" t="e">
        <f t="shared" si="396"/>
        <v>#N/A</v>
      </c>
      <c r="W558" s="1034" t="e">
        <f t="shared" si="410"/>
        <v>#N/A</v>
      </c>
      <c r="X558" s="1034" t="b">
        <f t="shared" si="411"/>
        <v>0</v>
      </c>
      <c r="Y558" s="1034">
        <f t="shared" si="412"/>
        <v>0</v>
      </c>
      <c r="Z558" s="1034">
        <f t="shared" si="413"/>
        <v>0</v>
      </c>
      <c r="AA558" s="1034">
        <f t="shared" si="397"/>
        <v>0</v>
      </c>
      <c r="AB558" s="1034">
        <f t="shared" si="398"/>
        <v>0</v>
      </c>
      <c r="AC558" s="1033">
        <f t="shared" si="414"/>
        <v>0</v>
      </c>
      <c r="AD558" s="1266">
        <f t="shared" si="399"/>
        <v>0</v>
      </c>
      <c r="AE558" s="1093">
        <f t="shared" si="415"/>
        <v>0</v>
      </c>
      <c r="AF558" s="1093">
        <f t="shared" si="416"/>
        <v>0</v>
      </c>
      <c r="AG558" s="1093">
        <f t="shared" si="400"/>
        <v>0</v>
      </c>
      <c r="AH558" s="1033" t="e">
        <f t="shared" si="401"/>
        <v>#DIV/0!</v>
      </c>
      <c r="AI558" s="1091">
        <f t="shared" si="402"/>
        <v>0</v>
      </c>
      <c r="AJ558" s="1094">
        <f t="shared" si="403"/>
        <v>0</v>
      </c>
      <c r="AK558" s="1053" t="str">
        <f t="shared" si="404"/>
        <v/>
      </c>
      <c r="AL558" s="1053"/>
      <c r="AM558" s="1290">
        <f>_xlfn.XLOOKUP(F558,Proveedores!A:A,Proveedores!G:G)</f>
        <v>0</v>
      </c>
      <c r="AN558" s="1095" t="str">
        <f t="shared" si="417"/>
        <v>OK</v>
      </c>
    </row>
    <row r="559" spans="1:40" ht="15.95">
      <c r="A559" s="1090" t="b">
        <f t="shared" si="392"/>
        <v>1</v>
      </c>
      <c r="B559" s="1091" t="b">
        <f t="shared" si="405"/>
        <v>1</v>
      </c>
      <c r="C559" s="1092" t="str">
        <f t="shared" si="406"/>
        <v>Dólares</v>
      </c>
      <c r="D559" s="15"/>
      <c r="E559" s="743"/>
      <c r="F559" s="17"/>
      <c r="G559" s="17" t="str">
        <f t="shared" si="393"/>
        <v xml:space="preserve"> </v>
      </c>
      <c r="H559" s="12">
        <v>0</v>
      </c>
      <c r="I559" s="16" t="str">
        <f>IFERROR(VLOOKUP(G559,Proveedores!B:C,2,0)," ")</f>
        <v xml:space="preserve"> </v>
      </c>
      <c r="J559" s="745">
        <v>0</v>
      </c>
      <c r="K559" s="745" t="str">
        <f t="shared" si="394"/>
        <v>Not Found</v>
      </c>
      <c r="L559" s="16">
        <f>IF(K559="Importado",Fletes!$B$66,0%)</f>
        <v>0</v>
      </c>
      <c r="M559" s="745">
        <f t="shared" si="407"/>
        <v>0</v>
      </c>
      <c r="N559" s="16">
        <f>IF(K559&lt;&gt;"Importado",0%,IF(Fletes!$B$67&lt;10,15%,IF(Fletes!$B$67&lt;20,10%,5%)))</f>
        <v>0</v>
      </c>
      <c r="O559" s="745" t="str">
        <f>IFERROR(IF(OR(F559="Offiho",F559="Lauco Sofas",F559="Requiez",F559="Labenze",F559="Sunon Mty",F559="Sonara"),(M559*(1-_xlfn.XLOOKUP(F559,Proveedores!A:A,Proveedores!I:I)))*(1+N559),((M559*(1-_xlfn.XLOOKUP(F559,Proveedores!A:A,Proveedores!I:I)))*(1+N559))+U559),"")</f>
        <v/>
      </c>
      <c r="P559" s="1031"/>
      <c r="Q559" s="1133">
        <f>IF(K559&lt;&gt;"Importado",0,IF(P559&gt;0,P559*H559,IFERROR(_xlfn.XLOOKUP(F559,Proveedores!A:A,Proveedores!F:F,0)*H559,0)))</f>
        <v>0</v>
      </c>
      <c r="R559" s="1134" t="e">
        <f t="shared" si="408"/>
        <v>#VALUE!</v>
      </c>
      <c r="S559" s="743"/>
      <c r="T559" s="1034" t="e">
        <f t="shared" si="395"/>
        <v>#N/A</v>
      </c>
      <c r="U559" s="1034" t="e">
        <f t="shared" si="409"/>
        <v>#N/A</v>
      </c>
      <c r="V559" s="1165" t="e">
        <f t="shared" si="396"/>
        <v>#N/A</v>
      </c>
      <c r="W559" s="1034" t="e">
        <f t="shared" si="410"/>
        <v>#N/A</v>
      </c>
      <c r="X559" s="1034" t="b">
        <f t="shared" si="411"/>
        <v>0</v>
      </c>
      <c r="Y559" s="1034">
        <f t="shared" si="412"/>
        <v>0</v>
      </c>
      <c r="Z559" s="1034">
        <f t="shared" si="413"/>
        <v>0</v>
      </c>
      <c r="AA559" s="1034">
        <f t="shared" si="397"/>
        <v>0</v>
      </c>
      <c r="AB559" s="1034">
        <f t="shared" si="398"/>
        <v>0</v>
      </c>
      <c r="AC559" s="1033">
        <f t="shared" si="414"/>
        <v>0</v>
      </c>
      <c r="AD559" s="1266">
        <f t="shared" si="399"/>
        <v>0</v>
      </c>
      <c r="AE559" s="1093">
        <f t="shared" si="415"/>
        <v>0</v>
      </c>
      <c r="AF559" s="1093">
        <f t="shared" si="416"/>
        <v>0</v>
      </c>
      <c r="AG559" s="1093">
        <f t="shared" si="400"/>
        <v>0</v>
      </c>
      <c r="AH559" s="1033" t="e">
        <f t="shared" si="401"/>
        <v>#DIV/0!</v>
      </c>
      <c r="AI559" s="1091">
        <f t="shared" si="402"/>
        <v>0</v>
      </c>
      <c r="AJ559" s="1094">
        <f t="shared" si="403"/>
        <v>0</v>
      </c>
      <c r="AK559" s="1053" t="str">
        <f t="shared" si="404"/>
        <v/>
      </c>
      <c r="AL559" s="1053"/>
      <c r="AM559" s="1290">
        <f>_xlfn.XLOOKUP(F559,Proveedores!A:A,Proveedores!G:G)</f>
        <v>0</v>
      </c>
      <c r="AN559" s="1095" t="str">
        <f t="shared" si="417"/>
        <v>OK</v>
      </c>
    </row>
    <row r="560" spans="1:40" ht="15.95">
      <c r="A560" s="1090" t="b">
        <f t="shared" si="392"/>
        <v>1</v>
      </c>
      <c r="B560" s="1091" t="b">
        <f t="shared" si="405"/>
        <v>1</v>
      </c>
      <c r="C560" s="1092" t="str">
        <f t="shared" si="406"/>
        <v>Dólares</v>
      </c>
      <c r="D560" s="15"/>
      <c r="E560" s="743"/>
      <c r="F560" s="17"/>
      <c r="G560" s="17" t="str">
        <f t="shared" si="393"/>
        <v xml:space="preserve"> </v>
      </c>
      <c r="H560" s="12">
        <v>0</v>
      </c>
      <c r="I560" s="16" t="str">
        <f>IFERROR(VLOOKUP(G560,Proveedores!B:C,2,0)," ")</f>
        <v xml:space="preserve"> </v>
      </c>
      <c r="J560" s="745">
        <v>0</v>
      </c>
      <c r="K560" s="745" t="str">
        <f t="shared" si="394"/>
        <v>Not Found</v>
      </c>
      <c r="L560" s="16">
        <f>IF(K560="Importado",Fletes!$B$66,0%)</f>
        <v>0</v>
      </c>
      <c r="M560" s="745">
        <f t="shared" si="407"/>
        <v>0</v>
      </c>
      <c r="N560" s="16">
        <f>IF(K560&lt;&gt;"Importado",0%,IF(Fletes!$B$67&lt;10,15%,IF(Fletes!$B$67&lt;20,10%,5%)))</f>
        <v>0</v>
      </c>
      <c r="O560" s="745" t="str">
        <f>IFERROR(IF(OR(F560="Offiho",F560="Lauco Sofas",F560="Requiez",F560="Labenze",F560="Sunon Mty",F560="Sonara"),(M560*(1-_xlfn.XLOOKUP(F560,Proveedores!A:A,Proveedores!I:I)))*(1+N560),((M560*(1-_xlfn.XLOOKUP(F560,Proveedores!A:A,Proveedores!I:I)))*(1+N560))+U560),"")</f>
        <v/>
      </c>
      <c r="P560" s="1031"/>
      <c r="Q560" s="1133">
        <f>IF(K560&lt;&gt;"Importado",0,IF(P560&gt;0,P560*H560,IFERROR(_xlfn.XLOOKUP(F560,Proveedores!A:A,Proveedores!F:F,0)*H560,0)))</f>
        <v>0</v>
      </c>
      <c r="R560" s="1134" t="e">
        <f t="shared" si="408"/>
        <v>#VALUE!</v>
      </c>
      <c r="S560" s="743"/>
      <c r="T560" s="1034" t="e">
        <f t="shared" si="395"/>
        <v>#N/A</v>
      </c>
      <c r="U560" s="1034" t="e">
        <f t="shared" si="409"/>
        <v>#N/A</v>
      </c>
      <c r="V560" s="1165" t="e">
        <f t="shared" si="396"/>
        <v>#N/A</v>
      </c>
      <c r="W560" s="1034" t="e">
        <f t="shared" si="410"/>
        <v>#N/A</v>
      </c>
      <c r="X560" s="1034" t="b">
        <f t="shared" si="411"/>
        <v>0</v>
      </c>
      <c r="Y560" s="1034">
        <f t="shared" si="412"/>
        <v>0</v>
      </c>
      <c r="Z560" s="1034">
        <f t="shared" si="413"/>
        <v>0</v>
      </c>
      <c r="AA560" s="1034">
        <f t="shared" si="397"/>
        <v>0</v>
      </c>
      <c r="AB560" s="1034">
        <f t="shared" si="398"/>
        <v>0</v>
      </c>
      <c r="AC560" s="1033">
        <f t="shared" si="414"/>
        <v>0</v>
      </c>
      <c r="AD560" s="1266">
        <f t="shared" si="399"/>
        <v>0</v>
      </c>
      <c r="AE560" s="1093">
        <f t="shared" si="415"/>
        <v>0</v>
      </c>
      <c r="AF560" s="1093">
        <f t="shared" si="416"/>
        <v>0</v>
      </c>
      <c r="AG560" s="1093">
        <f t="shared" si="400"/>
        <v>0</v>
      </c>
      <c r="AH560" s="1033" t="e">
        <f t="shared" si="401"/>
        <v>#DIV/0!</v>
      </c>
      <c r="AI560" s="1091">
        <f t="shared" si="402"/>
        <v>0</v>
      </c>
      <c r="AJ560" s="1094">
        <f t="shared" si="403"/>
        <v>0</v>
      </c>
      <c r="AK560" s="1053" t="str">
        <f t="shared" si="404"/>
        <v/>
      </c>
      <c r="AL560" s="1053"/>
      <c r="AM560" s="1290">
        <f>_xlfn.XLOOKUP(F560,Proveedores!A:A,Proveedores!G:G)</f>
        <v>0</v>
      </c>
      <c r="AN560" s="1095" t="str">
        <f t="shared" si="417"/>
        <v>OK</v>
      </c>
    </row>
    <row r="561" spans="1:40" ht="15.95">
      <c r="A561" s="1090" t="b">
        <f t="shared" si="392"/>
        <v>1</v>
      </c>
      <c r="B561" s="1091" t="b">
        <f t="shared" si="405"/>
        <v>1</v>
      </c>
      <c r="C561" s="1092" t="str">
        <f t="shared" si="406"/>
        <v>Dólares</v>
      </c>
      <c r="D561" s="15"/>
      <c r="E561" s="743"/>
      <c r="F561" s="17"/>
      <c r="G561" s="17" t="str">
        <f t="shared" si="393"/>
        <v xml:space="preserve"> </v>
      </c>
      <c r="H561" s="12">
        <v>0</v>
      </c>
      <c r="I561" s="16" t="str">
        <f>IFERROR(VLOOKUP(G561,Proveedores!B:C,2,0)," ")</f>
        <v xml:space="preserve"> </v>
      </c>
      <c r="J561" s="745">
        <v>0</v>
      </c>
      <c r="K561" s="745" t="str">
        <f t="shared" si="394"/>
        <v>Not Found</v>
      </c>
      <c r="L561" s="16">
        <f>IF(K561="Importado",Fletes!$B$66,0%)</f>
        <v>0</v>
      </c>
      <c r="M561" s="745">
        <f t="shared" si="407"/>
        <v>0</v>
      </c>
      <c r="N561" s="16">
        <f>IF(K561&lt;&gt;"Importado",0%,IF(Fletes!$B$67&lt;10,15%,IF(Fletes!$B$67&lt;20,10%,5%)))</f>
        <v>0</v>
      </c>
      <c r="O561" s="745" t="str">
        <f>IFERROR(IF(OR(F561="Offiho",F561="Lauco Sofas",F561="Requiez",F561="Labenze",F561="Sunon Mty",F561="Sonara"),(M561*(1-_xlfn.XLOOKUP(F561,Proveedores!A:A,Proveedores!I:I)))*(1+N561),((M561*(1-_xlfn.XLOOKUP(F561,Proveedores!A:A,Proveedores!I:I)))*(1+N561))+U561),"")</f>
        <v/>
      </c>
      <c r="P561" s="1031"/>
      <c r="Q561" s="1133">
        <f>IF(K561&lt;&gt;"Importado",0,IF(P561&gt;0,P561*H561,IFERROR(_xlfn.XLOOKUP(F561,Proveedores!A:A,Proveedores!F:F,0)*H561,0)))</f>
        <v>0</v>
      </c>
      <c r="R561" s="1134" t="e">
        <f t="shared" si="408"/>
        <v>#VALUE!</v>
      </c>
      <c r="S561" s="743"/>
      <c r="T561" s="1034" t="e">
        <f t="shared" si="395"/>
        <v>#N/A</v>
      </c>
      <c r="U561" s="1034" t="e">
        <f t="shared" si="409"/>
        <v>#N/A</v>
      </c>
      <c r="V561" s="1165" t="e">
        <f t="shared" si="396"/>
        <v>#N/A</v>
      </c>
      <c r="W561" s="1034" t="e">
        <f t="shared" si="410"/>
        <v>#N/A</v>
      </c>
      <c r="X561" s="1034" t="b">
        <f t="shared" si="411"/>
        <v>0</v>
      </c>
      <c r="Y561" s="1034">
        <f t="shared" si="412"/>
        <v>0</v>
      </c>
      <c r="Z561" s="1034">
        <f t="shared" si="413"/>
        <v>0</v>
      </c>
      <c r="AA561" s="1034">
        <f t="shared" si="397"/>
        <v>0</v>
      </c>
      <c r="AB561" s="1034">
        <f t="shared" si="398"/>
        <v>0</v>
      </c>
      <c r="AC561" s="1033">
        <f t="shared" si="414"/>
        <v>0</v>
      </c>
      <c r="AD561" s="1266">
        <f t="shared" si="399"/>
        <v>0</v>
      </c>
      <c r="AE561" s="1093">
        <f t="shared" si="415"/>
        <v>0</v>
      </c>
      <c r="AF561" s="1093">
        <f t="shared" si="416"/>
        <v>0</v>
      </c>
      <c r="AG561" s="1093">
        <f t="shared" si="400"/>
        <v>0</v>
      </c>
      <c r="AH561" s="1033" t="e">
        <f t="shared" si="401"/>
        <v>#DIV/0!</v>
      </c>
      <c r="AI561" s="1091">
        <f t="shared" si="402"/>
        <v>0</v>
      </c>
      <c r="AJ561" s="1094">
        <f t="shared" si="403"/>
        <v>0</v>
      </c>
      <c r="AK561" s="1053" t="str">
        <f t="shared" si="404"/>
        <v/>
      </c>
      <c r="AL561" s="1053"/>
      <c r="AM561" s="1290">
        <f>_xlfn.XLOOKUP(F561,Proveedores!A:A,Proveedores!G:G)</f>
        <v>0</v>
      </c>
      <c r="AN561" s="1095" t="str">
        <f t="shared" si="417"/>
        <v>OK</v>
      </c>
    </row>
    <row r="562" spans="1:40" ht="15.95">
      <c r="A562" s="1090" t="b">
        <f t="shared" si="392"/>
        <v>1</v>
      </c>
      <c r="B562" s="1091" t="b">
        <f t="shared" si="405"/>
        <v>1</v>
      </c>
      <c r="C562" s="1092" t="str">
        <f t="shared" si="406"/>
        <v>Dólares</v>
      </c>
      <c r="D562" s="14"/>
      <c r="E562" s="743"/>
      <c r="F562" s="17"/>
      <c r="G562" s="17" t="str">
        <f t="shared" si="393"/>
        <v xml:space="preserve"> </v>
      </c>
      <c r="H562" s="12">
        <v>0</v>
      </c>
      <c r="I562" s="16" t="str">
        <f>IFERROR(VLOOKUP(G562,Proveedores!B:C,2,0)," ")</f>
        <v xml:space="preserve"> </v>
      </c>
      <c r="J562" s="745">
        <v>0</v>
      </c>
      <c r="K562" s="745" t="str">
        <f t="shared" si="394"/>
        <v>Not Found</v>
      </c>
      <c r="L562" s="16">
        <f>IF(K562="Importado",Fletes!$B$66,0%)</f>
        <v>0</v>
      </c>
      <c r="M562" s="745">
        <f t="shared" si="407"/>
        <v>0</v>
      </c>
      <c r="N562" s="16">
        <f>IF(K562&lt;&gt;"Importado",0%,IF(Fletes!$B$67&lt;10,15%,IF(Fletes!$B$67&lt;20,10%,5%)))</f>
        <v>0</v>
      </c>
      <c r="O562" s="745" t="str">
        <f>IFERROR(IF(OR(F562="Offiho",F562="Lauco Sofas",F562="Requiez",F562="Labenze",F562="Sunon Mty",F562="Sonara"),(M562*(1-_xlfn.XLOOKUP(F562,Proveedores!A:A,Proveedores!I:I)))*(1+N562),((M562*(1-_xlfn.XLOOKUP(F562,Proveedores!A:A,Proveedores!I:I)))*(1+N562))+U562),"")</f>
        <v/>
      </c>
      <c r="P562" s="1031"/>
      <c r="Q562" s="1133">
        <f>IF(K562&lt;&gt;"Importado",0,IF(P562&gt;0,P562*H562,IFERROR(_xlfn.XLOOKUP(F562,Proveedores!A:A,Proveedores!F:F,0)*H562,0)))</f>
        <v>0</v>
      </c>
      <c r="R562" s="1134" t="e">
        <f t="shared" si="408"/>
        <v>#VALUE!</v>
      </c>
      <c r="S562" s="743"/>
      <c r="T562" s="1034" t="e">
        <f t="shared" si="395"/>
        <v>#N/A</v>
      </c>
      <c r="U562" s="1034" t="e">
        <f t="shared" si="409"/>
        <v>#N/A</v>
      </c>
      <c r="V562" s="1165" t="e">
        <f t="shared" si="396"/>
        <v>#N/A</v>
      </c>
      <c r="W562" s="1034" t="e">
        <f t="shared" si="410"/>
        <v>#N/A</v>
      </c>
      <c r="X562" s="1034" t="b">
        <f t="shared" si="411"/>
        <v>0</v>
      </c>
      <c r="Y562" s="1034">
        <f t="shared" si="412"/>
        <v>0</v>
      </c>
      <c r="Z562" s="1034">
        <f t="shared" si="413"/>
        <v>0</v>
      </c>
      <c r="AA562" s="1034">
        <f t="shared" si="397"/>
        <v>0</v>
      </c>
      <c r="AB562" s="1034">
        <f t="shared" si="398"/>
        <v>0</v>
      </c>
      <c r="AC562" s="1033">
        <f t="shared" si="414"/>
        <v>0</v>
      </c>
      <c r="AD562" s="1266">
        <f t="shared" si="399"/>
        <v>0</v>
      </c>
      <c r="AE562" s="1093">
        <f t="shared" si="415"/>
        <v>0</v>
      </c>
      <c r="AF562" s="1093">
        <f t="shared" si="416"/>
        <v>0</v>
      </c>
      <c r="AG562" s="1093">
        <f t="shared" si="400"/>
        <v>0</v>
      </c>
      <c r="AH562" s="1033" t="e">
        <f t="shared" si="401"/>
        <v>#DIV/0!</v>
      </c>
      <c r="AI562" s="1091">
        <f t="shared" si="402"/>
        <v>0</v>
      </c>
      <c r="AJ562" s="1094">
        <f t="shared" si="403"/>
        <v>0</v>
      </c>
      <c r="AK562" s="1053" t="str">
        <f t="shared" si="404"/>
        <v/>
      </c>
      <c r="AL562" s="1053"/>
      <c r="AM562" s="1290">
        <f>_xlfn.XLOOKUP(F562,Proveedores!A:A,Proveedores!G:G)</f>
        <v>0</v>
      </c>
      <c r="AN562" s="1095" t="str">
        <f t="shared" si="417"/>
        <v>OK</v>
      </c>
    </row>
    <row r="563" spans="1:40" ht="15.95">
      <c r="A563" s="1090" t="b">
        <f t="shared" si="392"/>
        <v>1</v>
      </c>
      <c r="B563" s="1091" t="b">
        <f t="shared" si="405"/>
        <v>1</v>
      </c>
      <c r="C563" s="1092" t="str">
        <f t="shared" si="406"/>
        <v>Dólares</v>
      </c>
      <c r="D563" s="14"/>
      <c r="E563" s="743"/>
      <c r="F563" s="17"/>
      <c r="G563" s="17" t="str">
        <f t="shared" si="393"/>
        <v xml:space="preserve"> </v>
      </c>
      <c r="H563" s="12">
        <v>0</v>
      </c>
      <c r="I563" s="16" t="str">
        <f>IFERROR(VLOOKUP(G563,Proveedores!B:C,2,0)," ")</f>
        <v xml:space="preserve"> </v>
      </c>
      <c r="J563" s="745">
        <v>0</v>
      </c>
      <c r="K563" s="745" t="str">
        <f t="shared" si="394"/>
        <v>Not Found</v>
      </c>
      <c r="L563" s="16">
        <f>IF(K563="Importado",Fletes!$B$66,0%)</f>
        <v>0</v>
      </c>
      <c r="M563" s="745">
        <f t="shared" si="407"/>
        <v>0</v>
      </c>
      <c r="N563" s="16">
        <f>IF(K563&lt;&gt;"Importado",0%,IF(Fletes!$B$67&lt;10,15%,IF(Fletes!$B$67&lt;20,10%,5%)))</f>
        <v>0</v>
      </c>
      <c r="O563" s="745" t="str">
        <f>IFERROR(IF(OR(F563="Offiho",F563="Lauco Sofas",F563="Requiez",F563="Labenze",F563="Sunon Mty",F563="Sonara"),(M563*(1-_xlfn.XLOOKUP(F563,Proveedores!A:A,Proveedores!I:I)))*(1+N563),((M563*(1-_xlfn.XLOOKUP(F563,Proveedores!A:A,Proveedores!I:I)))*(1+N563))+U563),"")</f>
        <v/>
      </c>
      <c r="P563" s="1031"/>
      <c r="Q563" s="1133">
        <f>IF(K563&lt;&gt;"Importado",0,IF(P563&gt;0,P563*H563,IFERROR(_xlfn.XLOOKUP(F563,Proveedores!A:A,Proveedores!F:F,0)*H563,0)))</f>
        <v>0</v>
      </c>
      <c r="R563" s="1134" t="e">
        <f t="shared" si="408"/>
        <v>#VALUE!</v>
      </c>
      <c r="S563" s="743"/>
      <c r="T563" s="1034" t="e">
        <f t="shared" si="395"/>
        <v>#N/A</v>
      </c>
      <c r="U563" s="1034" t="e">
        <f t="shared" si="409"/>
        <v>#N/A</v>
      </c>
      <c r="V563" s="1165" t="e">
        <f t="shared" si="396"/>
        <v>#N/A</v>
      </c>
      <c r="W563" s="1034" t="e">
        <f t="shared" si="410"/>
        <v>#N/A</v>
      </c>
      <c r="X563" s="1034" t="b">
        <f t="shared" si="411"/>
        <v>0</v>
      </c>
      <c r="Y563" s="1034">
        <f t="shared" si="412"/>
        <v>0</v>
      </c>
      <c r="Z563" s="1034">
        <f t="shared" si="413"/>
        <v>0</v>
      </c>
      <c r="AA563" s="1034">
        <f t="shared" si="397"/>
        <v>0</v>
      </c>
      <c r="AB563" s="1034">
        <f t="shared" si="398"/>
        <v>0</v>
      </c>
      <c r="AC563" s="1033">
        <f t="shared" si="414"/>
        <v>0</v>
      </c>
      <c r="AD563" s="1266">
        <f t="shared" si="399"/>
        <v>0</v>
      </c>
      <c r="AE563" s="1093">
        <f t="shared" si="415"/>
        <v>0</v>
      </c>
      <c r="AF563" s="1093">
        <f t="shared" si="416"/>
        <v>0</v>
      </c>
      <c r="AG563" s="1093">
        <f t="shared" si="400"/>
        <v>0</v>
      </c>
      <c r="AH563" s="1033" t="e">
        <f t="shared" si="401"/>
        <v>#DIV/0!</v>
      </c>
      <c r="AI563" s="1091">
        <f t="shared" si="402"/>
        <v>0</v>
      </c>
      <c r="AJ563" s="1094">
        <f t="shared" si="403"/>
        <v>0</v>
      </c>
      <c r="AK563" s="1053" t="str">
        <f t="shared" si="404"/>
        <v/>
      </c>
      <c r="AL563" s="1053"/>
      <c r="AM563" s="1290">
        <f>_xlfn.XLOOKUP(F563,Proveedores!A:A,Proveedores!G:G)</f>
        <v>0</v>
      </c>
      <c r="AN563" s="1095" t="str">
        <f t="shared" si="417"/>
        <v>OK</v>
      </c>
    </row>
    <row r="564" spans="1:40" ht="15.95">
      <c r="A564" s="1090" t="b">
        <f t="shared" si="392"/>
        <v>1</v>
      </c>
      <c r="B564" s="1091" t="b">
        <f t="shared" si="405"/>
        <v>1</v>
      </c>
      <c r="C564" s="1092" t="str">
        <f t="shared" si="406"/>
        <v>Dólares</v>
      </c>
      <c r="D564" s="14"/>
      <c r="E564" s="743"/>
      <c r="F564" s="17"/>
      <c r="G564" s="17" t="str">
        <f t="shared" si="393"/>
        <v xml:space="preserve"> </v>
      </c>
      <c r="H564" s="12">
        <v>0</v>
      </c>
      <c r="I564" s="16" t="str">
        <f>IFERROR(VLOOKUP(G564,Proveedores!B:C,2,0)," ")</f>
        <v xml:space="preserve"> </v>
      </c>
      <c r="J564" s="745">
        <v>0</v>
      </c>
      <c r="K564" s="745" t="str">
        <f t="shared" si="394"/>
        <v>Not Found</v>
      </c>
      <c r="L564" s="16">
        <f>IF(K564="Importado",Fletes!$B$66,0%)</f>
        <v>0</v>
      </c>
      <c r="M564" s="745">
        <f t="shared" si="407"/>
        <v>0</v>
      </c>
      <c r="N564" s="16">
        <f>IF(K564&lt;&gt;"Importado",0%,IF(Fletes!$B$67&lt;10,15%,IF(Fletes!$B$67&lt;20,10%,5%)))</f>
        <v>0</v>
      </c>
      <c r="O564" s="745" t="str">
        <f>IFERROR(IF(OR(F564="Offiho",F564="Lauco Sofas",F564="Requiez",F564="Labenze",F564="Sunon Mty",F564="Sonara"),(M564*(1-_xlfn.XLOOKUP(F564,Proveedores!A:A,Proveedores!I:I)))*(1+N564),((M564*(1-_xlfn.XLOOKUP(F564,Proveedores!A:A,Proveedores!I:I)))*(1+N564))+U564),"")</f>
        <v/>
      </c>
      <c r="P564" s="1031"/>
      <c r="Q564" s="1133">
        <f>IF(K564&lt;&gt;"Importado",0,IF(P564&gt;0,P564*H564,IFERROR(_xlfn.XLOOKUP(F564,Proveedores!A:A,Proveedores!F:F,0)*H564,0)))</f>
        <v>0</v>
      </c>
      <c r="R564" s="1134" t="e">
        <f t="shared" si="408"/>
        <v>#VALUE!</v>
      </c>
      <c r="S564" s="743"/>
      <c r="T564" s="1034" t="e">
        <f t="shared" si="395"/>
        <v>#N/A</v>
      </c>
      <c r="U564" s="1034" t="e">
        <f t="shared" si="409"/>
        <v>#N/A</v>
      </c>
      <c r="V564" s="1165" t="e">
        <f t="shared" si="396"/>
        <v>#N/A</v>
      </c>
      <c r="W564" s="1034" t="e">
        <f t="shared" si="410"/>
        <v>#N/A</v>
      </c>
      <c r="X564" s="1034" t="b">
        <f t="shared" si="411"/>
        <v>0</v>
      </c>
      <c r="Y564" s="1034">
        <f t="shared" si="412"/>
        <v>0</v>
      </c>
      <c r="Z564" s="1034">
        <f t="shared" si="413"/>
        <v>0</v>
      </c>
      <c r="AA564" s="1034">
        <f t="shared" si="397"/>
        <v>0</v>
      </c>
      <c r="AB564" s="1034">
        <f t="shared" si="398"/>
        <v>0</v>
      </c>
      <c r="AC564" s="1033">
        <f t="shared" si="414"/>
        <v>0</v>
      </c>
      <c r="AD564" s="1266">
        <f t="shared" si="399"/>
        <v>0</v>
      </c>
      <c r="AE564" s="1093">
        <f t="shared" si="415"/>
        <v>0</v>
      </c>
      <c r="AF564" s="1093">
        <f t="shared" si="416"/>
        <v>0</v>
      </c>
      <c r="AG564" s="1093">
        <f t="shared" si="400"/>
        <v>0</v>
      </c>
      <c r="AH564" s="1033" t="e">
        <f t="shared" si="401"/>
        <v>#DIV/0!</v>
      </c>
      <c r="AI564" s="1091">
        <f t="shared" si="402"/>
        <v>0</v>
      </c>
      <c r="AJ564" s="1094">
        <f t="shared" si="403"/>
        <v>0</v>
      </c>
      <c r="AK564" s="1053" t="str">
        <f t="shared" si="404"/>
        <v/>
      </c>
      <c r="AL564" s="1053"/>
      <c r="AM564" s="1290">
        <f>_xlfn.XLOOKUP(F564,Proveedores!A:A,Proveedores!G:G)</f>
        <v>0</v>
      </c>
      <c r="AN564" s="1095" t="str">
        <f t="shared" si="417"/>
        <v>OK</v>
      </c>
    </row>
    <row r="565" spans="1:40" ht="15.95">
      <c r="A565" s="1090" t="b">
        <f t="shared" si="392"/>
        <v>1</v>
      </c>
      <c r="B565" s="1091" t="b">
        <f t="shared" si="405"/>
        <v>1</v>
      </c>
      <c r="C565" s="1092" t="str">
        <f t="shared" si="406"/>
        <v>Dólares</v>
      </c>
      <c r="D565" s="15"/>
      <c r="E565" s="743"/>
      <c r="F565" s="17"/>
      <c r="G565" s="17" t="str">
        <f t="shared" si="393"/>
        <v xml:space="preserve"> </v>
      </c>
      <c r="H565" s="12">
        <v>0</v>
      </c>
      <c r="I565" s="16" t="str">
        <f>IFERROR(VLOOKUP(G565,Proveedores!B:C,2,0)," ")</f>
        <v xml:space="preserve"> </v>
      </c>
      <c r="J565" s="745">
        <v>0</v>
      </c>
      <c r="K565" s="745" t="str">
        <f t="shared" si="394"/>
        <v>Not Found</v>
      </c>
      <c r="L565" s="16">
        <f>IF(K565="Importado",Fletes!$B$66,0%)</f>
        <v>0</v>
      </c>
      <c r="M565" s="745">
        <f t="shared" si="407"/>
        <v>0</v>
      </c>
      <c r="N565" s="16">
        <f>IF(K565&lt;&gt;"Importado",0%,IF(Fletes!$B$67&lt;10,15%,IF(Fletes!$B$67&lt;20,10%,5%)))</f>
        <v>0</v>
      </c>
      <c r="O565" s="745" t="str">
        <f>IFERROR(IF(OR(F565="Offiho",F565="Lauco Sofas",F565="Requiez",F565="Labenze",F565="Sunon Mty",F565="Sonara"),(M565*(1-_xlfn.XLOOKUP(F565,Proveedores!A:A,Proveedores!I:I)))*(1+N565),((M565*(1-_xlfn.XLOOKUP(F565,Proveedores!A:A,Proveedores!I:I)))*(1+N565))+U565),"")</f>
        <v/>
      </c>
      <c r="P565" s="1031"/>
      <c r="Q565" s="1133">
        <f>IF(K565&lt;&gt;"Importado",0,IF(P565&gt;0,P565*H565,IFERROR(_xlfn.XLOOKUP(F565,Proveedores!A:A,Proveedores!F:F,0)*H565,0)))</f>
        <v>0</v>
      </c>
      <c r="R565" s="1134" t="e">
        <f t="shared" si="408"/>
        <v>#VALUE!</v>
      </c>
      <c r="S565" s="743"/>
      <c r="T565" s="1034" t="e">
        <f t="shared" si="395"/>
        <v>#N/A</v>
      </c>
      <c r="U565" s="1034" t="e">
        <f t="shared" si="409"/>
        <v>#N/A</v>
      </c>
      <c r="V565" s="1165" t="e">
        <f t="shared" si="396"/>
        <v>#N/A</v>
      </c>
      <c r="W565" s="1034" t="e">
        <f t="shared" si="410"/>
        <v>#N/A</v>
      </c>
      <c r="X565" s="1034" t="b">
        <f t="shared" si="411"/>
        <v>0</v>
      </c>
      <c r="Y565" s="1034">
        <f t="shared" si="412"/>
        <v>0</v>
      </c>
      <c r="Z565" s="1034">
        <f t="shared" si="413"/>
        <v>0</v>
      </c>
      <c r="AA565" s="1034">
        <f t="shared" si="397"/>
        <v>0</v>
      </c>
      <c r="AB565" s="1034">
        <f t="shared" si="398"/>
        <v>0</v>
      </c>
      <c r="AC565" s="1033">
        <f t="shared" si="414"/>
        <v>0</v>
      </c>
      <c r="AD565" s="1266">
        <f t="shared" si="399"/>
        <v>0</v>
      </c>
      <c r="AE565" s="1093">
        <f t="shared" si="415"/>
        <v>0</v>
      </c>
      <c r="AF565" s="1093">
        <f t="shared" si="416"/>
        <v>0</v>
      </c>
      <c r="AG565" s="1093">
        <f t="shared" si="400"/>
        <v>0</v>
      </c>
      <c r="AH565" s="1033" t="e">
        <f t="shared" si="401"/>
        <v>#DIV/0!</v>
      </c>
      <c r="AI565" s="1091">
        <f t="shared" si="402"/>
        <v>0</v>
      </c>
      <c r="AJ565" s="1094">
        <f t="shared" si="403"/>
        <v>0</v>
      </c>
      <c r="AK565" s="1053" t="str">
        <f t="shared" si="404"/>
        <v/>
      </c>
      <c r="AL565" s="1053"/>
      <c r="AM565" s="1290">
        <f>_xlfn.XLOOKUP(F565,Proveedores!A:A,Proveedores!G:G)</f>
        <v>0</v>
      </c>
      <c r="AN565" s="1095" t="str">
        <f t="shared" si="417"/>
        <v>OK</v>
      </c>
    </row>
    <row r="566" spans="1:40" ht="15.95">
      <c r="A566" s="1090" t="b">
        <f t="shared" si="392"/>
        <v>1</v>
      </c>
      <c r="B566" s="1091" t="b">
        <f t="shared" si="405"/>
        <v>1</v>
      </c>
      <c r="C566" s="1092" t="str">
        <f t="shared" si="406"/>
        <v>Dólares</v>
      </c>
      <c r="D566" s="15"/>
      <c r="E566" s="743"/>
      <c r="F566" s="17"/>
      <c r="G566" s="17" t="str">
        <f t="shared" si="393"/>
        <v xml:space="preserve"> </v>
      </c>
      <c r="H566" s="12">
        <v>0</v>
      </c>
      <c r="I566" s="16" t="str">
        <f>IFERROR(VLOOKUP(G566,Proveedores!B:C,2,0)," ")</f>
        <v xml:space="preserve"> </v>
      </c>
      <c r="J566" s="745">
        <v>0</v>
      </c>
      <c r="K566" s="745" t="str">
        <f t="shared" si="394"/>
        <v>Not Found</v>
      </c>
      <c r="L566" s="16">
        <f>IF(K566="Importado",Fletes!$B$66,0%)</f>
        <v>0</v>
      </c>
      <c r="M566" s="745">
        <f t="shared" si="407"/>
        <v>0</v>
      </c>
      <c r="N566" s="16">
        <f>IF(K566&lt;&gt;"Importado",0%,IF(Fletes!$B$67&lt;10,15%,IF(Fletes!$B$67&lt;20,10%,5%)))</f>
        <v>0</v>
      </c>
      <c r="O566" s="745" t="str">
        <f>IFERROR(IF(OR(F566="Offiho",F566="Lauco Sofas",F566="Requiez",F566="Labenze",F566="Sunon Mty",F566="Sonara"),(M566*(1-_xlfn.XLOOKUP(F566,Proveedores!A:A,Proveedores!I:I)))*(1+N566),((M566*(1-_xlfn.XLOOKUP(F566,Proveedores!A:A,Proveedores!I:I)))*(1+N566))+U566),"")</f>
        <v/>
      </c>
      <c r="P566" s="1031"/>
      <c r="Q566" s="1133">
        <f>IF(K566&lt;&gt;"Importado",0,IF(P566&gt;0,P566*H566,IFERROR(_xlfn.XLOOKUP(F566,Proveedores!A:A,Proveedores!F:F,0)*H566,0)))</f>
        <v>0</v>
      </c>
      <c r="R566" s="1134" t="e">
        <f t="shared" si="408"/>
        <v>#VALUE!</v>
      </c>
      <c r="S566" s="743"/>
      <c r="T566" s="1034" t="e">
        <f t="shared" si="395"/>
        <v>#N/A</v>
      </c>
      <c r="U566" s="1034" t="e">
        <f t="shared" si="409"/>
        <v>#N/A</v>
      </c>
      <c r="V566" s="1165" t="e">
        <f t="shared" si="396"/>
        <v>#N/A</v>
      </c>
      <c r="W566" s="1034" t="e">
        <f t="shared" si="410"/>
        <v>#N/A</v>
      </c>
      <c r="X566" s="1034" t="b">
        <f t="shared" si="411"/>
        <v>0</v>
      </c>
      <c r="Y566" s="1034">
        <f t="shared" si="412"/>
        <v>0</v>
      </c>
      <c r="Z566" s="1034">
        <f t="shared" si="413"/>
        <v>0</v>
      </c>
      <c r="AA566" s="1034">
        <f t="shared" si="397"/>
        <v>0</v>
      </c>
      <c r="AB566" s="1034">
        <f t="shared" si="398"/>
        <v>0</v>
      </c>
      <c r="AC566" s="1033">
        <f t="shared" si="414"/>
        <v>0</v>
      </c>
      <c r="AD566" s="1266">
        <f t="shared" si="399"/>
        <v>0</v>
      </c>
      <c r="AE566" s="1093">
        <f t="shared" si="415"/>
        <v>0</v>
      </c>
      <c r="AF566" s="1093">
        <f t="shared" si="416"/>
        <v>0</v>
      </c>
      <c r="AG566" s="1093">
        <f t="shared" si="400"/>
        <v>0</v>
      </c>
      <c r="AH566" s="1033" t="e">
        <f t="shared" si="401"/>
        <v>#DIV/0!</v>
      </c>
      <c r="AI566" s="1091">
        <f t="shared" si="402"/>
        <v>0</v>
      </c>
      <c r="AJ566" s="1094">
        <f t="shared" si="403"/>
        <v>0</v>
      </c>
      <c r="AK566" s="1053" t="str">
        <f t="shared" si="404"/>
        <v/>
      </c>
      <c r="AL566" s="1053"/>
      <c r="AM566" s="1290">
        <f>_xlfn.XLOOKUP(F566,Proveedores!A:A,Proveedores!G:G)</f>
        <v>0</v>
      </c>
      <c r="AN566" s="1095" t="str">
        <f t="shared" si="417"/>
        <v>OK</v>
      </c>
    </row>
    <row r="567" spans="1:40" ht="15.95">
      <c r="A567" s="1090" t="b">
        <f t="shared" si="392"/>
        <v>1</v>
      </c>
      <c r="B567" s="1091" t="b">
        <f t="shared" si="405"/>
        <v>1</v>
      </c>
      <c r="C567" s="1092" t="str">
        <f t="shared" si="406"/>
        <v>Dólares</v>
      </c>
      <c r="D567" s="14"/>
      <c r="E567" s="743"/>
      <c r="F567" s="17"/>
      <c r="G567" s="17" t="str">
        <f t="shared" si="393"/>
        <v xml:space="preserve"> </v>
      </c>
      <c r="H567" s="12">
        <v>0</v>
      </c>
      <c r="I567" s="16" t="str">
        <f>IFERROR(VLOOKUP(G567,Proveedores!B:C,2,0)," ")</f>
        <v xml:space="preserve"> </v>
      </c>
      <c r="J567" s="745">
        <v>0</v>
      </c>
      <c r="K567" s="745" t="str">
        <f t="shared" si="394"/>
        <v>Not Found</v>
      </c>
      <c r="L567" s="16">
        <f>IF(K567="Importado",Fletes!$B$66,0%)</f>
        <v>0</v>
      </c>
      <c r="M567" s="745">
        <f t="shared" si="407"/>
        <v>0</v>
      </c>
      <c r="N567" s="16">
        <f>IF(K567&lt;&gt;"Importado",0%,IF(Fletes!$B$67&lt;10,15%,IF(Fletes!$B$67&lt;20,10%,5%)))</f>
        <v>0</v>
      </c>
      <c r="O567" s="745" t="str">
        <f>IFERROR(IF(OR(F567="Offiho",F567="Lauco Sofas",F567="Requiez",F567="Labenze",F567="Sunon Mty",F567="Sonara"),(M567*(1-_xlfn.XLOOKUP(F567,Proveedores!A:A,Proveedores!I:I)))*(1+N567),((M567*(1-_xlfn.XLOOKUP(F567,Proveedores!A:A,Proveedores!I:I)))*(1+N567))+U567),"")</f>
        <v/>
      </c>
      <c r="P567" s="1031"/>
      <c r="Q567" s="1133">
        <f>IF(K567&lt;&gt;"Importado",0,IF(P567&gt;0,P567*H567,IFERROR(_xlfn.XLOOKUP(F567,Proveedores!A:A,Proveedores!F:F,0)*H567,0)))</f>
        <v>0</v>
      </c>
      <c r="R567" s="1134" t="e">
        <f t="shared" si="408"/>
        <v>#VALUE!</v>
      </c>
      <c r="S567" s="743"/>
      <c r="T567" s="1034" t="e">
        <f t="shared" si="395"/>
        <v>#N/A</v>
      </c>
      <c r="U567" s="1034" t="e">
        <f t="shared" si="409"/>
        <v>#N/A</v>
      </c>
      <c r="V567" s="1165" t="e">
        <f t="shared" si="396"/>
        <v>#N/A</v>
      </c>
      <c r="W567" s="1034" t="e">
        <f t="shared" si="410"/>
        <v>#N/A</v>
      </c>
      <c r="X567" s="1034" t="b">
        <f t="shared" si="411"/>
        <v>0</v>
      </c>
      <c r="Y567" s="1034">
        <f t="shared" si="412"/>
        <v>0</v>
      </c>
      <c r="Z567" s="1034">
        <f t="shared" si="413"/>
        <v>0</v>
      </c>
      <c r="AA567" s="1034">
        <f t="shared" si="397"/>
        <v>0</v>
      </c>
      <c r="AB567" s="1034">
        <f t="shared" si="398"/>
        <v>0</v>
      </c>
      <c r="AC567" s="1033">
        <f t="shared" si="414"/>
        <v>0</v>
      </c>
      <c r="AD567" s="1266">
        <f t="shared" si="399"/>
        <v>0</v>
      </c>
      <c r="AE567" s="1093">
        <f t="shared" si="415"/>
        <v>0</v>
      </c>
      <c r="AF567" s="1093">
        <f t="shared" si="416"/>
        <v>0</v>
      </c>
      <c r="AG567" s="1093">
        <f t="shared" si="400"/>
        <v>0</v>
      </c>
      <c r="AH567" s="1033" t="e">
        <f t="shared" si="401"/>
        <v>#DIV/0!</v>
      </c>
      <c r="AI567" s="1091">
        <f t="shared" si="402"/>
        <v>0</v>
      </c>
      <c r="AJ567" s="1094">
        <f t="shared" si="403"/>
        <v>0</v>
      </c>
      <c r="AK567" s="1053" t="str">
        <f t="shared" si="404"/>
        <v/>
      </c>
      <c r="AL567" s="1053"/>
      <c r="AM567" s="1290">
        <f>_xlfn.XLOOKUP(F567,Proveedores!A:A,Proveedores!G:G)</f>
        <v>0</v>
      </c>
      <c r="AN567" s="1095" t="str">
        <f t="shared" si="417"/>
        <v>OK</v>
      </c>
    </row>
    <row r="568" spans="1:40" ht="15.95">
      <c r="A568" s="1090" t="b">
        <f t="shared" si="392"/>
        <v>1</v>
      </c>
      <c r="B568" s="1091" t="b">
        <f t="shared" si="405"/>
        <v>1</v>
      </c>
      <c r="C568" s="1092" t="str">
        <f t="shared" si="406"/>
        <v>Dólares</v>
      </c>
      <c r="D568" s="14"/>
      <c r="E568" s="743"/>
      <c r="F568" s="17"/>
      <c r="G568" s="17" t="str">
        <f t="shared" si="393"/>
        <v xml:space="preserve"> </v>
      </c>
      <c r="H568" s="12">
        <v>0</v>
      </c>
      <c r="I568" s="16" t="str">
        <f>IFERROR(VLOOKUP(G568,Proveedores!B:C,2,0)," ")</f>
        <v xml:space="preserve"> </v>
      </c>
      <c r="J568" s="745">
        <v>0</v>
      </c>
      <c r="K568" s="745" t="str">
        <f t="shared" si="394"/>
        <v>Not Found</v>
      </c>
      <c r="L568" s="16">
        <f>IF(K568="Importado",Fletes!$B$66,0%)</f>
        <v>0</v>
      </c>
      <c r="M568" s="745">
        <f t="shared" si="407"/>
        <v>0</v>
      </c>
      <c r="N568" s="16">
        <f>IF(K568&lt;&gt;"Importado",0%,IF(Fletes!$B$67&lt;10,15%,IF(Fletes!$B$67&lt;20,10%,5%)))</f>
        <v>0</v>
      </c>
      <c r="O568" s="745" t="str">
        <f>IFERROR(IF(OR(F568="Offiho",F568="Lauco Sofas",F568="Requiez",F568="Labenze",F568="Sunon Mty",F568="Sonara"),(M568*(1-_xlfn.XLOOKUP(F568,Proveedores!A:A,Proveedores!I:I)))*(1+N568),((M568*(1-_xlfn.XLOOKUP(F568,Proveedores!A:A,Proveedores!I:I)))*(1+N568))+U568),"")</f>
        <v/>
      </c>
      <c r="P568" s="1031"/>
      <c r="Q568" s="1133">
        <f>IF(K568&lt;&gt;"Importado",0,IF(P568&gt;0,P568*H568,IFERROR(_xlfn.XLOOKUP(F568,Proveedores!A:A,Proveedores!F:F,0)*H568,0)))</f>
        <v>0</v>
      </c>
      <c r="R568" s="1134" t="e">
        <f t="shared" si="408"/>
        <v>#VALUE!</v>
      </c>
      <c r="S568" s="743"/>
      <c r="T568" s="1034" t="e">
        <f t="shared" si="395"/>
        <v>#N/A</v>
      </c>
      <c r="U568" s="1034" t="e">
        <f t="shared" si="409"/>
        <v>#N/A</v>
      </c>
      <c r="V568" s="1165" t="e">
        <f t="shared" si="396"/>
        <v>#N/A</v>
      </c>
      <c r="W568" s="1034" t="e">
        <f t="shared" si="410"/>
        <v>#N/A</v>
      </c>
      <c r="X568" s="1034" t="b">
        <f t="shared" si="411"/>
        <v>0</v>
      </c>
      <c r="Y568" s="1034">
        <f t="shared" si="412"/>
        <v>0</v>
      </c>
      <c r="Z568" s="1034">
        <f t="shared" si="413"/>
        <v>0</v>
      </c>
      <c r="AA568" s="1034">
        <f t="shared" si="397"/>
        <v>0</v>
      </c>
      <c r="AB568" s="1034">
        <f t="shared" si="398"/>
        <v>0</v>
      </c>
      <c r="AC568" s="1033">
        <f t="shared" si="414"/>
        <v>0</v>
      </c>
      <c r="AD568" s="1266">
        <f t="shared" si="399"/>
        <v>0</v>
      </c>
      <c r="AE568" s="1093">
        <f t="shared" si="415"/>
        <v>0</v>
      </c>
      <c r="AF568" s="1093">
        <f t="shared" si="416"/>
        <v>0</v>
      </c>
      <c r="AG568" s="1093">
        <f t="shared" si="400"/>
        <v>0</v>
      </c>
      <c r="AH568" s="1033" t="e">
        <f t="shared" si="401"/>
        <v>#DIV/0!</v>
      </c>
      <c r="AI568" s="1091">
        <f t="shared" si="402"/>
        <v>0</v>
      </c>
      <c r="AJ568" s="1094">
        <f t="shared" si="403"/>
        <v>0</v>
      </c>
      <c r="AK568" s="1053" t="str">
        <f t="shared" si="404"/>
        <v/>
      </c>
      <c r="AL568" s="1053"/>
      <c r="AM568" s="1290">
        <f>_xlfn.XLOOKUP(F568,Proveedores!A:A,Proveedores!G:G)</f>
        <v>0</v>
      </c>
      <c r="AN568" s="1095" t="str">
        <f t="shared" si="417"/>
        <v>OK</v>
      </c>
    </row>
    <row r="569" spans="1:40" ht="15.95">
      <c r="A569" s="1090" t="b">
        <f t="shared" si="392"/>
        <v>1</v>
      </c>
      <c r="B569" s="1091" t="b">
        <f t="shared" si="405"/>
        <v>1</v>
      </c>
      <c r="C569" s="1092" t="str">
        <f t="shared" si="406"/>
        <v>Dólares</v>
      </c>
      <c r="D569" s="14"/>
      <c r="E569" s="743"/>
      <c r="F569" s="17"/>
      <c r="G569" s="17" t="str">
        <f t="shared" si="393"/>
        <v xml:space="preserve"> </v>
      </c>
      <c r="H569" s="12">
        <v>0</v>
      </c>
      <c r="I569" s="16" t="str">
        <f>IFERROR(VLOOKUP(G569,Proveedores!B:C,2,0)," ")</f>
        <v xml:space="preserve"> </v>
      </c>
      <c r="J569" s="745">
        <v>0</v>
      </c>
      <c r="K569" s="745" t="str">
        <f t="shared" si="394"/>
        <v>Not Found</v>
      </c>
      <c r="L569" s="16">
        <f>IF(K569="Importado",Fletes!$B$66,0%)</f>
        <v>0</v>
      </c>
      <c r="M569" s="745">
        <f t="shared" si="407"/>
        <v>0</v>
      </c>
      <c r="N569" s="16">
        <f>IF(K569&lt;&gt;"Importado",0%,IF(Fletes!$B$67&lt;10,15%,IF(Fletes!$B$67&lt;20,10%,5%)))</f>
        <v>0</v>
      </c>
      <c r="O569" s="745" t="str">
        <f>IFERROR(IF(OR(F569="Offiho",F569="Lauco Sofas",F569="Requiez",F569="Labenze",F569="Sunon Mty",F569="Sonara"),(M569*(1-_xlfn.XLOOKUP(F569,Proveedores!A:A,Proveedores!I:I)))*(1+N569),((M569*(1-_xlfn.XLOOKUP(F569,Proveedores!A:A,Proveedores!I:I)))*(1+N569))+U569),"")</f>
        <v/>
      </c>
      <c r="P569" s="1031"/>
      <c r="Q569" s="1133">
        <f>IF(K569&lt;&gt;"Importado",0,IF(P569&gt;0,P569*H569,IFERROR(_xlfn.XLOOKUP(F569,Proveedores!A:A,Proveedores!F:F,0)*H569,0)))</f>
        <v>0</v>
      </c>
      <c r="R569" s="1134" t="e">
        <f t="shared" si="408"/>
        <v>#VALUE!</v>
      </c>
      <c r="S569" s="743"/>
      <c r="T569" s="1034" t="e">
        <f t="shared" si="395"/>
        <v>#N/A</v>
      </c>
      <c r="U569" s="1034" t="e">
        <f t="shared" si="409"/>
        <v>#N/A</v>
      </c>
      <c r="V569" s="1165" t="e">
        <f t="shared" si="396"/>
        <v>#N/A</v>
      </c>
      <c r="W569" s="1034" t="e">
        <f t="shared" si="410"/>
        <v>#N/A</v>
      </c>
      <c r="X569" s="1034" t="b">
        <f t="shared" si="411"/>
        <v>0</v>
      </c>
      <c r="Y569" s="1034">
        <f t="shared" si="412"/>
        <v>0</v>
      </c>
      <c r="Z569" s="1034">
        <f t="shared" si="413"/>
        <v>0</v>
      </c>
      <c r="AA569" s="1034">
        <f t="shared" si="397"/>
        <v>0</v>
      </c>
      <c r="AB569" s="1034">
        <f t="shared" si="398"/>
        <v>0</v>
      </c>
      <c r="AC569" s="1033">
        <f t="shared" si="414"/>
        <v>0</v>
      </c>
      <c r="AD569" s="1266">
        <f t="shared" si="399"/>
        <v>0</v>
      </c>
      <c r="AE569" s="1093">
        <f t="shared" si="415"/>
        <v>0</v>
      </c>
      <c r="AF569" s="1093">
        <f t="shared" si="416"/>
        <v>0</v>
      </c>
      <c r="AG569" s="1093">
        <f t="shared" si="400"/>
        <v>0</v>
      </c>
      <c r="AH569" s="1033" t="e">
        <f t="shared" si="401"/>
        <v>#DIV/0!</v>
      </c>
      <c r="AI569" s="1091">
        <f t="shared" si="402"/>
        <v>0</v>
      </c>
      <c r="AJ569" s="1094">
        <f t="shared" si="403"/>
        <v>0</v>
      </c>
      <c r="AK569" s="1053" t="str">
        <f t="shared" si="404"/>
        <v/>
      </c>
      <c r="AL569" s="1053"/>
      <c r="AM569" s="1290">
        <f>_xlfn.XLOOKUP(F569,Proveedores!A:A,Proveedores!G:G)</f>
        <v>0</v>
      </c>
      <c r="AN569" s="1095" t="str">
        <f t="shared" si="417"/>
        <v>OK</v>
      </c>
    </row>
    <row r="570" spans="1:40" ht="15.95">
      <c r="A570" s="1090" t="b">
        <f t="shared" si="392"/>
        <v>1</v>
      </c>
      <c r="B570" s="1091" t="b">
        <f t="shared" si="405"/>
        <v>1</v>
      </c>
      <c r="C570" s="1092" t="str">
        <f t="shared" si="406"/>
        <v>Dólares</v>
      </c>
      <c r="D570" s="14"/>
      <c r="E570" s="743"/>
      <c r="F570" s="17"/>
      <c r="G570" s="17" t="str">
        <f t="shared" si="393"/>
        <v xml:space="preserve"> </v>
      </c>
      <c r="H570" s="12">
        <v>0</v>
      </c>
      <c r="I570" s="16" t="str">
        <f>IFERROR(VLOOKUP(G570,Proveedores!B:C,2,0)," ")</f>
        <v xml:space="preserve"> </v>
      </c>
      <c r="J570" s="745">
        <v>0</v>
      </c>
      <c r="K570" s="745" t="str">
        <f t="shared" si="394"/>
        <v>Not Found</v>
      </c>
      <c r="L570" s="16">
        <f>IF(K570="Importado",Fletes!$B$66,0%)</f>
        <v>0</v>
      </c>
      <c r="M570" s="745">
        <f t="shared" si="407"/>
        <v>0</v>
      </c>
      <c r="N570" s="16">
        <f>IF(K570&lt;&gt;"Importado",0%,IF(Fletes!$B$67&lt;10,15%,IF(Fletes!$B$67&lt;20,10%,5%)))</f>
        <v>0</v>
      </c>
      <c r="O570" s="745" t="str">
        <f>IFERROR(IF(OR(F570="Offiho",F570="Lauco Sofas",F570="Requiez",F570="Labenze",F570="Sunon Mty",F570="Sonara"),(M570*(1-_xlfn.XLOOKUP(F570,Proveedores!A:A,Proveedores!I:I)))*(1+N570),((M570*(1-_xlfn.XLOOKUP(F570,Proveedores!A:A,Proveedores!I:I)))*(1+N570))+U570),"")</f>
        <v/>
      </c>
      <c r="P570" s="1031"/>
      <c r="Q570" s="1133">
        <f>IF(K570&lt;&gt;"Importado",0,IF(P570&gt;0,P570*H570,IFERROR(_xlfn.XLOOKUP(F570,Proveedores!A:A,Proveedores!F:F,0)*H570,0)))</f>
        <v>0</v>
      </c>
      <c r="R570" s="1134" t="e">
        <f t="shared" si="408"/>
        <v>#VALUE!</v>
      </c>
      <c r="S570" s="743"/>
      <c r="T570" s="1034" t="e">
        <f t="shared" si="395"/>
        <v>#N/A</v>
      </c>
      <c r="U570" s="1034" t="e">
        <f t="shared" si="409"/>
        <v>#N/A</v>
      </c>
      <c r="V570" s="1165" t="e">
        <f t="shared" si="396"/>
        <v>#N/A</v>
      </c>
      <c r="W570" s="1034" t="e">
        <f t="shared" si="410"/>
        <v>#N/A</v>
      </c>
      <c r="X570" s="1034" t="b">
        <f t="shared" si="411"/>
        <v>0</v>
      </c>
      <c r="Y570" s="1034">
        <f t="shared" si="412"/>
        <v>0</v>
      </c>
      <c r="Z570" s="1034">
        <f t="shared" si="413"/>
        <v>0</v>
      </c>
      <c r="AA570" s="1034">
        <f t="shared" si="397"/>
        <v>0</v>
      </c>
      <c r="AB570" s="1034">
        <f t="shared" si="398"/>
        <v>0</v>
      </c>
      <c r="AC570" s="1033">
        <f t="shared" si="414"/>
        <v>0</v>
      </c>
      <c r="AD570" s="1266">
        <f t="shared" si="399"/>
        <v>0</v>
      </c>
      <c r="AE570" s="1093">
        <f t="shared" si="415"/>
        <v>0</v>
      </c>
      <c r="AF570" s="1093">
        <f t="shared" si="416"/>
        <v>0</v>
      </c>
      <c r="AG570" s="1093">
        <f t="shared" si="400"/>
        <v>0</v>
      </c>
      <c r="AH570" s="1033" t="e">
        <f t="shared" si="401"/>
        <v>#DIV/0!</v>
      </c>
      <c r="AI570" s="1091">
        <f t="shared" si="402"/>
        <v>0</v>
      </c>
      <c r="AJ570" s="1094">
        <f t="shared" si="403"/>
        <v>0</v>
      </c>
      <c r="AK570" s="1053" t="str">
        <f t="shared" si="404"/>
        <v/>
      </c>
      <c r="AL570" s="1053"/>
      <c r="AM570" s="1290">
        <f>_xlfn.XLOOKUP(F570,Proveedores!A:A,Proveedores!G:G)</f>
        <v>0</v>
      </c>
      <c r="AN570" s="1095" t="str">
        <f t="shared" si="417"/>
        <v>OK</v>
      </c>
    </row>
    <row r="571" spans="1:40" ht="15.95">
      <c r="A571" s="1090" t="b">
        <f t="shared" si="392"/>
        <v>1</v>
      </c>
      <c r="B571" s="1091" t="b">
        <f t="shared" si="405"/>
        <v>1</v>
      </c>
      <c r="C571" s="1092" t="str">
        <f t="shared" si="406"/>
        <v>Dólares</v>
      </c>
      <c r="D571" s="14"/>
      <c r="E571" s="743"/>
      <c r="F571" s="17"/>
      <c r="G571" s="17" t="str">
        <f t="shared" si="393"/>
        <v xml:space="preserve"> </v>
      </c>
      <c r="H571" s="12">
        <v>0</v>
      </c>
      <c r="I571" s="16" t="str">
        <f>IFERROR(VLOOKUP(G571,Proveedores!B:C,2,0)," ")</f>
        <v xml:space="preserve"> </v>
      </c>
      <c r="J571" s="745">
        <v>0</v>
      </c>
      <c r="K571" s="745" t="str">
        <f t="shared" si="394"/>
        <v>Not Found</v>
      </c>
      <c r="L571" s="16">
        <f>IF(K571="Importado",Fletes!$B$66,0%)</f>
        <v>0</v>
      </c>
      <c r="M571" s="745">
        <f t="shared" si="407"/>
        <v>0</v>
      </c>
      <c r="N571" s="16">
        <f>IF(K571&lt;&gt;"Importado",0%,IF(Fletes!$B$67&lt;10,15%,IF(Fletes!$B$67&lt;20,10%,5%)))</f>
        <v>0</v>
      </c>
      <c r="O571" s="745" t="str">
        <f>IFERROR(IF(OR(F571="Offiho",F571="Lauco Sofas",F571="Requiez",F571="Labenze",F571="Sunon Mty",F571="Sonara"),(M571*(1-_xlfn.XLOOKUP(F571,Proveedores!A:A,Proveedores!I:I)))*(1+N571),((M571*(1-_xlfn.XLOOKUP(F571,Proveedores!A:A,Proveedores!I:I)))*(1+N571))+U571),"")</f>
        <v/>
      </c>
      <c r="P571" s="1031"/>
      <c r="Q571" s="1133">
        <f>IF(K571&lt;&gt;"Importado",0,IF(P571&gt;0,P571*H571,IFERROR(_xlfn.XLOOKUP(F571,Proveedores!A:A,Proveedores!F:F,0)*H571,0)))</f>
        <v>0</v>
      </c>
      <c r="R571" s="1134" t="e">
        <f t="shared" si="408"/>
        <v>#VALUE!</v>
      </c>
      <c r="S571" s="743"/>
      <c r="T571" s="1034" t="e">
        <f t="shared" si="395"/>
        <v>#N/A</v>
      </c>
      <c r="U571" s="1034" t="e">
        <f t="shared" si="409"/>
        <v>#N/A</v>
      </c>
      <c r="V571" s="1165" t="e">
        <f t="shared" si="396"/>
        <v>#N/A</v>
      </c>
      <c r="W571" s="1034" t="e">
        <f t="shared" si="410"/>
        <v>#N/A</v>
      </c>
      <c r="X571" s="1034" t="b">
        <f t="shared" si="411"/>
        <v>0</v>
      </c>
      <c r="Y571" s="1034">
        <f t="shared" si="412"/>
        <v>0</v>
      </c>
      <c r="Z571" s="1034">
        <f t="shared" si="413"/>
        <v>0</v>
      </c>
      <c r="AA571" s="1034">
        <f t="shared" si="397"/>
        <v>0</v>
      </c>
      <c r="AB571" s="1034">
        <f t="shared" si="398"/>
        <v>0</v>
      </c>
      <c r="AC571" s="1033">
        <f t="shared" si="414"/>
        <v>0</v>
      </c>
      <c r="AD571" s="1266">
        <f t="shared" si="399"/>
        <v>0</v>
      </c>
      <c r="AE571" s="1093">
        <f t="shared" si="415"/>
        <v>0</v>
      </c>
      <c r="AF571" s="1093">
        <f t="shared" si="416"/>
        <v>0</v>
      </c>
      <c r="AG571" s="1093">
        <f t="shared" si="400"/>
        <v>0</v>
      </c>
      <c r="AH571" s="1033" t="e">
        <f t="shared" si="401"/>
        <v>#DIV/0!</v>
      </c>
      <c r="AI571" s="1091">
        <f t="shared" si="402"/>
        <v>0</v>
      </c>
      <c r="AJ571" s="1094">
        <f t="shared" si="403"/>
        <v>0</v>
      </c>
      <c r="AK571" s="1053" t="str">
        <f t="shared" si="404"/>
        <v/>
      </c>
      <c r="AL571" s="1053"/>
      <c r="AM571" s="1290">
        <f>_xlfn.XLOOKUP(F571,Proveedores!A:A,Proveedores!G:G)</f>
        <v>0</v>
      </c>
      <c r="AN571" s="1095" t="str">
        <f t="shared" si="417"/>
        <v>OK</v>
      </c>
    </row>
    <row r="572" spans="1:40" ht="15.95">
      <c r="A572" s="1090" t="b">
        <f t="shared" si="392"/>
        <v>1</v>
      </c>
      <c r="B572" s="1091" t="b">
        <f t="shared" si="405"/>
        <v>1</v>
      </c>
      <c r="C572" s="1092" t="str">
        <f t="shared" si="406"/>
        <v>Dólares</v>
      </c>
      <c r="D572" s="14"/>
      <c r="E572" s="743"/>
      <c r="F572" s="17"/>
      <c r="G572" s="17" t="str">
        <f t="shared" si="393"/>
        <v xml:space="preserve"> </v>
      </c>
      <c r="H572" s="12">
        <v>0</v>
      </c>
      <c r="I572" s="16" t="str">
        <f>IFERROR(VLOOKUP(G572,Proveedores!B:C,2,0)," ")</f>
        <v xml:space="preserve"> </v>
      </c>
      <c r="J572" s="745">
        <v>0</v>
      </c>
      <c r="K572" s="745" t="str">
        <f t="shared" si="394"/>
        <v>Not Found</v>
      </c>
      <c r="L572" s="16">
        <f>IF(K572="Importado",Fletes!$B$66,0%)</f>
        <v>0</v>
      </c>
      <c r="M572" s="745">
        <f t="shared" si="407"/>
        <v>0</v>
      </c>
      <c r="N572" s="16">
        <f>IF(K572&lt;&gt;"Importado",0%,IF(Fletes!$B$67&lt;10,15%,IF(Fletes!$B$67&lt;20,10%,5%)))</f>
        <v>0</v>
      </c>
      <c r="O572" s="745" t="str">
        <f>IFERROR(IF(OR(F572="Offiho",F572="Lauco Sofas",F572="Requiez",F572="Labenze",F572="Sunon Mty",F572="Sonara"),(M572*(1-_xlfn.XLOOKUP(F572,Proveedores!A:A,Proveedores!I:I)))*(1+N572),((M572*(1-_xlfn.XLOOKUP(F572,Proveedores!A:A,Proveedores!I:I)))*(1+N572))+U572),"")</f>
        <v/>
      </c>
      <c r="P572" s="1031"/>
      <c r="Q572" s="1133">
        <f>IF(K572&lt;&gt;"Importado",0,IF(P572&gt;0,P572*H572,IFERROR(_xlfn.XLOOKUP(F572,Proveedores!A:A,Proveedores!F:F,0)*H572,0)))</f>
        <v>0</v>
      </c>
      <c r="R572" s="1134" t="e">
        <f t="shared" si="408"/>
        <v>#VALUE!</v>
      </c>
      <c r="S572" s="743"/>
      <c r="T572" s="1034" t="e">
        <f t="shared" si="395"/>
        <v>#N/A</v>
      </c>
      <c r="U572" s="1034" t="e">
        <f t="shared" si="409"/>
        <v>#N/A</v>
      </c>
      <c r="V572" s="1165" t="e">
        <f t="shared" si="396"/>
        <v>#N/A</v>
      </c>
      <c r="W572" s="1034" t="e">
        <f t="shared" si="410"/>
        <v>#N/A</v>
      </c>
      <c r="X572" s="1034" t="b">
        <f t="shared" si="411"/>
        <v>0</v>
      </c>
      <c r="Y572" s="1034">
        <f t="shared" si="412"/>
        <v>0</v>
      </c>
      <c r="Z572" s="1034">
        <f t="shared" si="413"/>
        <v>0</v>
      </c>
      <c r="AA572" s="1034">
        <f t="shared" si="397"/>
        <v>0</v>
      </c>
      <c r="AB572" s="1034">
        <f t="shared" si="398"/>
        <v>0</v>
      </c>
      <c r="AC572" s="1033">
        <f t="shared" si="414"/>
        <v>0</v>
      </c>
      <c r="AD572" s="1266">
        <f t="shared" si="399"/>
        <v>0</v>
      </c>
      <c r="AE572" s="1093">
        <f t="shared" si="415"/>
        <v>0</v>
      </c>
      <c r="AF572" s="1093">
        <f t="shared" si="416"/>
        <v>0</v>
      </c>
      <c r="AG572" s="1093">
        <f t="shared" si="400"/>
        <v>0</v>
      </c>
      <c r="AH572" s="1033" t="str">
        <f t="shared" si="401"/>
        <v>NA</v>
      </c>
      <c r="AI572" s="1091">
        <f t="shared" si="402"/>
        <v>0</v>
      </c>
      <c r="AJ572" s="1094">
        <f t="shared" si="403"/>
        <v>0</v>
      </c>
      <c r="AK572" s="1053" t="str">
        <f t="shared" si="404"/>
        <v/>
      </c>
      <c r="AL572" s="1053"/>
      <c r="AM572" s="1290">
        <f>_xlfn.XLOOKUP(F572,Proveedores!A:A,Proveedores!G:G)</f>
        <v>0</v>
      </c>
      <c r="AN572" s="1095" t="str">
        <f t="shared" si="417"/>
        <v>OK</v>
      </c>
    </row>
    <row r="573" spans="1:40" ht="24" customHeight="1">
      <c r="A573" s="1375" t="s">
        <v>157</v>
      </c>
      <c r="B573" s="1375"/>
      <c r="C573" s="1375"/>
      <c r="D573" s="1375"/>
      <c r="E573" s="1375"/>
      <c r="F573" s="1375"/>
      <c r="G573" s="1099"/>
      <c r="H573" s="1100" cm="1">
        <f t="array" ref="H573">SUM(IFERROR(H540:H572,0))</f>
        <v>0</v>
      </c>
      <c r="I573" s="1099"/>
      <c r="J573" s="1101"/>
      <c r="K573" s="1101"/>
      <c r="L573" s="1101"/>
      <c r="M573" s="1101"/>
      <c r="N573" s="1101"/>
      <c r="O573" s="1101"/>
      <c r="P573" s="1102"/>
      <c r="Q573" s="1100" cm="1">
        <f t="array" ref="Q573">SUM(IFERROR(Q540:Q572,0))</f>
        <v>0</v>
      </c>
      <c r="R573" s="1103" cm="1">
        <f t="array" ref="R573">SUM(IFERROR(R540:R572,0))</f>
        <v>0</v>
      </c>
      <c r="S573" s="1102"/>
      <c r="T573" s="1102"/>
      <c r="U573" s="1102"/>
      <c r="V573" s="1102"/>
      <c r="W573" s="1102"/>
      <c r="X573" s="1102"/>
      <c r="Y573" s="1102"/>
      <c r="Z573" s="1102"/>
      <c r="AA573" s="1102"/>
      <c r="AB573" s="1103" cm="1">
        <f t="array" ref="AB573">SUM(IFERROR(AB540:AB572,0))</f>
        <v>0</v>
      </c>
      <c r="AC573" s="1106" t="s">
        <v>127</v>
      </c>
      <c r="AD573" s="1102"/>
      <c r="AE573" s="1104"/>
      <c r="AF573" s="1104"/>
      <c r="AG573" s="1103" cm="1">
        <f t="array" ref="AG573">SUM(IFERROR(AG540:AG572,0))</f>
        <v>0</v>
      </c>
      <c r="AH573" s="1103"/>
      <c r="AI573" s="1103"/>
      <c r="AJ573" s="1103" cm="1">
        <f t="array" ref="AJ573">SUM(IFERROR(AJ540:AJ572,0))</f>
        <v>0</v>
      </c>
      <c r="AK573" s="1054" cm="1">
        <f t="array" ref="AK573">IFERROR(SUMPRODUCT(IFERROR(AG540:AG572,0),IFERROR(AK540:AK572,0))/SUMPRODUCT(IFERROR(AG540:AG572,0)),0)</f>
        <v>0</v>
      </c>
      <c r="AL573" s="1288"/>
      <c r="AM573" s="1288"/>
      <c r="AN573"/>
    </row>
    <row r="574" spans="1:40" ht="51">
      <c r="A574" s="1056"/>
      <c r="B574" s="1107"/>
      <c r="D574" s="1056"/>
      <c r="E574" s="1108"/>
      <c r="F574" s="1109" t="s">
        <v>158</v>
      </c>
      <c r="G574" s="1056"/>
      <c r="H574" s="1110">
        <f>H573+H538+H503+H468+H433+H398+H363+H328+H293+H258+H223+H188+H153+H118+H83+H48</f>
        <v>0</v>
      </c>
      <c r="I574" s="1058"/>
      <c r="J574" s="1108"/>
      <c r="K574" s="1108"/>
      <c r="L574" s="1108"/>
      <c r="M574" s="1108"/>
      <c r="N574" s="1108"/>
      <c r="O574" s="1108"/>
      <c r="P574" s="1111">
        <f>Q573+Q538+Q503+Q468+Q433+Q398+Q363+Q328+Q293+Q258+Q223+Q188+Q153+Q118+Q83+Q48</f>
        <v>0</v>
      </c>
      <c r="Q574" s="1112"/>
      <c r="R574" s="1113">
        <f>R48+R83+R118+R153+R188+R223+R258+R293+R328+R363+R398+R433+R468+R503+R538+R573</f>
        <v>0</v>
      </c>
      <c r="S574" s="1108"/>
      <c r="T574" s="1108"/>
      <c r="U574" s="1108"/>
      <c r="V574" s="1108"/>
      <c r="W574" s="1108"/>
      <c r="Y574" s="1108"/>
      <c r="AA574" s="1115" t="s">
        <v>159</v>
      </c>
      <c r="AB574" s="1115">
        <f>AB573+AB538+AB503+AB468+AB433+AB398+AB363+AB328+AB293+AB258+AB223+AB188+AB153+AB118+AB83+AB48</f>
        <v>0</v>
      </c>
      <c r="AC574" s="1108"/>
      <c r="AF574" s="1115" t="s">
        <v>160</v>
      </c>
      <c r="AG574" s="1115">
        <f>AG573+AG538+AG503+AG468+AG433+AG398+AG363+AG328+AG293+AG258+AG223+AG188+AG153+AG118+AG83+AG48</f>
        <v>0</v>
      </c>
      <c r="AI574" s="1115" t="s">
        <v>161</v>
      </c>
      <c r="AJ574" s="1115">
        <f>AJ573+AJ538+AJ503+AJ468+AJ433+AJ398+AJ363+AJ328+AJ293+AJ258+AJ223+AJ188+AJ153+AJ118+AJ83+AJ48</f>
        <v>0</v>
      </c>
      <c r="AK574" s="1057" cm="1">
        <f t="array" ref="AK574">IFERROR(SUMPRODUCT(IFERROR($AG$15:$AG$572,0),IFERROR($AK$15:$AK$572,0))/SUM(IFERROR($AG$15:$AG$572,0)),0)</f>
        <v>0</v>
      </c>
      <c r="AL574" s="1289"/>
      <c r="AM574" s="1289"/>
    </row>
    <row r="575" spans="1:40" ht="15.95">
      <c r="D575" s="1058"/>
      <c r="E575" s="1044"/>
      <c r="F575" s="1058"/>
      <c r="G575" s="1058"/>
      <c r="H575" s="1058"/>
      <c r="J575" s="1116"/>
      <c r="K575" s="1116"/>
      <c r="L575" s="1116"/>
      <c r="M575" s="1116"/>
      <c r="N575" s="1116"/>
      <c r="O575" s="1116"/>
      <c r="P575" s="1116"/>
      <c r="Q575" s="1117"/>
      <c r="R575" s="1118"/>
      <c r="S575" s="1044"/>
      <c r="T575" s="1044"/>
      <c r="U575" s="1044"/>
      <c r="V575" s="1044"/>
      <c r="W575" s="1044"/>
      <c r="X575" s="1044"/>
      <c r="Y575" s="1044"/>
      <c r="Z575" s="1044"/>
      <c r="AA575" s="1044"/>
      <c r="AB575" s="1043"/>
      <c r="AC575" s="1043"/>
      <c r="AD575" s="1043"/>
      <c r="AE575" s="1044"/>
      <c r="AF575" s="1078"/>
      <c r="AG575" s="1078"/>
      <c r="AH575" s="1078"/>
      <c r="AI575" s="1078"/>
      <c r="AJ575" s="1078"/>
      <c r="AK575" s="1077"/>
      <c r="AL575" s="1077"/>
      <c r="AM575" s="1077"/>
      <c r="AN575" s="1059"/>
    </row>
    <row r="576" spans="1:40" ht="15.95">
      <c r="D576" s="1060"/>
      <c r="E576" s="1044"/>
      <c r="F576" s="1060"/>
      <c r="G576" s="1060"/>
      <c r="H576" s="1060"/>
      <c r="I576" s="1096"/>
      <c r="J576" s="1119"/>
      <c r="K576" s="1119"/>
      <c r="L576" s="1119"/>
      <c r="M576" s="1119"/>
      <c r="N576" s="1119"/>
      <c r="O576" s="1119"/>
      <c r="P576" s="1119"/>
      <c r="Q576" s="1119"/>
      <c r="R576" s="1120"/>
      <c r="S576" s="1044"/>
      <c r="T576" s="1044"/>
      <c r="U576" s="1044"/>
      <c r="V576" s="1044"/>
      <c r="W576" s="1044"/>
      <c r="X576" s="1044"/>
      <c r="Y576" s="1044"/>
      <c r="Z576" s="1044"/>
      <c r="AA576" s="1044"/>
      <c r="AB576" s="1043"/>
      <c r="AC576" s="1043"/>
      <c r="AD576" s="1043"/>
      <c r="AE576" s="1044"/>
      <c r="AF576" s="1078"/>
      <c r="AG576" s="1078"/>
      <c r="AH576" s="1078"/>
      <c r="AI576" s="1078"/>
      <c r="AJ576" s="1078"/>
      <c r="AK576" s="1077"/>
      <c r="AL576" s="1077"/>
      <c r="AM576" s="1077"/>
      <c r="AN576" s="1059"/>
    </row>
    <row r="577" spans="4:47" ht="15.95">
      <c r="D577" s="1097"/>
      <c r="E577" s="1044"/>
      <c r="F577" s="1097"/>
      <c r="G577" s="1097"/>
      <c r="H577" s="1097"/>
      <c r="I577" s="1096"/>
      <c r="J577" s="1097"/>
      <c r="K577" s="1097"/>
      <c r="L577" s="1097"/>
      <c r="M577" s="1097"/>
      <c r="N577" s="1097"/>
      <c r="O577" s="1097"/>
      <c r="P577" s="1097"/>
      <c r="Q577" s="1097"/>
      <c r="R577" s="1121"/>
      <c r="S577" s="1044"/>
      <c r="T577" s="1044"/>
      <c r="U577" s="1044"/>
      <c r="V577" s="1044"/>
      <c r="W577" s="1044"/>
      <c r="X577" s="1044"/>
      <c r="Y577" s="1044"/>
      <c r="Z577" s="1044"/>
      <c r="AA577" s="1044"/>
      <c r="AB577" s="1043"/>
      <c r="AC577" s="1043"/>
      <c r="AD577" s="1043"/>
      <c r="AE577" s="1044"/>
      <c r="AF577" s="1078"/>
      <c r="AG577" s="1078"/>
      <c r="AH577" s="1078"/>
      <c r="AI577" s="1078"/>
      <c r="AJ577" s="1078"/>
      <c r="AK577" s="1077"/>
      <c r="AL577" s="1077"/>
      <c r="AM577" s="1077"/>
      <c r="AN577" s="1059"/>
      <c r="AP577" t="s">
        <v>162</v>
      </c>
    </row>
    <row r="578" spans="4:47" ht="17.100000000000001" thickBot="1">
      <c r="D578" s="1097"/>
      <c r="E578" s="1044"/>
      <c r="F578" s="1097"/>
      <c r="G578" s="1097"/>
      <c r="H578" s="1097"/>
      <c r="I578" s="1096"/>
      <c r="J578" s="1097"/>
      <c r="K578" s="1097"/>
      <c r="L578" s="1097"/>
      <c r="M578" s="1097"/>
      <c r="N578" s="1097"/>
      <c r="O578" s="1097"/>
      <c r="P578" s="1097"/>
      <c r="Q578" s="1097"/>
      <c r="R578" s="1121"/>
      <c r="S578" s="1044"/>
      <c r="T578" s="1044"/>
      <c r="U578" s="1044"/>
      <c r="V578" s="1044"/>
      <c r="W578" s="1044"/>
      <c r="X578" s="1044"/>
      <c r="Y578" s="1044"/>
      <c r="Z578" s="1044"/>
      <c r="AA578" s="1044"/>
      <c r="AB578" s="1043"/>
      <c r="AC578" s="1043"/>
      <c r="AD578" s="1043"/>
      <c r="AE578" s="1044"/>
      <c r="AF578" s="1078"/>
      <c r="AG578" s="1078"/>
      <c r="AH578" s="1078"/>
      <c r="AI578" s="1078"/>
      <c r="AJ578" s="1078"/>
      <c r="AK578" s="1077"/>
      <c r="AL578" s="1077"/>
      <c r="AM578" s="1077"/>
      <c r="AN578" s="1059"/>
      <c r="AO578" t="s">
        <v>163</v>
      </c>
      <c r="AP578" s="1051">
        <v>0.5</v>
      </c>
      <c r="AU578" t="s">
        <v>96</v>
      </c>
    </row>
    <row r="579" spans="4:47">
      <c r="D579" s="1373" t="s">
        <v>164</v>
      </c>
      <c r="E579" s="1374"/>
      <c r="F579" s="1097"/>
      <c r="G579" s="1097"/>
      <c r="H579" s="1097"/>
      <c r="I579" s="1096"/>
      <c r="J579" s="1096"/>
      <c r="K579" s="1096"/>
      <c r="L579" s="1096"/>
      <c r="M579" s="1096"/>
      <c r="N579" s="1096"/>
      <c r="O579" s="1096"/>
      <c r="P579" s="1097"/>
      <c r="Q579" s="1097"/>
      <c r="R579" s="1097"/>
      <c r="S579" s="1096"/>
      <c r="AE579" s="1078"/>
      <c r="AF579" s="1078"/>
      <c r="AG579" s="1078"/>
      <c r="AH579" s="1078"/>
      <c r="AI579" s="1078"/>
      <c r="AJ579" s="1078"/>
      <c r="AK579" s="1078"/>
      <c r="AL579" s="1078"/>
      <c r="AM579" s="1078"/>
      <c r="AN579" s="1078"/>
      <c r="AO579" t="s">
        <v>165</v>
      </c>
      <c r="AP579" s="1051">
        <v>0.5</v>
      </c>
      <c r="AU579">
        <v>20</v>
      </c>
    </row>
    <row r="580" spans="4:47">
      <c r="D580" s="1122"/>
      <c r="E580" s="1123" t="s">
        <v>162</v>
      </c>
      <c r="F580" s="1097"/>
      <c r="G580" s="1097"/>
      <c r="H580" s="1096"/>
      <c r="I580" s="1096"/>
      <c r="J580" s="1097"/>
      <c r="K580" s="1097"/>
      <c r="L580" s="1097"/>
      <c r="M580" s="1097"/>
      <c r="N580" s="1097"/>
      <c r="O580" s="1097"/>
      <c r="P580" s="1097"/>
      <c r="Q580" s="1097"/>
      <c r="R580" s="1121"/>
      <c r="Y580" s="1049"/>
      <c r="Z580" s="1049"/>
      <c r="AA580" s="1049"/>
      <c r="AD580" s="1078"/>
      <c r="AE580" s="1078"/>
      <c r="AF580" s="1078"/>
      <c r="AG580" s="1078"/>
      <c r="AH580" s="1078"/>
      <c r="AI580" s="1078"/>
      <c r="AJ580" s="1078"/>
      <c r="AK580" s="1078"/>
      <c r="AL580" s="1078"/>
      <c r="AM580" s="1078"/>
      <c r="AN580"/>
      <c r="AO580" t="s">
        <v>166</v>
      </c>
      <c r="AP580" s="1051">
        <v>0.5</v>
      </c>
      <c r="AT580">
        <v>50</v>
      </c>
    </row>
    <row r="581" spans="4:47">
      <c r="D581" s="1124" t="s">
        <v>163</v>
      </c>
      <c r="E581" s="1042">
        <v>0.5</v>
      </c>
      <c r="G581" s="1097"/>
      <c r="H581" s="1096"/>
      <c r="I581" s="1096"/>
      <c r="J581" s="1097"/>
      <c r="K581" s="1097"/>
      <c r="L581" s="1097"/>
      <c r="M581" s="1097"/>
      <c r="N581" s="1097"/>
      <c r="O581" s="1097"/>
      <c r="P581" s="1097"/>
      <c r="Q581" s="1097"/>
      <c r="R581" s="1121"/>
      <c r="Y581" s="1049"/>
      <c r="Z581" s="1049"/>
      <c r="AA581" s="1049"/>
      <c r="AD581" s="1078"/>
      <c r="AE581" s="1064"/>
      <c r="AK581" s="1064"/>
      <c r="AL581" s="1064"/>
      <c r="AM581" s="1064"/>
      <c r="AN581"/>
      <c r="AO581" t="s">
        <v>167</v>
      </c>
      <c r="AP581" s="1051">
        <v>0.5</v>
      </c>
      <c r="AT581">
        <v>50</v>
      </c>
    </row>
    <row r="582" spans="4:47">
      <c r="D582" s="1124" t="s">
        <v>165</v>
      </c>
      <c r="E582" s="1042">
        <v>0.5</v>
      </c>
      <c r="F582" s="1097"/>
      <c r="G582" s="1097"/>
      <c r="H582" s="1096"/>
      <c r="I582" s="1096"/>
      <c r="J582" s="1097"/>
      <c r="K582" s="1097"/>
      <c r="L582" s="1097"/>
      <c r="M582" s="1097"/>
      <c r="N582" s="1097"/>
      <c r="O582" s="1097"/>
      <c r="P582" s="1097"/>
      <c r="Q582" s="1097"/>
      <c r="R582" s="1121"/>
      <c r="Y582" s="1049"/>
      <c r="Z582" s="1049"/>
      <c r="AA582" s="1049"/>
      <c r="AD582" s="1078"/>
      <c r="AE582" s="1064"/>
      <c r="AK582" s="1064"/>
      <c r="AL582" s="1064"/>
      <c r="AM582" s="1064"/>
      <c r="AN582"/>
      <c r="AO582" t="s">
        <v>168</v>
      </c>
      <c r="AP582" s="1051">
        <v>0.5</v>
      </c>
    </row>
    <row r="583" spans="4:47">
      <c r="D583" s="1124" t="s">
        <v>166</v>
      </c>
      <c r="E583" s="1042">
        <v>0.5</v>
      </c>
      <c r="F583" s="1097"/>
      <c r="G583" s="1097"/>
      <c r="H583" s="1096"/>
      <c r="I583" s="1096"/>
      <c r="J583" s="1097"/>
      <c r="K583" s="1097"/>
      <c r="L583" s="1097"/>
      <c r="M583" s="1097"/>
      <c r="N583" s="1097"/>
      <c r="O583" s="1097"/>
      <c r="P583" s="1097"/>
      <c r="Q583" s="1097"/>
      <c r="R583" s="1121"/>
      <c r="Y583" s="1049"/>
      <c r="Z583" s="1049"/>
      <c r="AA583" s="1049"/>
      <c r="AE583" s="1064"/>
      <c r="AK583" s="1064"/>
      <c r="AL583" s="1064"/>
      <c r="AM583" s="1064"/>
      <c r="AN583"/>
      <c r="AO583" t="s">
        <v>169</v>
      </c>
      <c r="AP583" s="1051">
        <v>0.5</v>
      </c>
    </row>
    <row r="584" spans="4:47">
      <c r="D584" s="1124" t="s">
        <v>167</v>
      </c>
      <c r="E584" s="1042">
        <v>0.5</v>
      </c>
      <c r="F584" s="1097"/>
      <c r="G584" s="1097"/>
      <c r="H584" s="1096"/>
      <c r="I584" s="1096"/>
      <c r="J584" s="1097"/>
      <c r="K584" s="1097"/>
      <c r="L584" s="1097"/>
      <c r="M584" s="1097"/>
      <c r="N584" s="1097"/>
      <c r="O584" s="1097"/>
      <c r="P584" s="1097"/>
      <c r="Q584" s="1097"/>
      <c r="R584" s="1121"/>
      <c r="Y584" s="1049"/>
      <c r="Z584" s="1049"/>
      <c r="AA584" s="1049"/>
      <c r="AD584" s="1078"/>
      <c r="AE584" s="1064"/>
      <c r="AK584" s="1064"/>
      <c r="AL584" s="1064"/>
      <c r="AM584" s="1064"/>
      <c r="AN584"/>
      <c r="AO584" t="s">
        <v>170</v>
      </c>
      <c r="AP584" s="1051">
        <v>0.5</v>
      </c>
    </row>
    <row r="585" spans="4:47">
      <c r="D585" s="1124" t="s">
        <v>168</v>
      </c>
      <c r="E585" s="1042">
        <v>0.5</v>
      </c>
      <c r="F585" s="1097"/>
      <c r="G585" s="1097"/>
      <c r="H585" s="1096"/>
      <c r="I585" s="1096"/>
      <c r="J585" s="1097"/>
      <c r="K585" s="1097"/>
      <c r="L585" s="1097"/>
      <c r="M585" s="1097"/>
      <c r="N585" s="1097"/>
      <c r="O585" s="1097"/>
      <c r="P585" s="1097"/>
      <c r="Q585" s="1097"/>
      <c r="R585" s="1121"/>
      <c r="Y585" s="1049"/>
      <c r="Z585" s="1049"/>
      <c r="AA585" s="1049"/>
      <c r="AD585" s="1078"/>
      <c r="AE585" s="1064"/>
      <c r="AK585" s="1064"/>
      <c r="AL585" s="1064"/>
      <c r="AM585" s="1064"/>
      <c r="AN585"/>
      <c r="AO585" t="s">
        <v>171</v>
      </c>
      <c r="AP585" s="1051">
        <v>0.5</v>
      </c>
    </row>
    <row r="586" spans="4:47">
      <c r="D586" s="1124" t="s">
        <v>169</v>
      </c>
      <c r="E586" s="1042">
        <v>0.5</v>
      </c>
      <c r="F586" s="1097"/>
      <c r="G586" s="1097"/>
      <c r="H586" s="1096"/>
      <c r="I586" s="1096"/>
      <c r="J586" s="1097"/>
      <c r="K586" s="1097"/>
      <c r="L586" s="1097"/>
      <c r="M586" s="1097"/>
      <c r="N586" s="1097"/>
      <c r="O586" s="1097"/>
      <c r="P586" s="1097"/>
      <c r="Q586" s="1097"/>
      <c r="R586" s="1121"/>
      <c r="Y586" s="1049"/>
      <c r="Z586" s="1049"/>
      <c r="AA586" s="1049"/>
      <c r="AD586" s="1078"/>
      <c r="AE586" s="1064"/>
      <c r="AK586" s="1064"/>
      <c r="AL586" s="1064"/>
      <c r="AM586" s="1064"/>
      <c r="AN586"/>
      <c r="AO586" t="s">
        <v>172</v>
      </c>
      <c r="AP586" s="1051">
        <v>0.5</v>
      </c>
    </row>
    <row r="587" spans="4:47">
      <c r="D587" s="1124" t="s">
        <v>170</v>
      </c>
      <c r="E587" s="1042">
        <v>0.5</v>
      </c>
      <c r="F587" s="1097"/>
      <c r="G587" s="1097"/>
      <c r="H587" s="1096"/>
      <c r="I587" s="1096"/>
      <c r="J587" s="1125"/>
      <c r="K587" s="1125"/>
      <c r="L587" s="1125"/>
      <c r="M587" s="1125"/>
      <c r="N587" s="1125"/>
      <c r="O587" s="1125"/>
      <c r="P587" s="1125"/>
      <c r="Q587" s="1125"/>
      <c r="R587" s="1126"/>
      <c r="Y587" s="1049"/>
      <c r="Z587" s="1049"/>
      <c r="AA587" s="1049"/>
      <c r="AD587" s="1078"/>
      <c r="AE587" s="1064"/>
      <c r="AJ587" s="1064">
        <f>AY17-AY16</f>
        <v>0</v>
      </c>
      <c r="AK587" s="1064"/>
      <c r="AL587" s="1064"/>
      <c r="AM587" s="1064"/>
      <c r="AN587"/>
      <c r="AO587" t="s">
        <v>173</v>
      </c>
      <c r="AP587" s="1051">
        <v>0.5</v>
      </c>
    </row>
    <row r="588" spans="4:47">
      <c r="D588" s="1124" t="s">
        <v>171</v>
      </c>
      <c r="E588" s="1042">
        <v>0.5</v>
      </c>
      <c r="F588" s="1097"/>
      <c r="G588" s="1097"/>
      <c r="H588" s="1096"/>
      <c r="I588" s="1096"/>
      <c r="J588" s="1127"/>
      <c r="K588" s="1127"/>
      <c r="L588" s="1127"/>
      <c r="M588" s="1127"/>
      <c r="N588" s="1127"/>
      <c r="O588" s="1127"/>
      <c r="P588" s="1127"/>
      <c r="Q588" s="1127"/>
      <c r="R588" s="1128"/>
      <c r="Y588" s="1049"/>
      <c r="Z588" s="1049"/>
      <c r="AA588" s="1049"/>
      <c r="AE588" s="1064"/>
      <c r="AK588" s="1064"/>
      <c r="AL588" s="1064"/>
      <c r="AM588" s="1064"/>
      <c r="AN588"/>
      <c r="AO588" t="s">
        <v>174</v>
      </c>
      <c r="AP588" s="1051">
        <v>0.5</v>
      </c>
    </row>
    <row r="589" spans="4:47">
      <c r="D589" s="1124" t="s">
        <v>172</v>
      </c>
      <c r="E589" s="1042">
        <v>0.5</v>
      </c>
      <c r="F589" s="1097"/>
      <c r="G589" s="1097"/>
      <c r="H589" s="1096"/>
      <c r="I589" s="1096"/>
      <c r="J589" s="1127"/>
      <c r="K589" s="1127"/>
      <c r="L589" s="1127"/>
      <c r="M589" s="1127"/>
      <c r="N589" s="1127"/>
      <c r="O589" s="1127"/>
      <c r="P589" s="1127"/>
      <c r="Q589" s="1127"/>
      <c r="R589" s="1128"/>
      <c r="Y589" s="1049"/>
      <c r="Z589" s="1049"/>
      <c r="AA589" s="1049"/>
      <c r="AE589" s="1064"/>
      <c r="AK589" s="1064"/>
      <c r="AL589" s="1064"/>
      <c r="AM589" s="1064"/>
      <c r="AN589"/>
      <c r="AO589" t="s">
        <v>175</v>
      </c>
      <c r="AP589" s="1051">
        <v>0.5</v>
      </c>
    </row>
    <row r="590" spans="4:47">
      <c r="D590" s="1124" t="s">
        <v>173</v>
      </c>
      <c r="E590" s="1042">
        <v>0.5</v>
      </c>
      <c r="F590" s="1097"/>
      <c r="G590" s="1097"/>
      <c r="H590" s="1096"/>
      <c r="I590" s="1096"/>
      <c r="J590" s="1127"/>
      <c r="K590" s="1127"/>
      <c r="L590" s="1127"/>
      <c r="M590" s="1127"/>
      <c r="N590" s="1127"/>
      <c r="O590" s="1127"/>
      <c r="P590" s="1127"/>
      <c r="Q590" s="1127"/>
      <c r="R590" s="1128"/>
      <c r="Y590" s="1049"/>
      <c r="Z590" s="1049"/>
      <c r="AA590" s="1049"/>
      <c r="AD590" s="1096"/>
      <c r="AE590" s="1064"/>
      <c r="AK590" s="1064"/>
      <c r="AL590" s="1064"/>
      <c r="AM590" s="1064"/>
      <c r="AN590"/>
      <c r="AO590" t="s">
        <v>176</v>
      </c>
      <c r="AP590" s="1051">
        <v>0.5</v>
      </c>
    </row>
    <row r="591" spans="4:47" ht="17.100000000000001" thickBot="1">
      <c r="D591" s="1129" t="s">
        <v>174</v>
      </c>
      <c r="E591" s="1042">
        <v>0.5</v>
      </c>
      <c r="F591" s="1097"/>
      <c r="H591" s="1096"/>
      <c r="J591" s="1097"/>
      <c r="K591" s="1097"/>
      <c r="L591" s="1097"/>
      <c r="M591" s="1097"/>
      <c r="N591" s="1097"/>
      <c r="O591" s="1097"/>
      <c r="P591" s="1097"/>
      <c r="Q591" s="1097"/>
      <c r="R591" s="1121"/>
      <c r="Y591" s="1049"/>
      <c r="Z591" s="1049"/>
      <c r="AA591" s="1049"/>
      <c r="AD591" s="1096"/>
      <c r="AE591" s="1064"/>
      <c r="AK591" s="1064"/>
      <c r="AL591" s="1064"/>
      <c r="AM591" s="1064"/>
      <c r="AN591"/>
      <c r="AO591" t="s">
        <v>177</v>
      </c>
      <c r="AP591" s="1051">
        <v>0.5</v>
      </c>
    </row>
    <row r="592" spans="4:47" ht="15.95">
      <c r="D592" s="1129" t="s">
        <v>175</v>
      </c>
      <c r="E592" s="1042">
        <v>0.5</v>
      </c>
      <c r="F592" s="1399" t="s">
        <v>178</v>
      </c>
      <c r="H592" s="1130"/>
      <c r="Y592" s="1049"/>
      <c r="Z592" s="1049"/>
      <c r="AA592" s="1049"/>
      <c r="AD592" s="1064"/>
      <c r="AE592" s="1064"/>
      <c r="AK592" s="1064"/>
      <c r="AL592" s="1064"/>
      <c r="AM592" s="1064"/>
      <c r="AN592"/>
      <c r="AO592" t="s">
        <v>179</v>
      </c>
      <c r="AP592" s="1051">
        <v>0.5</v>
      </c>
    </row>
    <row r="593" spans="4:42" ht="15.95">
      <c r="D593" s="1129" t="s">
        <v>176</v>
      </c>
      <c r="E593" s="1042">
        <v>0.5</v>
      </c>
      <c r="F593" s="1400"/>
      <c r="H593" s="1130"/>
      <c r="Y593" s="1049"/>
      <c r="Z593" s="1049"/>
      <c r="AA593" s="1049"/>
      <c r="AD593" s="1064"/>
      <c r="AE593" s="1064"/>
      <c r="AK593" s="1064"/>
      <c r="AL593" s="1064"/>
      <c r="AM593" s="1064"/>
      <c r="AN593"/>
      <c r="AO593" t="s">
        <v>180</v>
      </c>
      <c r="AP593" s="1051">
        <v>0.2</v>
      </c>
    </row>
    <row r="594" spans="4:42" ht="15.95">
      <c r="D594" s="1129" t="s">
        <v>177</v>
      </c>
      <c r="E594" s="1042">
        <v>0.5</v>
      </c>
      <c r="F594" s="1400"/>
      <c r="H594" s="1130"/>
      <c r="Y594" s="1049"/>
      <c r="Z594" s="1049"/>
      <c r="AA594" s="1049"/>
      <c r="AD594" s="1064"/>
      <c r="AE594" s="1064"/>
      <c r="AK594" s="1064"/>
      <c r="AL594" s="1064"/>
      <c r="AM594" s="1064"/>
      <c r="AN594"/>
      <c r="AO594" t="s">
        <v>181</v>
      </c>
      <c r="AP594" s="1051">
        <v>0.2</v>
      </c>
    </row>
    <row r="595" spans="4:42" ht="15.95">
      <c r="D595" s="1129" t="s">
        <v>179</v>
      </c>
      <c r="E595" s="1042">
        <v>0.2</v>
      </c>
      <c r="F595" s="1400"/>
      <c r="H595" s="1130"/>
      <c r="T595" s="1049"/>
      <c r="U595" s="1049"/>
      <c r="V595" s="1049"/>
      <c r="W595" s="1049"/>
      <c r="X595" s="1049"/>
      <c r="AB595" s="1064"/>
      <c r="AC595" s="1064"/>
      <c r="AD595" s="1064"/>
      <c r="AE595" s="1064"/>
      <c r="AK595" s="1064"/>
      <c r="AL595" s="1064"/>
      <c r="AM595" s="1064"/>
      <c r="AN595"/>
      <c r="AO595" t="s">
        <v>182</v>
      </c>
      <c r="AP595" s="1051">
        <v>0.2</v>
      </c>
    </row>
    <row r="596" spans="4:42" ht="17.100000000000001" thickBot="1">
      <c r="D596" s="1129" t="s">
        <v>183</v>
      </c>
      <c r="E596" s="1042">
        <v>0.2</v>
      </c>
      <c r="F596" s="1401"/>
      <c r="H596" s="1130"/>
      <c r="T596" s="1049"/>
      <c r="U596" s="1049"/>
      <c r="V596" s="1049"/>
      <c r="W596" s="1049"/>
      <c r="X596" s="1049"/>
      <c r="AB596" s="1064"/>
      <c r="AC596" s="1064"/>
      <c r="AD596" s="1064"/>
      <c r="AE596" s="1064"/>
      <c r="AK596" s="1064"/>
      <c r="AL596" s="1064"/>
      <c r="AM596" s="1064"/>
      <c r="AN596"/>
      <c r="AO596" t="s">
        <v>184</v>
      </c>
      <c r="AP596" s="1051">
        <v>0.2</v>
      </c>
    </row>
    <row r="597" spans="4:42" ht="15.95">
      <c r="D597" s="1129" t="s">
        <v>181</v>
      </c>
      <c r="E597" s="1042">
        <v>0.2</v>
      </c>
      <c r="H597" s="1130"/>
      <c r="T597" s="1049"/>
      <c r="U597" s="1049"/>
      <c r="V597" s="1049"/>
      <c r="W597" s="1049"/>
      <c r="X597" s="1049"/>
      <c r="AB597" s="1064"/>
      <c r="AC597" s="1064"/>
      <c r="AD597" s="1064"/>
      <c r="AE597" s="1064"/>
      <c r="AK597" s="1064"/>
      <c r="AL597" s="1064"/>
      <c r="AM597" s="1064"/>
      <c r="AN597"/>
      <c r="AO597" t="s">
        <v>185</v>
      </c>
      <c r="AP597" s="1051">
        <v>0.2</v>
      </c>
    </row>
    <row r="598" spans="4:42" ht="15.95">
      <c r="D598" s="1129" t="s">
        <v>182</v>
      </c>
      <c r="E598" s="1042">
        <v>0.2</v>
      </c>
      <c r="H598" s="1130"/>
      <c r="T598" s="1049"/>
      <c r="U598" s="1049"/>
      <c r="V598" s="1049"/>
      <c r="W598" s="1049"/>
      <c r="X598" s="1049"/>
      <c r="AB598" s="1064"/>
      <c r="AC598" s="1064"/>
      <c r="AD598" s="1064"/>
      <c r="AE598" s="1064"/>
      <c r="AK598" s="1064"/>
      <c r="AL598" s="1064"/>
      <c r="AM598" s="1064"/>
      <c r="AN598"/>
      <c r="AO598" t="s">
        <v>186</v>
      </c>
      <c r="AP598" s="1051">
        <v>0.2</v>
      </c>
    </row>
    <row r="599" spans="4:42" ht="15.95">
      <c r="D599" s="1129" t="s">
        <v>184</v>
      </c>
      <c r="E599" s="1042">
        <v>0.2</v>
      </c>
      <c r="H599" s="1130"/>
      <c r="T599" s="1049"/>
      <c r="U599" s="1049"/>
      <c r="V599" s="1049"/>
      <c r="W599" s="1049"/>
      <c r="X599" s="1049"/>
      <c r="AB599" s="1064"/>
      <c r="AC599" s="1064"/>
      <c r="AD599" s="1064"/>
      <c r="AE599" s="1064"/>
      <c r="AK599" s="1064"/>
      <c r="AL599" s="1064"/>
      <c r="AM599" s="1064"/>
      <c r="AN599"/>
      <c r="AO599" t="s">
        <v>187</v>
      </c>
      <c r="AP599" s="1051">
        <v>0.2</v>
      </c>
    </row>
    <row r="600" spans="4:42" ht="15.95">
      <c r="D600" s="1129" t="s">
        <v>185</v>
      </c>
      <c r="E600" s="1042">
        <v>0.2</v>
      </c>
      <c r="H600" s="1130"/>
      <c r="T600" s="1049"/>
      <c r="U600" s="1049"/>
      <c r="V600" s="1049"/>
      <c r="W600" s="1049"/>
      <c r="X600" s="1049"/>
      <c r="AB600" s="1064"/>
      <c r="AC600" s="1064"/>
      <c r="AD600" s="1064"/>
      <c r="AE600" s="1064"/>
      <c r="AK600" s="1064"/>
      <c r="AL600" s="1064"/>
      <c r="AM600" s="1064"/>
      <c r="AN600"/>
      <c r="AO600" t="s">
        <v>188</v>
      </c>
      <c r="AP600" s="1051">
        <v>0.2</v>
      </c>
    </row>
    <row r="601" spans="4:42" ht="15.95">
      <c r="D601" s="1129" t="s">
        <v>186</v>
      </c>
      <c r="E601" s="1042">
        <v>0.2</v>
      </c>
      <c r="H601" s="1130"/>
      <c r="T601" s="1049"/>
      <c r="U601" s="1049"/>
      <c r="V601" s="1049"/>
      <c r="W601" s="1049"/>
      <c r="X601" s="1049"/>
      <c r="AB601" s="1064"/>
      <c r="AC601" s="1064"/>
      <c r="AD601" s="1064"/>
      <c r="AE601" s="1064"/>
      <c r="AK601" s="1064"/>
      <c r="AL601" s="1064"/>
      <c r="AM601" s="1064"/>
      <c r="AN601"/>
      <c r="AO601" t="s">
        <v>189</v>
      </c>
      <c r="AP601" s="1051">
        <v>0.2</v>
      </c>
    </row>
    <row r="602" spans="4:42" ht="15.95">
      <c r="D602" s="1129" t="s">
        <v>187</v>
      </c>
      <c r="E602" s="1042">
        <v>0.2</v>
      </c>
      <c r="H602" s="1130"/>
      <c r="T602" s="1049"/>
      <c r="U602" s="1049"/>
      <c r="V602" s="1049"/>
      <c r="W602" s="1049"/>
      <c r="X602" s="1049"/>
      <c r="AB602" s="1064"/>
      <c r="AC602" s="1064"/>
      <c r="AD602" s="1064"/>
      <c r="AE602" s="1064"/>
      <c r="AK602" s="1064"/>
      <c r="AL602" s="1064"/>
      <c r="AM602" s="1064"/>
      <c r="AN602"/>
      <c r="AO602" t="s">
        <v>190</v>
      </c>
      <c r="AP602" s="1051">
        <v>0.2</v>
      </c>
    </row>
    <row r="603" spans="4:42" ht="15.95">
      <c r="D603" s="1129" t="s">
        <v>188</v>
      </c>
      <c r="E603" s="1042">
        <v>0.2</v>
      </c>
      <c r="H603" s="1130"/>
      <c r="T603" s="1049"/>
      <c r="U603" s="1049"/>
      <c r="V603" s="1049"/>
      <c r="W603" s="1049"/>
      <c r="X603" s="1049"/>
      <c r="AB603" s="1064"/>
      <c r="AC603" s="1064"/>
      <c r="AD603" s="1064"/>
      <c r="AE603" s="1064"/>
      <c r="AK603" s="1064"/>
      <c r="AL603" s="1064"/>
      <c r="AM603" s="1064"/>
      <c r="AN603"/>
      <c r="AO603" t="s">
        <v>191</v>
      </c>
      <c r="AP603" s="1051">
        <v>0.2</v>
      </c>
    </row>
    <row r="604" spans="4:42" ht="15.95">
      <c r="D604" s="1129" t="s">
        <v>189</v>
      </c>
      <c r="E604" s="1042">
        <v>0.2</v>
      </c>
      <c r="H604" s="1130"/>
      <c r="T604" s="1049"/>
      <c r="U604" s="1049"/>
      <c r="V604" s="1049"/>
      <c r="W604" s="1049"/>
      <c r="X604" s="1049"/>
      <c r="AB604" s="1064"/>
      <c r="AC604" s="1064"/>
      <c r="AD604" s="1064"/>
      <c r="AE604" s="1064"/>
      <c r="AK604" s="1064"/>
      <c r="AL604" s="1064"/>
      <c r="AM604" s="1064"/>
      <c r="AN604"/>
      <c r="AO604" t="s">
        <v>192</v>
      </c>
      <c r="AP604" s="1051">
        <v>0.2</v>
      </c>
    </row>
    <row r="605" spans="4:42" ht="15.95">
      <c r="D605" s="1129" t="s">
        <v>190</v>
      </c>
      <c r="E605" s="1042">
        <v>0.2</v>
      </c>
      <c r="H605" s="1130"/>
      <c r="T605" s="1049"/>
      <c r="U605" s="1049"/>
      <c r="V605" s="1049"/>
      <c r="W605" s="1049"/>
      <c r="X605" s="1049"/>
      <c r="AB605" s="1064"/>
      <c r="AC605" s="1064"/>
      <c r="AD605" s="1064"/>
      <c r="AE605" s="1064"/>
      <c r="AK605" s="1064"/>
      <c r="AL605" s="1064"/>
      <c r="AM605" s="1064"/>
      <c r="AN605"/>
      <c r="AO605" t="s">
        <v>193</v>
      </c>
      <c r="AP605" s="1051">
        <v>0.2</v>
      </c>
    </row>
    <row r="606" spans="4:42" ht="15.95">
      <c r="D606" s="1129" t="s">
        <v>191</v>
      </c>
      <c r="E606" s="1042">
        <v>0.2</v>
      </c>
      <c r="H606" s="1130"/>
      <c r="T606" s="1049"/>
      <c r="U606" s="1049"/>
      <c r="V606" s="1049"/>
      <c r="W606" s="1049"/>
      <c r="X606" s="1049"/>
      <c r="AB606" s="1064"/>
      <c r="AC606" s="1064"/>
      <c r="AD606" s="1064"/>
      <c r="AE606" s="1064"/>
      <c r="AK606" s="1064"/>
      <c r="AL606" s="1064"/>
      <c r="AM606" s="1064"/>
      <c r="AN606"/>
      <c r="AO606" t="s">
        <v>194</v>
      </c>
      <c r="AP606" s="1051">
        <v>0.2</v>
      </c>
    </row>
    <row r="607" spans="4:42" ht="15.95">
      <c r="D607" s="1129" t="s">
        <v>192</v>
      </c>
      <c r="E607" s="1042">
        <v>0.2</v>
      </c>
      <c r="H607" s="1130"/>
      <c r="T607" s="1049"/>
      <c r="U607" s="1049"/>
      <c r="V607" s="1049"/>
      <c r="W607" s="1049"/>
      <c r="X607" s="1049"/>
      <c r="AB607" s="1064"/>
      <c r="AC607" s="1064"/>
      <c r="AD607" s="1064"/>
      <c r="AE607" s="1064"/>
      <c r="AK607" s="1064"/>
      <c r="AL607" s="1064"/>
      <c r="AM607" s="1064"/>
      <c r="AN607"/>
      <c r="AO607" t="s">
        <v>195</v>
      </c>
      <c r="AP607" s="1051">
        <v>0.2</v>
      </c>
    </row>
    <row r="608" spans="4:42" ht="15.95">
      <c r="D608" s="1129" t="s">
        <v>193</v>
      </c>
      <c r="E608" s="1042">
        <v>0.2</v>
      </c>
      <c r="H608" s="1130"/>
      <c r="T608" s="1049"/>
      <c r="U608" s="1049"/>
      <c r="V608" s="1049"/>
      <c r="W608" s="1049"/>
      <c r="X608" s="1049"/>
      <c r="AB608" s="1064"/>
      <c r="AC608" s="1064"/>
      <c r="AD608" s="1064"/>
      <c r="AE608" s="1064"/>
      <c r="AK608" s="1064"/>
      <c r="AL608" s="1064"/>
      <c r="AM608" s="1064"/>
      <c r="AN608"/>
      <c r="AO608" t="s">
        <v>196</v>
      </c>
      <c r="AP608" s="1051">
        <v>0.2</v>
      </c>
    </row>
    <row r="609" spans="4:42" ht="15.95">
      <c r="D609" s="1129" t="s">
        <v>194</v>
      </c>
      <c r="E609" s="1042">
        <v>0.2</v>
      </c>
      <c r="Y609" s="1049"/>
      <c r="Z609" s="1049"/>
      <c r="AA609" s="1049"/>
      <c r="AB609" s="1063"/>
      <c r="AO609" t="s">
        <v>197</v>
      </c>
      <c r="AP609" s="1051">
        <v>0.2</v>
      </c>
    </row>
    <row r="610" spans="4:42" ht="15.95">
      <c r="D610" s="1129" t="s">
        <v>195</v>
      </c>
      <c r="E610" s="1042">
        <v>0.2</v>
      </c>
      <c r="AO610" t="s">
        <v>198</v>
      </c>
      <c r="AP610" s="1051">
        <v>0.2</v>
      </c>
    </row>
    <row r="611" spans="4:42" ht="15.95">
      <c r="D611" s="1129" t="s">
        <v>196</v>
      </c>
      <c r="E611" s="1042">
        <v>0.2</v>
      </c>
      <c r="AO611" t="s">
        <v>199</v>
      </c>
      <c r="AP611" s="1051">
        <v>0</v>
      </c>
    </row>
    <row r="612" spans="4:42" ht="15.95">
      <c r="D612" s="1280" t="s">
        <v>197</v>
      </c>
      <c r="E612" s="1281">
        <v>0.2</v>
      </c>
      <c r="AO612" t="s">
        <v>200</v>
      </c>
      <c r="AP612" s="1051">
        <v>0.2</v>
      </c>
    </row>
    <row r="613" spans="4:42" ht="15.95">
      <c r="D613" s="1280" t="s">
        <v>198</v>
      </c>
      <c r="E613" s="1281">
        <v>0.2</v>
      </c>
    </row>
    <row r="614" spans="4:42" ht="17.100000000000001" thickBot="1">
      <c r="D614" s="1131" t="s">
        <v>200</v>
      </c>
      <c r="E614" s="1045">
        <v>0.2</v>
      </c>
    </row>
  </sheetData>
  <sheetProtection algorithmName="SHA-512" hashValue="Xex5kj2JsJEcCHykKM3EHibA2mKr0q8Unig2HLMtDQj4cwiLYsteH13UKIXmavRyqSzWCJFGAtDuXY4A+dnQAQ==" saltValue="ofBbXj8GUdoMOGQtu/zz4A==" spinCount="100000" sheet="1" formatColumns="0" formatRows="0"/>
  <mergeCells count="62">
    <mergeCell ref="AX15:AZ15"/>
    <mergeCell ref="AY16:AZ16"/>
    <mergeCell ref="AY17:AZ17"/>
    <mergeCell ref="AY18:AZ18"/>
    <mergeCell ref="BA13:BA20"/>
    <mergeCell ref="AX13:AZ14"/>
    <mergeCell ref="AY19:AZ19"/>
    <mergeCell ref="F592:F596"/>
    <mergeCell ref="A49:J49"/>
    <mergeCell ref="A434:J434"/>
    <mergeCell ref="A539:J539"/>
    <mergeCell ref="A504:J504"/>
    <mergeCell ref="A294:J294"/>
    <mergeCell ref="A259:J259"/>
    <mergeCell ref="A573:F573"/>
    <mergeCell ref="A538:F538"/>
    <mergeCell ref="A503:F503"/>
    <mergeCell ref="A468:F468"/>
    <mergeCell ref="A469:J469"/>
    <mergeCell ref="D14:J14"/>
    <mergeCell ref="A154:J154"/>
    <mergeCell ref="A119:J119"/>
    <mergeCell ref="A84:J84"/>
    <mergeCell ref="A399:J399"/>
    <mergeCell ref="A364:J364"/>
    <mergeCell ref="A329:J329"/>
    <mergeCell ref="A363:F363"/>
    <mergeCell ref="A224:J224"/>
    <mergeCell ref="A189:J189"/>
    <mergeCell ref="A398:F398"/>
    <mergeCell ref="AN3:AN4"/>
    <mergeCell ref="I12:X12"/>
    <mergeCell ref="A293:F293"/>
    <mergeCell ref="A258:F258"/>
    <mergeCell ref="A223:F223"/>
    <mergeCell ref="A188:F188"/>
    <mergeCell ref="A153:F153"/>
    <mergeCell ref="A3:E3"/>
    <mergeCell ref="E12:E13"/>
    <mergeCell ref="A118:F118"/>
    <mergeCell ref="A83:F83"/>
    <mergeCell ref="AC5:AC8"/>
    <mergeCell ref="A4:D4"/>
    <mergeCell ref="A5:D5"/>
    <mergeCell ref="Y12:AJ12"/>
    <mergeCell ref="A9:D9"/>
    <mergeCell ref="J2:Q2"/>
    <mergeCell ref="AE3:AE5"/>
    <mergeCell ref="D579:E579"/>
    <mergeCell ref="A328:F328"/>
    <mergeCell ref="A48:F48"/>
    <mergeCell ref="A6:D6"/>
    <mergeCell ref="A8:D8"/>
    <mergeCell ref="B12:B13"/>
    <mergeCell ref="A12:A13"/>
    <mergeCell ref="H12:H13"/>
    <mergeCell ref="D12:D13"/>
    <mergeCell ref="F12:F13"/>
    <mergeCell ref="G12:G13"/>
    <mergeCell ref="C12:C13"/>
    <mergeCell ref="A433:F433"/>
    <mergeCell ref="A7:D7"/>
  </mergeCells>
  <conditionalFormatting sqref="A15:H47">
    <cfRule type="containsText" dxfId="146" priority="979" operator="containsText" text="*">
      <formula>NOT(ISERROR(SEARCH("*",A15)))</formula>
    </cfRule>
  </conditionalFormatting>
  <conditionalFormatting sqref="A50:H82">
    <cfRule type="containsText" dxfId="145" priority="230" operator="containsText" text="*">
      <formula>NOT(ISERROR(SEARCH("*",A50)))</formula>
    </cfRule>
  </conditionalFormatting>
  <conditionalFormatting sqref="A85:H117">
    <cfRule type="containsText" dxfId="144" priority="229" operator="containsText" text="*">
      <formula>NOT(ISERROR(SEARCH("*",A85)))</formula>
    </cfRule>
  </conditionalFormatting>
  <conditionalFormatting sqref="A120:H152">
    <cfRule type="containsText" dxfId="143" priority="228" operator="containsText" text="*">
      <formula>NOT(ISERROR(SEARCH("*",A120)))</formula>
    </cfRule>
  </conditionalFormatting>
  <conditionalFormatting sqref="A155:H187">
    <cfRule type="containsText" dxfId="142" priority="227" operator="containsText" text="*">
      <formula>NOT(ISERROR(SEARCH("*",A155)))</formula>
    </cfRule>
  </conditionalFormatting>
  <conditionalFormatting sqref="A190:H222">
    <cfRule type="containsText" dxfId="141" priority="226" operator="containsText" text="*">
      <formula>NOT(ISERROR(SEARCH("*",A190)))</formula>
    </cfRule>
  </conditionalFormatting>
  <conditionalFormatting sqref="A225:H257">
    <cfRule type="containsText" dxfId="140" priority="225" operator="containsText" text="*">
      <formula>NOT(ISERROR(SEARCH("*",A225)))</formula>
    </cfRule>
  </conditionalFormatting>
  <conditionalFormatting sqref="A260:H292">
    <cfRule type="containsText" dxfId="139" priority="224" operator="containsText" text="*">
      <formula>NOT(ISERROR(SEARCH("*",A260)))</formula>
    </cfRule>
  </conditionalFormatting>
  <conditionalFormatting sqref="A295:H327">
    <cfRule type="containsText" dxfId="138" priority="223" operator="containsText" text="*">
      <formula>NOT(ISERROR(SEARCH("*",A295)))</formula>
    </cfRule>
  </conditionalFormatting>
  <conditionalFormatting sqref="A330:H362">
    <cfRule type="containsText" dxfId="137" priority="222" operator="containsText" text="*">
      <formula>NOT(ISERROR(SEARCH("*",A330)))</formula>
    </cfRule>
  </conditionalFormatting>
  <conditionalFormatting sqref="A365:H397">
    <cfRule type="containsText" dxfId="136" priority="221" operator="containsText" text="*">
      <formula>NOT(ISERROR(SEARCH("*",A365)))</formula>
    </cfRule>
  </conditionalFormatting>
  <conditionalFormatting sqref="A400:H432">
    <cfRule type="containsText" dxfId="135" priority="220" operator="containsText" text="*">
      <formula>NOT(ISERROR(SEARCH("*",A400)))</formula>
    </cfRule>
  </conditionalFormatting>
  <conditionalFormatting sqref="A435:H467">
    <cfRule type="containsText" dxfId="134" priority="219" operator="containsText" text="*">
      <formula>NOT(ISERROR(SEARCH("*",A435)))</formula>
    </cfRule>
  </conditionalFormatting>
  <conditionalFormatting sqref="A470:H502">
    <cfRule type="containsText" dxfId="133" priority="218" operator="containsText" text="*">
      <formula>NOT(ISERROR(SEARCH("*",A470)))</formula>
    </cfRule>
  </conditionalFormatting>
  <conditionalFormatting sqref="A505:H537">
    <cfRule type="containsText" dxfId="132" priority="217" operator="containsText" text="*">
      <formula>NOT(ISERROR(SEARCH("*",A505)))</formula>
    </cfRule>
  </conditionalFormatting>
  <conditionalFormatting sqref="A540:H572">
    <cfRule type="containsText" dxfId="131" priority="215" operator="containsText" text="*">
      <formula>NOT(ISERROR(SEARCH("*",A540)))</formula>
    </cfRule>
  </conditionalFormatting>
  <conditionalFormatting sqref="D15:D47 F15:H47 D50:D82 F50:H82 D85:D117 F85:H117 D120:D152 F120:H152 D155:D187 F155:H187 D190:D222 F190:H222 D225:D257 F225:H257 D260:D292 F260:H292 D295:D327 F295:H327 D330:D362 F330:H362 D365:D397 F365:H397 D400:D432 F400:H432 D435:D467 F435:H467 D470:D502 F470:H502 D505:D537 F505:H537 D540:D572 F540:H572">
    <cfRule type="containsBlanks" dxfId="130" priority="1446">
      <formula>LEN(TRIM(D15))=0</formula>
    </cfRule>
  </conditionalFormatting>
  <conditionalFormatting sqref="P15:P47 P50:P82 P85:P117 P120:P152 P155:P187 P190:P222 P225:P257 P260:P292 P295:P327 P330:P362 P365:P397 P400:P432 P435:P467 P470:P502 P505:P537 P540:P572">
    <cfRule type="containsText" dxfId="129" priority="1220" operator="containsText" text="*">
      <formula>NOT(ISERROR(SEARCH("*",P15)))</formula>
    </cfRule>
    <cfRule type="containsBlanks" dxfId="128" priority="1219">
      <formula>LEN(TRIM(P15))=0</formula>
    </cfRule>
  </conditionalFormatting>
  <conditionalFormatting sqref="S50:AB82">
    <cfRule type="containsText" dxfId="127" priority="357" operator="containsText" text="*">
      <formula>NOT(ISERROR(SEARCH("*",S50)))</formula>
    </cfRule>
  </conditionalFormatting>
  <conditionalFormatting sqref="S85:AB117">
    <cfRule type="containsText" dxfId="126" priority="355" operator="containsText" text="*">
      <formula>NOT(ISERROR(SEARCH("*",S85)))</formula>
    </cfRule>
  </conditionalFormatting>
  <conditionalFormatting sqref="S120:AB152">
    <cfRule type="containsText" dxfId="125" priority="353" operator="containsText" text="*">
      <formula>NOT(ISERROR(SEARCH("*",S120)))</formula>
    </cfRule>
  </conditionalFormatting>
  <conditionalFormatting sqref="S155:AB187">
    <cfRule type="containsText" dxfId="124" priority="351" operator="containsText" text="*">
      <formula>NOT(ISERROR(SEARCH("*",S155)))</formula>
    </cfRule>
  </conditionalFormatting>
  <conditionalFormatting sqref="S190:AB222">
    <cfRule type="containsText" dxfId="123" priority="349" operator="containsText" text="*">
      <formula>NOT(ISERROR(SEARCH("*",S190)))</formula>
    </cfRule>
  </conditionalFormatting>
  <conditionalFormatting sqref="S225:AB257">
    <cfRule type="containsText" dxfId="122" priority="347" operator="containsText" text="*">
      <formula>NOT(ISERROR(SEARCH("*",S225)))</formula>
    </cfRule>
  </conditionalFormatting>
  <conditionalFormatting sqref="S260:AB292">
    <cfRule type="containsText" dxfId="121" priority="345" operator="containsText" text="*">
      <formula>NOT(ISERROR(SEARCH("*",S260)))</formula>
    </cfRule>
  </conditionalFormatting>
  <conditionalFormatting sqref="S295:AB327">
    <cfRule type="containsText" dxfId="120" priority="343" operator="containsText" text="*">
      <formula>NOT(ISERROR(SEARCH("*",S295)))</formula>
    </cfRule>
  </conditionalFormatting>
  <conditionalFormatting sqref="S330:AB362">
    <cfRule type="containsText" dxfId="119" priority="341" operator="containsText" text="*">
      <formula>NOT(ISERROR(SEARCH("*",S330)))</formula>
    </cfRule>
  </conditionalFormatting>
  <conditionalFormatting sqref="S365:AB397">
    <cfRule type="containsText" dxfId="118" priority="339" operator="containsText" text="*">
      <formula>NOT(ISERROR(SEARCH("*",S365)))</formula>
    </cfRule>
  </conditionalFormatting>
  <conditionalFormatting sqref="S400:AB432">
    <cfRule type="containsText" dxfId="117" priority="337" operator="containsText" text="*">
      <formula>NOT(ISERROR(SEARCH("*",S400)))</formula>
    </cfRule>
  </conditionalFormatting>
  <conditionalFormatting sqref="S435:AB467">
    <cfRule type="containsText" dxfId="116" priority="335" operator="containsText" text="*">
      <formula>NOT(ISERROR(SEARCH("*",S435)))</formula>
    </cfRule>
  </conditionalFormatting>
  <conditionalFormatting sqref="S470:AB502">
    <cfRule type="containsText" dxfId="115" priority="333" operator="containsText" text="*">
      <formula>NOT(ISERROR(SEARCH("*",S470)))</formula>
    </cfRule>
  </conditionalFormatting>
  <conditionalFormatting sqref="S505:AB537">
    <cfRule type="containsText" dxfId="114" priority="331" operator="containsText" text="*">
      <formula>NOT(ISERROR(SEARCH("*",S505)))</formula>
    </cfRule>
  </conditionalFormatting>
  <conditionalFormatting sqref="S540:AB572">
    <cfRule type="containsText" dxfId="113" priority="327" operator="containsText" text="*">
      <formula>NOT(ISERROR(SEARCH("*",S540)))</formula>
    </cfRule>
  </conditionalFormatting>
  <conditionalFormatting sqref="S15:AI47">
    <cfRule type="containsText" dxfId="112" priority="374" operator="containsText" text="*">
      <formula>NOT(ISERROR(SEARCH("*",S15)))</formula>
    </cfRule>
  </conditionalFormatting>
  <conditionalFormatting sqref="Y15:AA47 Y50:AA82 Y85:AA117 Y120:AA152 Y155:AA187 Y190:AA222 Y225:AA257 Y260:AA292 Y295:AA327 Y330:AA362 Y365:AA397 Y400:AA432 Y435:AA467 Y470:AA502 Y505:AA537 Y540:AA572">
    <cfRule type="expression" dxfId="111" priority="1028">
      <formula>IF($A$14=FALSE,$AH:$AJ,)</formula>
    </cfRule>
  </conditionalFormatting>
  <conditionalFormatting sqref="Y50:AA82">
    <cfRule type="containsText" dxfId="110" priority="60" operator="containsText" text="*">
      <formula>NOT(ISERROR(SEARCH("*",Y50)))</formula>
    </cfRule>
  </conditionalFormatting>
  <conditionalFormatting sqref="Y85:AA117">
    <cfRule type="containsText" dxfId="109" priority="59" operator="containsText" text="*">
      <formula>NOT(ISERROR(SEARCH("*",Y85)))</formula>
    </cfRule>
  </conditionalFormatting>
  <conditionalFormatting sqref="Y120:AA152">
    <cfRule type="containsText" dxfId="108" priority="58" operator="containsText" text="*">
      <formula>NOT(ISERROR(SEARCH("*",Y120)))</formula>
    </cfRule>
  </conditionalFormatting>
  <conditionalFormatting sqref="Y155:AA187">
    <cfRule type="containsText" dxfId="107" priority="57" operator="containsText" text="*">
      <formula>NOT(ISERROR(SEARCH("*",Y155)))</formula>
    </cfRule>
  </conditionalFormatting>
  <conditionalFormatting sqref="Y190:AA222">
    <cfRule type="containsText" dxfId="106" priority="56" operator="containsText" text="*">
      <formula>NOT(ISERROR(SEARCH("*",Y190)))</formula>
    </cfRule>
  </conditionalFormatting>
  <conditionalFormatting sqref="Y225:AA257">
    <cfRule type="containsText" dxfId="105" priority="55" operator="containsText" text="*">
      <formula>NOT(ISERROR(SEARCH("*",Y225)))</formula>
    </cfRule>
  </conditionalFormatting>
  <conditionalFormatting sqref="Y260:AA292">
    <cfRule type="containsText" dxfId="104" priority="54" operator="containsText" text="*">
      <formula>NOT(ISERROR(SEARCH("*",Y260)))</formula>
    </cfRule>
  </conditionalFormatting>
  <conditionalFormatting sqref="Y295:AA327">
    <cfRule type="containsText" dxfId="103" priority="53" operator="containsText" text="*">
      <formula>NOT(ISERROR(SEARCH("*",Y295)))</formula>
    </cfRule>
  </conditionalFormatting>
  <conditionalFormatting sqref="Y330:AA362">
    <cfRule type="containsText" dxfId="102" priority="52" operator="containsText" text="*">
      <formula>NOT(ISERROR(SEARCH("*",Y330)))</formula>
    </cfRule>
  </conditionalFormatting>
  <conditionalFormatting sqref="Y365:AA397">
    <cfRule type="containsText" dxfId="101" priority="51" operator="containsText" text="*">
      <formula>NOT(ISERROR(SEARCH("*",Y365)))</formula>
    </cfRule>
  </conditionalFormatting>
  <conditionalFormatting sqref="Y400:AA432">
    <cfRule type="containsText" dxfId="100" priority="50" operator="containsText" text="*">
      <formula>NOT(ISERROR(SEARCH("*",Y400)))</formula>
    </cfRule>
  </conditionalFormatting>
  <conditionalFormatting sqref="Y435:AA467">
    <cfRule type="containsText" dxfId="99" priority="49" operator="containsText" text="*">
      <formula>NOT(ISERROR(SEARCH("*",Y435)))</formula>
    </cfRule>
  </conditionalFormatting>
  <conditionalFormatting sqref="Y470:AA502">
    <cfRule type="containsText" dxfId="98" priority="48" operator="containsText" text="*">
      <formula>NOT(ISERROR(SEARCH("*",Y470)))</formula>
    </cfRule>
  </conditionalFormatting>
  <conditionalFormatting sqref="Y505:AA537">
    <cfRule type="containsText" dxfId="97" priority="47" operator="containsText" text="*">
      <formula>NOT(ISERROR(SEARCH("*",Y505)))</formula>
    </cfRule>
  </conditionalFormatting>
  <conditionalFormatting sqref="Y540:AA572">
    <cfRule type="containsText" dxfId="96" priority="46" operator="containsText" text="*">
      <formula>NOT(ISERROR(SEARCH("*",Y540)))</formula>
    </cfRule>
  </conditionalFormatting>
  <conditionalFormatting sqref="AA15:AA573">
    <cfRule type="containsText" dxfId="95" priority="326" operator="containsText" text="NO SE ESTA RESPETANDO EL MARGEN">
      <formula>NOT(ISERROR(SEARCH("NO SE ESTA RESPETANDO EL MARGEN",AA15)))</formula>
    </cfRule>
  </conditionalFormatting>
  <conditionalFormatting sqref="AC50:AI82">
    <cfRule type="containsText" dxfId="94" priority="45" operator="containsText" text="*">
      <formula>NOT(ISERROR(SEARCH("*",AC50)))</formula>
    </cfRule>
  </conditionalFormatting>
  <conditionalFormatting sqref="AC85:AI117">
    <cfRule type="containsText" dxfId="93" priority="44" operator="containsText" text="*">
      <formula>NOT(ISERROR(SEARCH("*",AC85)))</formula>
    </cfRule>
  </conditionalFormatting>
  <conditionalFormatting sqref="AC120:AI152">
    <cfRule type="containsText" dxfId="92" priority="43" operator="containsText" text="*">
      <formula>NOT(ISERROR(SEARCH("*",AC120)))</formula>
    </cfRule>
  </conditionalFormatting>
  <conditionalFormatting sqref="AC155:AI187">
    <cfRule type="containsText" dxfId="91" priority="42" operator="containsText" text="*">
      <formula>NOT(ISERROR(SEARCH("*",AC155)))</formula>
    </cfRule>
  </conditionalFormatting>
  <conditionalFormatting sqref="AC190:AI222">
    <cfRule type="containsText" dxfId="90" priority="41" operator="containsText" text="*">
      <formula>NOT(ISERROR(SEARCH("*",AC190)))</formula>
    </cfRule>
  </conditionalFormatting>
  <conditionalFormatting sqref="AC225:AI257">
    <cfRule type="containsText" dxfId="89" priority="40" operator="containsText" text="*">
      <formula>NOT(ISERROR(SEARCH("*",AC225)))</formula>
    </cfRule>
  </conditionalFormatting>
  <conditionalFormatting sqref="AC260:AI292">
    <cfRule type="containsText" dxfId="88" priority="39" operator="containsText" text="*">
      <formula>NOT(ISERROR(SEARCH("*",AC260)))</formula>
    </cfRule>
  </conditionalFormatting>
  <conditionalFormatting sqref="AC295:AI327">
    <cfRule type="containsText" dxfId="87" priority="38" operator="containsText" text="*">
      <formula>NOT(ISERROR(SEARCH("*",AC295)))</formula>
    </cfRule>
  </conditionalFormatting>
  <conditionalFormatting sqref="AC330:AI362">
    <cfRule type="containsText" dxfId="86" priority="37" operator="containsText" text="*">
      <formula>NOT(ISERROR(SEARCH("*",AC330)))</formula>
    </cfRule>
  </conditionalFormatting>
  <conditionalFormatting sqref="AC365:AI397">
    <cfRule type="containsText" dxfId="85" priority="36" operator="containsText" text="*">
      <formula>NOT(ISERROR(SEARCH("*",AC365)))</formula>
    </cfRule>
  </conditionalFormatting>
  <conditionalFormatting sqref="AC400:AI432">
    <cfRule type="containsText" dxfId="84" priority="35" operator="containsText" text="*">
      <formula>NOT(ISERROR(SEARCH("*",AC400)))</formula>
    </cfRule>
  </conditionalFormatting>
  <conditionalFormatting sqref="AC435:AI467">
    <cfRule type="containsText" dxfId="83" priority="34" operator="containsText" text="*">
      <formula>NOT(ISERROR(SEARCH("*",AC435)))</formula>
    </cfRule>
  </conditionalFormatting>
  <conditionalFormatting sqref="AC470:AI502">
    <cfRule type="containsText" dxfId="82" priority="33" operator="containsText" text="*">
      <formula>NOT(ISERROR(SEARCH("*",AC470)))</formula>
    </cfRule>
  </conditionalFormatting>
  <conditionalFormatting sqref="AC505:AI537">
    <cfRule type="containsText" dxfId="81" priority="32" operator="containsText" text="*">
      <formula>NOT(ISERROR(SEARCH("*",AC505)))</formula>
    </cfRule>
  </conditionalFormatting>
  <conditionalFormatting sqref="AC540:AI572">
    <cfRule type="containsText" dxfId="80" priority="31" operator="containsText" text="*">
      <formula>NOT(ISERROR(SEARCH("*",AC540)))</formula>
    </cfRule>
  </conditionalFormatting>
  <conditionalFormatting sqref="AN15:AN47">
    <cfRule type="iconSet" priority="1451">
      <iconSet>
        <cfvo type="percent" val="0"/>
        <cfvo type="percent" val="30"/>
        <cfvo type="percent" val="30"/>
      </iconSet>
    </cfRule>
    <cfRule type="containsText" dxfId="79" priority="1448" operator="containsText" text="ERROR">
      <formula>NOT(ISERROR(SEARCH("ERROR",AN15)))</formula>
    </cfRule>
    <cfRule type="iconSet" priority="1450">
      <iconSet showValue="0">
        <cfvo type="percent" val="0"/>
        <cfvo type="percent" val="$AK$15"/>
        <cfvo type="percent" val="$AN$1864"/>
      </iconSet>
    </cfRule>
    <cfRule type="containsText" dxfId="78" priority="1449" operator="containsText" text="OK">
      <formula>NOT(ISERROR(SEARCH("OK",AN15)))</formula>
    </cfRule>
  </conditionalFormatting>
  <conditionalFormatting sqref="AN50:AN82">
    <cfRule type="iconSet" priority="168">
      <iconSet>
        <cfvo type="percent" val="0"/>
        <cfvo type="percent" val="30"/>
        <cfvo type="percent" val="30"/>
      </iconSet>
    </cfRule>
    <cfRule type="iconSet" priority="167">
      <iconSet showValue="0">
        <cfvo type="percent" val="0"/>
        <cfvo type="percent" val="$AK$15"/>
        <cfvo type="percent" val="$AN$1864"/>
      </iconSet>
    </cfRule>
    <cfRule type="containsText" dxfId="77" priority="166" operator="containsText" text="OK">
      <formula>NOT(ISERROR(SEARCH("OK",AN50)))</formula>
    </cfRule>
    <cfRule type="containsText" dxfId="76" priority="165" operator="containsText" text="ERROR">
      <formula>NOT(ISERROR(SEARCH("ERROR",AN50)))</formula>
    </cfRule>
  </conditionalFormatting>
  <conditionalFormatting sqref="AN85:AN117">
    <cfRule type="iconSet" priority="164">
      <iconSet>
        <cfvo type="percent" val="0"/>
        <cfvo type="percent" val="30"/>
        <cfvo type="percent" val="30"/>
      </iconSet>
    </cfRule>
    <cfRule type="iconSet" priority="163">
      <iconSet showValue="0">
        <cfvo type="percent" val="0"/>
        <cfvo type="percent" val="$AK$15"/>
        <cfvo type="percent" val="$AN$1864"/>
      </iconSet>
    </cfRule>
    <cfRule type="containsText" dxfId="75" priority="162" operator="containsText" text="OK">
      <formula>NOT(ISERROR(SEARCH("OK",AN85)))</formula>
    </cfRule>
    <cfRule type="containsText" dxfId="74" priority="161" operator="containsText" text="ERROR">
      <formula>NOT(ISERROR(SEARCH("ERROR",AN85)))</formula>
    </cfRule>
  </conditionalFormatting>
  <conditionalFormatting sqref="AN120:AN152">
    <cfRule type="iconSet" priority="160">
      <iconSet>
        <cfvo type="percent" val="0"/>
        <cfvo type="percent" val="30"/>
        <cfvo type="percent" val="30"/>
      </iconSet>
    </cfRule>
    <cfRule type="iconSet" priority="159">
      <iconSet showValue="0">
        <cfvo type="percent" val="0"/>
        <cfvo type="percent" val="$AK$15"/>
        <cfvo type="percent" val="$AN$1864"/>
      </iconSet>
    </cfRule>
    <cfRule type="containsText" dxfId="73" priority="158" operator="containsText" text="OK">
      <formula>NOT(ISERROR(SEARCH("OK",AN120)))</formula>
    </cfRule>
    <cfRule type="containsText" dxfId="72" priority="157" operator="containsText" text="ERROR">
      <formula>NOT(ISERROR(SEARCH("ERROR",AN120)))</formula>
    </cfRule>
  </conditionalFormatting>
  <conditionalFormatting sqref="AN155:AN187">
    <cfRule type="iconSet" priority="156">
      <iconSet>
        <cfvo type="percent" val="0"/>
        <cfvo type="percent" val="30"/>
        <cfvo type="percent" val="30"/>
      </iconSet>
    </cfRule>
    <cfRule type="iconSet" priority="155">
      <iconSet showValue="0">
        <cfvo type="percent" val="0"/>
        <cfvo type="percent" val="$AK$15"/>
        <cfvo type="percent" val="$AN$1864"/>
      </iconSet>
    </cfRule>
    <cfRule type="containsText" dxfId="71" priority="154" operator="containsText" text="OK">
      <formula>NOT(ISERROR(SEARCH("OK",AN155)))</formula>
    </cfRule>
    <cfRule type="containsText" dxfId="70" priority="153" operator="containsText" text="ERROR">
      <formula>NOT(ISERROR(SEARCH("ERROR",AN155)))</formula>
    </cfRule>
  </conditionalFormatting>
  <conditionalFormatting sqref="AN190:AN222">
    <cfRule type="iconSet" priority="152">
      <iconSet>
        <cfvo type="percent" val="0"/>
        <cfvo type="percent" val="30"/>
        <cfvo type="percent" val="30"/>
      </iconSet>
    </cfRule>
    <cfRule type="iconSet" priority="151">
      <iconSet showValue="0">
        <cfvo type="percent" val="0"/>
        <cfvo type="percent" val="$AK$15"/>
        <cfvo type="percent" val="$AN$1864"/>
      </iconSet>
    </cfRule>
    <cfRule type="containsText" dxfId="69" priority="150" operator="containsText" text="OK">
      <formula>NOT(ISERROR(SEARCH("OK",AN190)))</formula>
    </cfRule>
    <cfRule type="containsText" dxfId="68" priority="149" operator="containsText" text="ERROR">
      <formula>NOT(ISERROR(SEARCH("ERROR",AN190)))</formula>
    </cfRule>
  </conditionalFormatting>
  <conditionalFormatting sqref="AN225:AN257">
    <cfRule type="containsText" dxfId="67" priority="146" operator="containsText" text="OK">
      <formula>NOT(ISERROR(SEARCH("OK",AN225)))</formula>
    </cfRule>
    <cfRule type="iconSet" priority="148">
      <iconSet>
        <cfvo type="percent" val="0"/>
        <cfvo type="percent" val="30"/>
        <cfvo type="percent" val="30"/>
      </iconSet>
    </cfRule>
    <cfRule type="containsText" dxfId="66" priority="145" operator="containsText" text="ERROR">
      <formula>NOT(ISERROR(SEARCH("ERROR",AN225)))</formula>
    </cfRule>
    <cfRule type="iconSet" priority="147">
      <iconSet showValue="0">
        <cfvo type="percent" val="0"/>
        <cfvo type="percent" val="$AK$15"/>
        <cfvo type="percent" val="$AN$1864"/>
      </iconSet>
    </cfRule>
  </conditionalFormatting>
  <conditionalFormatting sqref="AN260:AN292">
    <cfRule type="iconSet" priority="144">
      <iconSet>
        <cfvo type="percent" val="0"/>
        <cfvo type="percent" val="30"/>
        <cfvo type="percent" val="30"/>
      </iconSet>
    </cfRule>
    <cfRule type="iconSet" priority="143">
      <iconSet showValue="0">
        <cfvo type="percent" val="0"/>
        <cfvo type="percent" val="$AK$15"/>
        <cfvo type="percent" val="$AN$1864"/>
      </iconSet>
    </cfRule>
    <cfRule type="containsText" dxfId="65" priority="142" operator="containsText" text="OK">
      <formula>NOT(ISERROR(SEARCH("OK",AN260)))</formula>
    </cfRule>
    <cfRule type="containsText" dxfId="64" priority="141" operator="containsText" text="ERROR">
      <formula>NOT(ISERROR(SEARCH("ERROR",AN260)))</formula>
    </cfRule>
  </conditionalFormatting>
  <conditionalFormatting sqref="AN295:AN327">
    <cfRule type="iconSet" priority="139">
      <iconSet showValue="0">
        <cfvo type="percent" val="0"/>
        <cfvo type="percent" val="$AK$15"/>
        <cfvo type="percent" val="$AN$1864"/>
      </iconSet>
    </cfRule>
    <cfRule type="containsText" dxfId="63" priority="138" operator="containsText" text="OK">
      <formula>NOT(ISERROR(SEARCH("OK",AN295)))</formula>
    </cfRule>
    <cfRule type="containsText" dxfId="62" priority="137" operator="containsText" text="ERROR">
      <formula>NOT(ISERROR(SEARCH("ERROR",AN295)))</formula>
    </cfRule>
    <cfRule type="iconSet" priority="140">
      <iconSet>
        <cfvo type="percent" val="0"/>
        <cfvo type="percent" val="30"/>
        <cfvo type="percent" val="30"/>
      </iconSet>
    </cfRule>
  </conditionalFormatting>
  <conditionalFormatting sqref="AN330:AN362">
    <cfRule type="iconSet" priority="136">
      <iconSet>
        <cfvo type="percent" val="0"/>
        <cfvo type="percent" val="30"/>
        <cfvo type="percent" val="30"/>
      </iconSet>
    </cfRule>
    <cfRule type="iconSet" priority="135">
      <iconSet showValue="0">
        <cfvo type="percent" val="0"/>
        <cfvo type="percent" val="$AK$15"/>
        <cfvo type="percent" val="$AN$1864"/>
      </iconSet>
    </cfRule>
    <cfRule type="containsText" dxfId="61" priority="134" operator="containsText" text="OK">
      <formula>NOT(ISERROR(SEARCH("OK",AN330)))</formula>
    </cfRule>
    <cfRule type="containsText" dxfId="60" priority="133" operator="containsText" text="ERROR">
      <formula>NOT(ISERROR(SEARCH("ERROR",AN330)))</formula>
    </cfRule>
  </conditionalFormatting>
  <conditionalFormatting sqref="AN365:AN397">
    <cfRule type="iconSet" priority="131">
      <iconSet showValue="0">
        <cfvo type="percent" val="0"/>
        <cfvo type="percent" val="$AK$15"/>
        <cfvo type="percent" val="$AN$1864"/>
      </iconSet>
    </cfRule>
    <cfRule type="containsText" dxfId="59" priority="130" operator="containsText" text="OK">
      <formula>NOT(ISERROR(SEARCH("OK",AN365)))</formula>
    </cfRule>
    <cfRule type="containsText" dxfId="58" priority="129" operator="containsText" text="ERROR">
      <formula>NOT(ISERROR(SEARCH("ERROR",AN365)))</formula>
    </cfRule>
    <cfRule type="iconSet" priority="132">
      <iconSet>
        <cfvo type="percent" val="0"/>
        <cfvo type="percent" val="30"/>
        <cfvo type="percent" val="30"/>
      </iconSet>
    </cfRule>
  </conditionalFormatting>
  <conditionalFormatting sqref="AN400:AN432">
    <cfRule type="iconSet" priority="128">
      <iconSet>
        <cfvo type="percent" val="0"/>
        <cfvo type="percent" val="30"/>
        <cfvo type="percent" val="30"/>
      </iconSet>
    </cfRule>
    <cfRule type="iconSet" priority="127">
      <iconSet showValue="0">
        <cfvo type="percent" val="0"/>
        <cfvo type="percent" val="$AK$15"/>
        <cfvo type="percent" val="$AN$1864"/>
      </iconSet>
    </cfRule>
    <cfRule type="containsText" dxfId="57" priority="126" operator="containsText" text="OK">
      <formula>NOT(ISERROR(SEARCH("OK",AN400)))</formula>
    </cfRule>
    <cfRule type="containsText" dxfId="56" priority="125" operator="containsText" text="ERROR">
      <formula>NOT(ISERROR(SEARCH("ERROR",AN400)))</formula>
    </cfRule>
  </conditionalFormatting>
  <conditionalFormatting sqref="AN435:AN467">
    <cfRule type="containsText" dxfId="55" priority="122" operator="containsText" text="OK">
      <formula>NOT(ISERROR(SEARCH("OK",AN435)))</formula>
    </cfRule>
    <cfRule type="containsText" dxfId="54" priority="121" operator="containsText" text="ERROR">
      <formula>NOT(ISERROR(SEARCH("ERROR",AN435)))</formula>
    </cfRule>
    <cfRule type="iconSet" priority="123">
      <iconSet showValue="0">
        <cfvo type="percent" val="0"/>
        <cfvo type="percent" val="$AK$15"/>
        <cfvo type="percent" val="$AN$1864"/>
      </iconSet>
    </cfRule>
    <cfRule type="iconSet" priority="124">
      <iconSet>
        <cfvo type="percent" val="0"/>
        <cfvo type="percent" val="30"/>
        <cfvo type="percent" val="30"/>
      </iconSet>
    </cfRule>
  </conditionalFormatting>
  <conditionalFormatting sqref="AN470:AN502">
    <cfRule type="iconSet" priority="119">
      <iconSet showValue="0">
        <cfvo type="percent" val="0"/>
        <cfvo type="percent" val="$AK$15"/>
        <cfvo type="percent" val="$AN$1864"/>
      </iconSet>
    </cfRule>
    <cfRule type="iconSet" priority="120">
      <iconSet>
        <cfvo type="percent" val="0"/>
        <cfvo type="percent" val="30"/>
        <cfvo type="percent" val="30"/>
      </iconSet>
    </cfRule>
    <cfRule type="containsText" dxfId="53" priority="117" operator="containsText" text="ERROR">
      <formula>NOT(ISERROR(SEARCH("ERROR",AN470)))</formula>
    </cfRule>
    <cfRule type="containsText" dxfId="52" priority="118" operator="containsText" text="OK">
      <formula>NOT(ISERROR(SEARCH("OK",AN470)))</formula>
    </cfRule>
  </conditionalFormatting>
  <conditionalFormatting sqref="AN505:AN537">
    <cfRule type="iconSet" priority="116">
      <iconSet>
        <cfvo type="percent" val="0"/>
        <cfvo type="percent" val="30"/>
        <cfvo type="percent" val="30"/>
      </iconSet>
    </cfRule>
    <cfRule type="iconSet" priority="115">
      <iconSet showValue="0">
        <cfvo type="percent" val="0"/>
        <cfvo type="percent" val="$AK$15"/>
        <cfvo type="percent" val="$AN$1864"/>
      </iconSet>
    </cfRule>
    <cfRule type="containsText" dxfId="51" priority="114" operator="containsText" text="OK">
      <formula>NOT(ISERROR(SEARCH("OK",AN505)))</formula>
    </cfRule>
    <cfRule type="containsText" dxfId="50" priority="113" operator="containsText" text="ERROR">
      <formula>NOT(ISERROR(SEARCH("ERROR",AN505)))</formula>
    </cfRule>
  </conditionalFormatting>
  <conditionalFormatting sqref="AN540:AN572">
    <cfRule type="iconSet" priority="112">
      <iconSet>
        <cfvo type="percent" val="0"/>
        <cfvo type="percent" val="30"/>
        <cfvo type="percent" val="30"/>
      </iconSet>
    </cfRule>
    <cfRule type="iconSet" priority="111">
      <iconSet showValue="0">
        <cfvo type="percent" val="0"/>
        <cfvo type="percent" val="$AK$15"/>
        <cfvo type="percent" val="$AN$1864"/>
      </iconSet>
    </cfRule>
    <cfRule type="containsText" dxfId="49" priority="110" operator="containsText" text="OK">
      <formula>NOT(ISERROR(SEARCH("OK",AN540)))</formula>
    </cfRule>
    <cfRule type="containsText" dxfId="48" priority="109" operator="containsText" text="ERROR">
      <formula>NOT(ISERROR(SEARCH("ERROR",AN540)))</formula>
    </cfRule>
  </conditionalFormatting>
  <conditionalFormatting sqref="Y50:Y82">
    <cfRule type="containsText" dxfId="47" priority="30" operator="containsText" text="*">
      <formula>NOT(ISERROR(SEARCH("*",Y50)))</formula>
    </cfRule>
  </conditionalFormatting>
  <conditionalFormatting sqref="Y85:Y117">
    <cfRule type="containsText" dxfId="46" priority="29" operator="containsText" text="*">
      <formula>NOT(ISERROR(SEARCH("*",Y85)))</formula>
    </cfRule>
  </conditionalFormatting>
  <conditionalFormatting sqref="Y120:Y152">
    <cfRule type="containsText" dxfId="45" priority="28" operator="containsText" text="*">
      <formula>NOT(ISERROR(SEARCH("*",Y120)))</formula>
    </cfRule>
  </conditionalFormatting>
  <conditionalFormatting sqref="Y155:Y187">
    <cfRule type="containsText" dxfId="44" priority="27" operator="containsText" text="*">
      <formula>NOT(ISERROR(SEARCH("*",Y155)))</formula>
    </cfRule>
  </conditionalFormatting>
  <conditionalFormatting sqref="Y190:Y222">
    <cfRule type="containsText" dxfId="43" priority="26" operator="containsText" text="*">
      <formula>NOT(ISERROR(SEARCH("*",Y190)))</formula>
    </cfRule>
  </conditionalFormatting>
  <conditionalFormatting sqref="Y225:Y257">
    <cfRule type="containsText" dxfId="42" priority="25" operator="containsText" text="*">
      <formula>NOT(ISERROR(SEARCH("*",Y225)))</formula>
    </cfRule>
  </conditionalFormatting>
  <conditionalFormatting sqref="Y260:Y292">
    <cfRule type="containsText" dxfId="41" priority="24" operator="containsText" text="*">
      <formula>NOT(ISERROR(SEARCH("*",Y260)))</formula>
    </cfRule>
  </conditionalFormatting>
  <conditionalFormatting sqref="Y295:Y327">
    <cfRule type="containsText" dxfId="40" priority="23" operator="containsText" text="*">
      <formula>NOT(ISERROR(SEARCH("*",Y295)))</formula>
    </cfRule>
  </conditionalFormatting>
  <conditionalFormatting sqref="Y330:Y362">
    <cfRule type="containsText" dxfId="39" priority="22" operator="containsText" text="*">
      <formula>NOT(ISERROR(SEARCH("*",Y330)))</formula>
    </cfRule>
  </conditionalFormatting>
  <conditionalFormatting sqref="Y365:Y397">
    <cfRule type="containsText" dxfId="38" priority="21" operator="containsText" text="*">
      <formula>NOT(ISERROR(SEARCH("*",Y365)))</formula>
    </cfRule>
  </conditionalFormatting>
  <conditionalFormatting sqref="Y400:Y432">
    <cfRule type="containsText" dxfId="37" priority="20" operator="containsText" text="*">
      <formula>NOT(ISERROR(SEARCH("*",Y400)))</formula>
    </cfRule>
  </conditionalFormatting>
  <conditionalFormatting sqref="Y435:Y467">
    <cfRule type="containsText" dxfId="36" priority="19" operator="containsText" text="*">
      <formula>NOT(ISERROR(SEARCH("*",Y435)))</formula>
    </cfRule>
  </conditionalFormatting>
  <conditionalFormatting sqref="Y470:Y502">
    <cfRule type="containsText" dxfId="35" priority="18" operator="containsText" text="*">
      <formula>NOT(ISERROR(SEARCH("*",Y470)))</formula>
    </cfRule>
  </conditionalFormatting>
  <conditionalFormatting sqref="Y505:Y537">
    <cfRule type="containsText" dxfId="34" priority="17" operator="containsText" text="*">
      <formula>NOT(ISERROR(SEARCH("*",Y505)))</formula>
    </cfRule>
  </conditionalFormatting>
  <conditionalFormatting sqref="Y540:Y572">
    <cfRule type="containsText" dxfId="33" priority="16" operator="containsText" text="*">
      <formula>NOT(ISERROR(SEARCH("*",Y540)))</formula>
    </cfRule>
  </conditionalFormatting>
  <conditionalFormatting sqref="Z50:Z82">
    <cfRule type="containsText" dxfId="32" priority="15" operator="containsText" text="*">
      <formula>NOT(ISERROR(SEARCH("*",Z50)))</formula>
    </cfRule>
  </conditionalFormatting>
  <conditionalFormatting sqref="Z85:Z117">
    <cfRule type="containsText" dxfId="31" priority="14" operator="containsText" text="*">
      <formula>NOT(ISERROR(SEARCH("*",Z85)))</formula>
    </cfRule>
  </conditionalFormatting>
  <conditionalFormatting sqref="Z120:Z152">
    <cfRule type="containsText" dxfId="30" priority="13" operator="containsText" text="*">
      <formula>NOT(ISERROR(SEARCH("*",Z120)))</formula>
    </cfRule>
  </conditionalFormatting>
  <conditionalFormatting sqref="Z155:Z187">
    <cfRule type="containsText" dxfId="29" priority="12" operator="containsText" text="*">
      <formula>NOT(ISERROR(SEARCH("*",Z155)))</formula>
    </cfRule>
  </conditionalFormatting>
  <conditionalFormatting sqref="Z190:Z222">
    <cfRule type="containsText" dxfId="28" priority="11" operator="containsText" text="*">
      <formula>NOT(ISERROR(SEARCH("*",Z190)))</formula>
    </cfRule>
  </conditionalFormatting>
  <conditionalFormatting sqref="Z225:Z257">
    <cfRule type="containsText" dxfId="27" priority="10" operator="containsText" text="*">
      <formula>NOT(ISERROR(SEARCH("*",Z225)))</formula>
    </cfRule>
  </conditionalFormatting>
  <conditionalFormatting sqref="Z260:Z292">
    <cfRule type="containsText" dxfId="26" priority="9" operator="containsText" text="*">
      <formula>NOT(ISERROR(SEARCH("*",Z260)))</formula>
    </cfRule>
  </conditionalFormatting>
  <conditionalFormatting sqref="Z295:Z327">
    <cfRule type="containsText" dxfId="25" priority="8" operator="containsText" text="*">
      <formula>NOT(ISERROR(SEARCH("*",Z295)))</formula>
    </cfRule>
  </conditionalFormatting>
  <conditionalFormatting sqref="Z330:Z362">
    <cfRule type="containsText" dxfId="24" priority="7" operator="containsText" text="*">
      <formula>NOT(ISERROR(SEARCH("*",Z330)))</formula>
    </cfRule>
  </conditionalFormatting>
  <conditionalFormatting sqref="Z365:Z397">
    <cfRule type="containsText" dxfId="23" priority="6" operator="containsText" text="*">
      <formula>NOT(ISERROR(SEARCH("*",Z365)))</formula>
    </cfRule>
  </conditionalFormatting>
  <conditionalFormatting sqref="Z400:Z432">
    <cfRule type="containsText" dxfId="22" priority="5" operator="containsText" text="*">
      <formula>NOT(ISERROR(SEARCH("*",Z400)))</formula>
    </cfRule>
  </conditionalFormatting>
  <conditionalFormatting sqref="Z435:Z467">
    <cfRule type="containsText" dxfId="21" priority="4" operator="containsText" text="*">
      <formula>NOT(ISERROR(SEARCH("*",Z435)))</formula>
    </cfRule>
  </conditionalFormatting>
  <conditionalFormatting sqref="Z470:Z502">
    <cfRule type="containsText" dxfId="20" priority="3" operator="containsText" text="*">
      <formula>NOT(ISERROR(SEARCH("*",Z470)))</formula>
    </cfRule>
  </conditionalFormatting>
  <conditionalFormatting sqref="Z505:Z537">
    <cfRule type="containsText" dxfId="19" priority="2" operator="containsText" text="*">
      <formula>NOT(ISERROR(SEARCH("*",Z505)))</formula>
    </cfRule>
  </conditionalFormatting>
  <conditionalFormatting sqref="Z540:Z572">
    <cfRule type="containsText" dxfId="18" priority="1" operator="containsText" text="*">
      <formula>NOT(ISERROR(SEARCH("*",Z540)))</formula>
    </cfRule>
  </conditionalFormatting>
  <dataValidations count="1">
    <dataValidation type="list" allowBlank="1" showInputMessage="1" showErrorMessage="1" sqref="AI8" xr:uid="{C0B515CA-A3B2-E34D-A47D-A1CDC0515ADD}">
      <formula1>$AR$18:$AR$21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02C2CD9-BC4C-EC4B-B4FA-3F03E7003D24}">
          <x14:formula1>
            <xm:f>Fletes!$A$33:$A$34</xm:f>
          </x14:formula1>
          <xm:sqref>C505:C537 C540:C572 C50:C82 C85:C117 C120:C152 C155:C187 C190:C222 C225:C257 C260:C292 C295:C327 C330:C362 C365:C397 C400:C432 C435:C467 C470:C502 C15:C47</xm:sqref>
        </x14:dataValidation>
        <x14:dataValidation type="list" allowBlank="1" showInputMessage="1" showErrorMessage="1" xr:uid="{BBEE1EED-3EBE-3E47-84B9-E394F1102921}">
          <x14:formula1>
            <xm:f>Fletes!$A$33:$A$35</xm:f>
          </x14:formula1>
          <xm:sqref>C14</xm:sqref>
        </x14:dataValidation>
        <x14:dataValidation type="list" allowBlank="1" showInputMessage="1" showErrorMessage="1" xr:uid="{940AB172-6675-A844-8C35-4B7F6C6D2826}">
          <x14:formula1>
            <xm:f>Fletes!$A$27:$A$30</xm:f>
          </x14:formula1>
          <xm:sqref>S540:S572 S85:S117 S50:S82 S120:S152 S155:S187 S190:S222 S225:S257 S260:S292 S295:S327 S330:S362 S365:S397 S400:S432 S435:S467 S470:S502 S505:S537 S15:S47</xm:sqref>
        </x14:dataValidation>
        <x14:dataValidation type="list" allowBlank="1" showErrorMessage="1" xr:uid="{5CB1CD11-E591-524C-B37C-7B9DD5AC832D}">
          <x14:formula1>
            <xm:f>Proveedores!$A$2:$A$36</xm:f>
          </x14:formula1>
          <xm:sqref>F540:F572 F50:F82 F505:F537 F470:F502 F435:F467 F400:F432 F365:F397 F330:F362 F295:F327 F260:F292 F225:F257 F190:F222 F155:F187 F120:F152 F85:F117 F15:F47</xm:sqref>
        </x14:dataValidation>
        <x14:dataValidation type="list" allowBlank="1" showInputMessage="1" showErrorMessage="1" xr:uid="{E60F6850-DBF4-CB45-8F5D-D18343F08BC9}">
          <x14:formula1>
            <xm:f>Fletes!$M$6:$M$19</xm:f>
          </x14:formula1>
          <xm:sqref>E540:E572 E50:E82 E85:E117 E120:E152 E155:E187 E190:E222 E225:E257 E260:E292 E295:E327 E330:E362 E365:E397 E400:E432 E435:E467 E470:E502 E505:E537 E15:E47</xm:sqref>
        </x14:dataValidation>
        <x14:dataValidation type="list" allowBlank="1" showInputMessage="1" showErrorMessage="1" xr:uid="{653D7D93-9E74-3F4D-9032-97DEE0F175C6}">
          <x14:formula1>
            <xm:f>Proveedores!$F$42:$F$44</xm:f>
          </x14:formula1>
          <xm:sqref>P10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43571-95AC-A745-98C3-51ECD362A7F5}">
  <sheetPr>
    <tabColor theme="4" tint="0.39997558519241921"/>
  </sheetPr>
  <dimension ref="A1:O31"/>
  <sheetViews>
    <sheetView zoomScale="142" workbookViewId="0">
      <selection activeCell="B19" sqref="B19:E26"/>
    </sheetView>
  </sheetViews>
  <sheetFormatPr defaultColWidth="11.42578125" defaultRowHeight="15"/>
  <cols>
    <col min="1" max="1" width="24.140625" bestFit="1" customWidth="1"/>
    <col min="2" max="2" width="20.7109375" bestFit="1" customWidth="1"/>
    <col min="3" max="3" width="14" customWidth="1"/>
    <col min="4" max="4" width="14.85546875" bestFit="1" customWidth="1"/>
    <col min="5" max="5" width="14" customWidth="1"/>
    <col min="7" max="7" width="15.85546875" bestFit="1" customWidth="1"/>
    <col min="15" max="15" width="0" hidden="1" customWidth="1"/>
  </cols>
  <sheetData>
    <row r="1" spans="1:15">
      <c r="A1" s="1422" t="s">
        <v>201</v>
      </c>
      <c r="B1" s="1422"/>
      <c r="C1" s="1422"/>
      <c r="D1" s="1422"/>
      <c r="E1" s="1422"/>
      <c r="F1" s="1422"/>
      <c r="G1" s="1422"/>
      <c r="H1" s="1422"/>
    </row>
    <row r="3" spans="1:15">
      <c r="A3" t="s">
        <v>202</v>
      </c>
      <c r="B3" s="17" t="str">
        <f>Cotizacion!B3</f>
        <v>500-AÑO/MES/DIA/HORA</v>
      </c>
      <c r="D3" t="s">
        <v>203</v>
      </c>
      <c r="E3" s="1181">
        <f>Cotizacion!H39</f>
        <v>0</v>
      </c>
      <c r="G3" t="s">
        <v>204</v>
      </c>
      <c r="H3" s="1179">
        <f>Mobiliti!$E$8</f>
        <v>0</v>
      </c>
    </row>
    <row r="4" spans="1:15">
      <c r="A4" t="s">
        <v>205</v>
      </c>
      <c r="B4" s="1180">
        <f ca="1">Cotizacion!A4</f>
        <v>46278</v>
      </c>
      <c r="D4" t="s">
        <v>206</v>
      </c>
      <c r="E4" s="1181">
        <f>Cotizacion!$H$41</f>
        <v>0</v>
      </c>
      <c r="G4" t="s">
        <v>207</v>
      </c>
      <c r="H4" s="744">
        <f>Mobiliti!$E$5</f>
        <v>0</v>
      </c>
      <c r="O4" t="s">
        <v>208</v>
      </c>
    </row>
    <row r="5" spans="1:15">
      <c r="G5" t="s">
        <v>209</v>
      </c>
      <c r="H5" s="744">
        <f>Mobiliti!$E$6</f>
        <v>0</v>
      </c>
      <c r="O5" t="s">
        <v>210</v>
      </c>
    </row>
    <row r="6" spans="1:15">
      <c r="O6" t="s">
        <v>211</v>
      </c>
    </row>
    <row r="8" spans="1:15">
      <c r="A8" s="1424" t="s">
        <v>212</v>
      </c>
      <c r="B8" s="1424"/>
      <c r="C8" s="1424"/>
      <c r="D8" s="1424"/>
      <c r="E8" s="1424"/>
      <c r="F8" s="1424"/>
    </row>
    <row r="9" spans="1:15">
      <c r="A9" t="s">
        <v>213</v>
      </c>
      <c r="B9" s="1167" t="str">
        <f>IF(Mobiliti!E5&lt;=Mobiliti!E6,"OK","BLOQUEADO")</f>
        <v>OK</v>
      </c>
    </row>
    <row r="10" spans="1:15">
      <c r="A10" t="s">
        <v>204</v>
      </c>
      <c r="B10" s="1167" t="str">
        <f>IF(AND(ISNUMBER(Mobiliti!E8),Mobiliti!E8&gt;0),"OK","REVISAR")</f>
        <v>REVISAR</v>
      </c>
    </row>
    <row r="11" spans="1:15">
      <c r="A11" t="s">
        <v>214</v>
      </c>
      <c r="B11" s="1167" t="str">
        <f>IF(OR('Estrategia Comercial '!B110="NACIONAL",'Estrategia Comercial '!B110="SIN PRODUCTOS"),"NO APLICA",IF(AND(Fletes!B66&gt;0,Fletes!B68&lt;&gt;"SIN IMPORTACIÓN"),"OK","REVISAR"))</f>
        <v>NO APLICA</v>
      </c>
    </row>
    <row r="12" spans="1:15">
      <c r="A12" t="s">
        <v>215</v>
      </c>
      <c r="B12" s="1167" t="str">
        <f>IF(AND('Estrategia Comercial '!C100&gt;0,'Estrategia Comercial '!C102&gt;0),"OK","REVISAR")</f>
        <v>REVISAR</v>
      </c>
    </row>
    <row r="13" spans="1:15">
      <c r="A13" t="s">
        <v>216</v>
      </c>
      <c r="B13" s="1167" t="str">
        <f>IF('Estrategia Comercial '!B114&gt;0,"OK","REVISAR")</f>
        <v>REVISAR</v>
      </c>
    </row>
    <row r="14" spans="1:15">
      <c r="A14" t="s">
        <v>202</v>
      </c>
      <c r="B14" s="1167" t="str">
        <f>IF(ABS(Cotizacion!H39-'Estrategia Comercial '!C102)&lt;0.01,"OK","REVISAR")</f>
        <v>OK</v>
      </c>
    </row>
    <row r="17" spans="1:6">
      <c r="A17" s="1423" t="s">
        <v>217</v>
      </c>
      <c r="B17" s="1423"/>
      <c r="C17" s="1423"/>
      <c r="D17" s="1423"/>
      <c r="E17" s="1423"/>
      <c r="F17" s="1423"/>
    </row>
    <row r="18" spans="1:6">
      <c r="A18" s="1052" t="s">
        <v>218</v>
      </c>
      <c r="B18" s="1052" t="s">
        <v>219</v>
      </c>
      <c r="C18" s="1052" t="s">
        <v>220</v>
      </c>
      <c r="D18" s="1052" t="s">
        <v>205</v>
      </c>
      <c r="E18" s="1052" t="s">
        <v>221</v>
      </c>
      <c r="F18" s="1052" t="s">
        <v>222</v>
      </c>
    </row>
    <row r="19" spans="1:6">
      <c r="A19" t="s">
        <v>223</v>
      </c>
      <c r="B19" s="1182"/>
      <c r="C19" s="1182"/>
      <c r="D19" s="1183"/>
      <c r="E19" s="1182"/>
      <c r="F19" s="734" t="str">
        <f t="shared" ref="F19:F26" si="0">IF(UPPER(TRIM(B19))="NO APLICA","OK",IF(AND(UPPER(TRIM(B19))="COMPLETO",TRIM(C19)&lt;&gt;"",ISNUMBER(D19)),"OK","PENDIENTE"))</f>
        <v>PENDIENTE</v>
      </c>
    </row>
    <row r="20" spans="1:6">
      <c r="A20" t="s">
        <v>224</v>
      </c>
      <c r="B20" s="1182"/>
      <c r="C20" s="1182"/>
      <c r="D20" s="1183"/>
      <c r="E20" s="1182"/>
      <c r="F20" s="734" t="str">
        <f t="shared" si="0"/>
        <v>PENDIENTE</v>
      </c>
    </row>
    <row r="21" spans="1:6">
      <c r="A21" t="s">
        <v>225</v>
      </c>
      <c r="B21" s="1182"/>
      <c r="C21" s="1182"/>
      <c r="D21" s="1183"/>
      <c r="E21" s="1182"/>
      <c r="F21" s="734" t="str">
        <f t="shared" si="0"/>
        <v>PENDIENTE</v>
      </c>
    </row>
    <row r="22" spans="1:6">
      <c r="A22" t="s">
        <v>226</v>
      </c>
      <c r="B22" s="1182"/>
      <c r="C22" s="1182"/>
      <c r="D22" s="1183"/>
      <c r="E22" s="1182"/>
      <c r="F22" s="734" t="str">
        <f t="shared" si="0"/>
        <v>PENDIENTE</v>
      </c>
    </row>
    <row r="23" spans="1:6">
      <c r="A23" t="s">
        <v>227</v>
      </c>
      <c r="B23" s="1182"/>
      <c r="C23" s="1182"/>
      <c r="D23" s="1183"/>
      <c r="E23" s="1182"/>
      <c r="F23" s="734" t="str">
        <f t="shared" si="0"/>
        <v>PENDIENTE</v>
      </c>
    </row>
    <row r="24" spans="1:6">
      <c r="A24" t="s">
        <v>228</v>
      </c>
      <c r="B24" s="1182"/>
      <c r="C24" s="1182"/>
      <c r="D24" s="1183"/>
      <c r="E24" s="1182"/>
      <c r="F24" s="734" t="str">
        <f t="shared" si="0"/>
        <v>PENDIENTE</v>
      </c>
    </row>
    <row r="25" spans="1:6">
      <c r="A25" t="s">
        <v>229</v>
      </c>
      <c r="B25" s="1182"/>
      <c r="C25" s="1182"/>
      <c r="D25" s="1183"/>
      <c r="E25" s="1182"/>
      <c r="F25" s="734" t="str">
        <f t="shared" si="0"/>
        <v>PENDIENTE</v>
      </c>
    </row>
    <row r="26" spans="1:6">
      <c r="A26" t="s">
        <v>230</v>
      </c>
      <c r="B26" s="1182"/>
      <c r="C26" s="1182"/>
      <c r="D26" s="1183"/>
      <c r="E26" s="1182"/>
      <c r="F26" s="734" t="str">
        <f t="shared" si="0"/>
        <v>PENDIENTE</v>
      </c>
    </row>
    <row r="29" spans="1:6">
      <c r="A29" t="s">
        <v>231</v>
      </c>
      <c r="B29" s="1167" t="str">
        <f>IF(OR(COUNTIF($B$9:$B$14,"BLOQUEADO")&gt;0,COUNTIF($B$9:$B$14,"REVISAR")&gt;0),"BLOQUEADO",IF(COUNTIF($F$19:$F$22,"PENDIENTE")&gt;0,"PENDIENTE APROBACIÓN","LISTO PARA ENVIAR"))</f>
        <v>BLOQUEADO</v>
      </c>
    </row>
    <row r="30" spans="1:6">
      <c r="A30" t="s">
        <v>232</v>
      </c>
      <c r="B30" s="1167" t="str">
        <f>IF(AND($F$23="OK",$F$24="OK"),"FIRMAS COMPLETAS","PENDIENTE DE FIRMAS")</f>
        <v>PENDIENTE DE FIRMAS</v>
      </c>
    </row>
    <row r="31" spans="1:6">
      <c r="A31" t="s">
        <v>233</v>
      </c>
      <c r="B31" s="1167" t="str">
        <f>IF($B$29&lt;&gt;"LISTO PARA ENVIAR","BLOQUEADO",IF($B$30&lt;&gt;"FIRMAS COMPLETAS","PENDIENTE DE FIRMAS",IF(AND($F$25="OK",$F$26="OK"),"LISTO PARA PRODUCCIÓN","PENDIENTE OC / ANTICIPO")))</f>
        <v>BLOQUEADO</v>
      </c>
    </row>
  </sheetData>
  <sheetProtection algorithmName="SHA-512" hashValue="YUXgWczqrCQ5vtKzn4qy58zM5LCUebyuYZeymElKETNu1JRqg23C8z38o4Q30K7B6m5oVehBCldCLa2jm/XRFQ==" saltValue="MWISdGy+IoiflUVuEGPX7g==" spinCount="100000" sheet="1" objects="1" scenarios="1"/>
  <mergeCells count="3">
    <mergeCell ref="A1:H1"/>
    <mergeCell ref="A17:F17"/>
    <mergeCell ref="A8:F8"/>
  </mergeCells>
  <dataValidations count="1">
    <dataValidation type="list" allowBlank="1" showInputMessage="1" showErrorMessage="1" sqref="B19:B26" xr:uid="{2F093C96-8A6C-5449-AC1E-DA2DAAF14FFC}">
      <formula1>$O$4:$O$6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topLeftCell="A16" zoomScale="174" zoomScaleNormal="110" zoomScaleSheetLayoutView="120" workbookViewId="0">
      <selection activeCell="A86" sqref="A86"/>
    </sheetView>
  </sheetViews>
  <sheetFormatPr defaultColWidth="10.7109375" defaultRowHeight="14.1"/>
  <cols>
    <col min="1" max="1" width="31.42578125" style="1202" customWidth="1"/>
    <col min="2" max="3" width="31.7109375" style="1202" customWidth="1"/>
    <col min="4" max="4" width="19.85546875" style="1202" hidden="1" customWidth="1"/>
    <col min="5" max="5" width="27.42578125" style="1263" hidden="1" customWidth="1"/>
    <col min="6" max="6" width="26.42578125" style="1202" hidden="1" customWidth="1"/>
    <col min="7" max="23" width="11" style="1202" customWidth="1"/>
    <col min="24" max="16384" width="10.7109375" style="1202"/>
  </cols>
  <sheetData>
    <row r="1" spans="1:27" s="1185" customFormat="1" ht="45.75" customHeight="1">
      <c r="A1" s="1449" t="s">
        <v>215</v>
      </c>
      <c r="B1" s="1449"/>
      <c r="C1" s="1184"/>
      <c r="D1" s="1294"/>
      <c r="E1" s="1295"/>
      <c r="F1" s="1294"/>
      <c r="G1" s="1294"/>
      <c r="H1" s="1294"/>
      <c r="I1" s="1294"/>
      <c r="J1" s="1294"/>
      <c r="K1" s="1294"/>
      <c r="L1" s="1294"/>
      <c r="M1" s="1294"/>
      <c r="N1" s="1294"/>
      <c r="O1" s="1294"/>
      <c r="P1" s="1294"/>
      <c r="Q1" s="1294"/>
      <c r="R1" s="1294"/>
      <c r="S1" s="1294"/>
      <c r="T1" s="1294"/>
    </row>
    <row r="2" spans="1:27" s="1185" customFormat="1" ht="13.5" customHeight="1">
      <c r="A2" s="1449"/>
      <c r="B2" s="1449"/>
      <c r="C2" s="1184"/>
      <c r="D2" s="1294"/>
      <c r="E2" s="1295"/>
      <c r="F2" s="1294"/>
      <c r="G2" s="1294"/>
      <c r="H2" s="1294"/>
      <c r="I2" s="1294"/>
      <c r="J2" s="1294"/>
      <c r="K2" s="1294"/>
      <c r="L2" s="1294"/>
      <c r="M2" s="1294"/>
      <c r="N2" s="1294"/>
      <c r="O2" s="1294"/>
      <c r="P2" s="1294"/>
      <c r="Q2" s="1294"/>
      <c r="R2" s="1294"/>
      <c r="S2" s="1294"/>
      <c r="T2" s="1294"/>
    </row>
    <row r="3" spans="1:27" s="1186" customFormat="1">
      <c r="C3" s="1187"/>
      <c r="D3" s="1188"/>
      <c r="E3" s="1189"/>
      <c r="F3" s="1188"/>
      <c r="G3" s="1188"/>
      <c r="H3" s="1188"/>
      <c r="I3" s="1188"/>
      <c r="J3" s="1188"/>
      <c r="K3" s="1188"/>
      <c r="L3" s="1188"/>
      <c r="M3" s="1188"/>
      <c r="N3" s="1188"/>
      <c r="O3" s="1188"/>
      <c r="P3" s="1188"/>
      <c r="Q3" s="1188"/>
      <c r="R3" s="1188"/>
      <c r="S3" s="1188"/>
      <c r="T3" s="1188"/>
    </row>
    <row r="4" spans="1:27" s="1186" customFormat="1" ht="18.95">
      <c r="A4" s="1454" t="s">
        <v>234</v>
      </c>
      <c r="B4" s="1455"/>
      <c r="C4" s="1456"/>
      <c r="D4" s="1188"/>
      <c r="E4" s="1189"/>
      <c r="F4" s="1188"/>
      <c r="G4" s="1188"/>
      <c r="H4" s="1188"/>
      <c r="I4" s="1188"/>
      <c r="J4" s="1188"/>
      <c r="K4" s="1188"/>
      <c r="L4" s="1188"/>
      <c r="M4" s="1188"/>
      <c r="N4" s="1188"/>
      <c r="O4" s="1188"/>
      <c r="P4" s="1188"/>
      <c r="Q4" s="1188"/>
      <c r="R4" s="1188"/>
      <c r="S4" s="1188"/>
      <c r="T4" s="1188"/>
    </row>
    <row r="5" spans="1:27" s="1197" customFormat="1" ht="18.95">
      <c r="A5" s="1190" t="s">
        <v>235</v>
      </c>
      <c r="B5" s="1191" t="s">
        <v>88</v>
      </c>
      <c r="C5" s="1192" t="s">
        <v>236</v>
      </c>
      <c r="D5" s="1192" t="s">
        <v>237</v>
      </c>
      <c r="E5" s="1192" t="s">
        <v>238</v>
      </c>
      <c r="F5" s="1192" t="s">
        <v>239</v>
      </c>
      <c r="G5" s="1193"/>
      <c r="H5" s="1194"/>
      <c r="I5" s="1195"/>
      <c r="J5" s="1195"/>
      <c r="K5" s="1195"/>
      <c r="L5" s="1195"/>
      <c r="M5" s="1195"/>
      <c r="N5" s="1195"/>
      <c r="O5" s="1195"/>
      <c r="P5" s="1195"/>
      <c r="Q5" s="1195"/>
      <c r="R5" s="1195"/>
      <c r="S5" s="1195"/>
      <c r="T5" s="1195"/>
      <c r="U5" s="1196"/>
      <c r="V5" s="1196"/>
      <c r="W5" s="1196"/>
      <c r="X5" s="1196"/>
      <c r="Y5" s="1196"/>
      <c r="Z5" s="1196"/>
      <c r="AA5" s="1196"/>
    </row>
    <row r="6" spans="1:27" ht="15">
      <c r="A6" s="1198" t="s">
        <v>240</v>
      </c>
      <c r="B6" s="5">
        <f>SUMIF(Mobiliti!$F$15:$F$572,$A6,Mobiliti!$AG$15:$AG$572)</f>
        <v>0</v>
      </c>
      <c r="C6" s="746" cm="1">
        <f t="array" ref="C6">SUMPRODUCT((Mobiliti!$F$15:$F$572=$A6)*IFERROR(Mobiliti!$AG$15:$AG$572*(1-Mobiliti!$AK$15:$AK$572),0))</f>
        <v>0</v>
      </c>
      <c r="D6" s="1199">
        <f>B6-C6</f>
        <v>0</v>
      </c>
      <c r="E6" s="1200">
        <f>IFERROR(D6/B6,0)</f>
        <v>0</v>
      </c>
      <c r="F6" s="1200">
        <f>IFERROR(B6/$B$40,0)</f>
        <v>0</v>
      </c>
      <c r="G6" s="1"/>
      <c r="H6" s="1"/>
      <c r="I6" s="1"/>
      <c r="J6" s="1"/>
      <c r="K6" s="1"/>
      <c r="L6" s="1"/>
      <c r="M6" s="1"/>
      <c r="N6" s="1"/>
      <c r="O6" s="1"/>
      <c r="P6" s="1"/>
      <c r="Q6" s="1"/>
      <c r="R6" s="1"/>
      <c r="S6" s="1"/>
      <c r="T6" s="1"/>
      <c r="U6" s="1201"/>
      <c r="V6" s="1201"/>
      <c r="W6" s="1201"/>
      <c r="X6" s="1201"/>
      <c r="Y6" s="1201"/>
      <c r="Z6" s="1201"/>
      <c r="AA6" s="1201"/>
    </row>
    <row r="7" spans="1:27" ht="15">
      <c r="A7" s="1198" t="s">
        <v>241</v>
      </c>
      <c r="B7" s="5">
        <f>SUMIF(Mobiliti!$F$15:$F$572,$A7,Mobiliti!$AG$15:$AG$572)</f>
        <v>0</v>
      </c>
      <c r="C7" s="746" cm="1">
        <f t="array" ref="C7">SUMPRODUCT((Mobiliti!$F$15:$F$572=$A7)*IFERROR(Mobiliti!$AG$15:$AG$572*(1-Mobiliti!$AK$15:$AK$572),0))</f>
        <v>0</v>
      </c>
      <c r="D7" s="1199">
        <f t="shared" ref="D7:D39" si="0">B7-C7</f>
        <v>0</v>
      </c>
      <c r="E7" s="1200">
        <f t="shared" ref="E7:E39" si="1">IFERROR(D7/B7,0)</f>
        <v>0</v>
      </c>
      <c r="F7" s="1200">
        <f t="shared" ref="F7:F39" si="2">IFERROR(B7/$B$40,0)</f>
        <v>0</v>
      </c>
      <c r="G7" s="1"/>
      <c r="H7" s="1"/>
      <c r="I7" s="1"/>
      <c r="J7" s="1"/>
      <c r="K7" s="1"/>
      <c r="L7" s="1"/>
      <c r="M7" s="1"/>
      <c r="N7" s="1"/>
      <c r="O7" s="1"/>
      <c r="P7" s="1"/>
      <c r="Q7" s="1"/>
      <c r="R7" s="1"/>
      <c r="S7" s="1"/>
      <c r="T7" s="1"/>
      <c r="U7" s="1201"/>
      <c r="V7" s="1201"/>
      <c r="W7" s="1201"/>
      <c r="X7" s="1201"/>
      <c r="Y7" s="1201"/>
      <c r="Z7" s="1201"/>
      <c r="AA7" s="1201"/>
    </row>
    <row r="8" spans="1:27" ht="15">
      <c r="A8" s="1198" t="s">
        <v>242</v>
      </c>
      <c r="B8" s="5">
        <f>SUMIF(Mobiliti!$F$15:$F$572,$A8,Mobiliti!$AG$15:$AG$572)</f>
        <v>0</v>
      </c>
      <c r="C8" s="746" cm="1">
        <f t="array" ref="C8">SUMPRODUCT((Mobiliti!$F$15:$F$572=$A8)*IFERROR(Mobiliti!$AG$15:$AG$572*(1-Mobiliti!$AK$15:$AK$572),0))</f>
        <v>0</v>
      </c>
      <c r="D8" s="1199">
        <f t="shared" si="0"/>
        <v>0</v>
      </c>
      <c r="E8" s="1200">
        <f t="shared" si="1"/>
        <v>0</v>
      </c>
      <c r="F8" s="1200">
        <f t="shared" si="2"/>
        <v>0</v>
      </c>
      <c r="G8" s="1"/>
      <c r="H8" s="1"/>
      <c r="I8" s="1"/>
      <c r="J8" s="1"/>
      <c r="K8" s="1"/>
      <c r="L8" s="1"/>
      <c r="M8" s="1"/>
      <c r="N8" s="1"/>
      <c r="O8" s="1"/>
      <c r="P8" s="1"/>
      <c r="Q8" s="1"/>
      <c r="R8" s="1"/>
      <c r="S8" s="1"/>
      <c r="T8" s="1"/>
      <c r="U8" s="1201"/>
      <c r="V8" s="1201"/>
      <c r="W8" s="1201"/>
      <c r="X8" s="1201"/>
      <c r="Y8" s="1201"/>
      <c r="Z8" s="1201"/>
      <c r="AA8" s="1201"/>
    </row>
    <row r="9" spans="1:27" ht="15">
      <c r="A9" s="1198" t="s">
        <v>243</v>
      </c>
      <c r="B9" s="5">
        <f>SUMIF(Mobiliti!$F$15:$F$572,$A9,Mobiliti!$AG$15:$AG$572)</f>
        <v>0</v>
      </c>
      <c r="C9" s="746" cm="1">
        <f t="array" ref="C9">SUMPRODUCT((Mobiliti!$F$15:$F$572=$A9)*IFERROR(Mobiliti!$AG$15:$AG$572*(1-Mobiliti!$AK$15:$AK$572),0))</f>
        <v>0</v>
      </c>
      <c r="D9" s="1199">
        <f t="shared" si="0"/>
        <v>0</v>
      </c>
      <c r="E9" s="1200">
        <f t="shared" si="1"/>
        <v>0</v>
      </c>
      <c r="F9" s="1200">
        <f t="shared" si="2"/>
        <v>0</v>
      </c>
      <c r="G9" s="1"/>
      <c r="H9" s="1"/>
      <c r="I9" s="1"/>
      <c r="J9" s="1"/>
      <c r="K9" s="1"/>
      <c r="L9" s="1"/>
      <c r="M9" s="1"/>
      <c r="N9" s="1"/>
      <c r="O9" s="1"/>
      <c r="P9" s="1"/>
      <c r="Q9" s="1"/>
      <c r="R9" s="1"/>
      <c r="S9" s="1"/>
      <c r="T9" s="1"/>
      <c r="U9" s="1201"/>
      <c r="V9" s="1201"/>
      <c r="W9" s="1201"/>
      <c r="X9" s="1201"/>
      <c r="Y9" s="1201"/>
      <c r="Z9" s="1201"/>
      <c r="AA9" s="1201"/>
    </row>
    <row r="10" spans="1:27" ht="15">
      <c r="A10" s="1198" t="s">
        <v>244</v>
      </c>
      <c r="B10" s="5">
        <f>SUMIF(Mobiliti!$F$15:$F$572,$A10,Mobiliti!$AG$15:$AG$572)</f>
        <v>0</v>
      </c>
      <c r="C10" s="746" cm="1">
        <f t="array" ref="C10">SUMPRODUCT((Mobiliti!$F$15:$F$572=$A10)*IFERROR(Mobiliti!$AG$15:$AG$572*(1-Mobiliti!$AK$15:$AK$572),0))</f>
        <v>0</v>
      </c>
      <c r="D10" s="1199">
        <f t="shared" si="0"/>
        <v>0</v>
      </c>
      <c r="E10" s="1200">
        <f t="shared" si="1"/>
        <v>0</v>
      </c>
      <c r="F10" s="1200">
        <f t="shared" si="2"/>
        <v>0</v>
      </c>
      <c r="G10" s="1"/>
      <c r="H10" s="1"/>
      <c r="I10" s="1"/>
      <c r="J10" s="1"/>
      <c r="K10" s="1"/>
      <c r="L10" s="1"/>
      <c r="M10" s="1"/>
      <c r="N10" s="1"/>
      <c r="O10" s="1"/>
      <c r="P10" s="1"/>
      <c r="Q10" s="1"/>
      <c r="R10" s="1"/>
      <c r="S10" s="1"/>
      <c r="T10" s="1"/>
      <c r="U10" s="1201"/>
      <c r="V10" s="1201"/>
      <c r="W10" s="1201"/>
      <c r="X10" s="1201"/>
      <c r="Y10" s="1201"/>
      <c r="Z10" s="1201"/>
      <c r="AA10" s="1201"/>
    </row>
    <row r="11" spans="1:27" ht="15">
      <c r="A11" s="1198" t="s">
        <v>245</v>
      </c>
      <c r="B11" s="5">
        <f>SUMIF(Mobiliti!$F$15:$F$572,$A11,Mobiliti!$AG$15:$AG$572)</f>
        <v>0</v>
      </c>
      <c r="C11" s="746" cm="1">
        <f t="array" ref="C11">SUMPRODUCT((Mobiliti!$F$15:$F$572=$A11)*IFERROR(Mobiliti!$AG$15:$AG$572*(1-Mobiliti!$AK$15:$AK$572),0))</f>
        <v>0</v>
      </c>
      <c r="D11" s="1199">
        <f t="shared" si="0"/>
        <v>0</v>
      </c>
      <c r="E11" s="1200">
        <f t="shared" si="1"/>
        <v>0</v>
      </c>
      <c r="F11" s="1200">
        <f t="shared" si="2"/>
        <v>0</v>
      </c>
      <c r="G11" s="1"/>
      <c r="H11" s="1"/>
      <c r="I11" s="1"/>
      <c r="J11" s="1"/>
      <c r="K11" s="1"/>
      <c r="L11" s="1"/>
      <c r="M11" s="1"/>
      <c r="N11" s="1"/>
      <c r="O11" s="1"/>
      <c r="P11" s="1"/>
      <c r="Q11" s="1"/>
      <c r="R11" s="1"/>
      <c r="S11" s="1"/>
      <c r="T11" s="1"/>
      <c r="U11" s="1201"/>
      <c r="V11" s="1201"/>
      <c r="W11" s="1201"/>
      <c r="X11" s="1201"/>
      <c r="Y11" s="1201"/>
      <c r="Z11" s="1201"/>
      <c r="AA11" s="1201"/>
    </row>
    <row r="12" spans="1:27" ht="15">
      <c r="A12" s="1198" t="s">
        <v>246</v>
      </c>
      <c r="B12" s="5">
        <f>SUMIF(Mobiliti!$F$15:$F$572,$A12,Mobiliti!$AG$15:$AG$572)</f>
        <v>0</v>
      </c>
      <c r="C12" s="746" cm="1">
        <f t="array" ref="C12">SUMPRODUCT((Mobiliti!$F$15:$F$572=$A12)*IFERROR(Mobiliti!$AG$15:$AG$572*(1-Mobiliti!$AK$15:$AK$572),0))</f>
        <v>0</v>
      </c>
      <c r="D12" s="1199">
        <f t="shared" si="0"/>
        <v>0</v>
      </c>
      <c r="E12" s="1200">
        <f t="shared" si="1"/>
        <v>0</v>
      </c>
      <c r="F12" s="1200">
        <f t="shared" si="2"/>
        <v>0</v>
      </c>
      <c r="G12" s="1"/>
      <c r="H12" s="1203"/>
      <c r="I12" s="1"/>
      <c r="J12" s="1"/>
      <c r="K12" s="1"/>
      <c r="L12" s="1"/>
      <c r="M12" s="1"/>
      <c r="N12" s="1"/>
      <c r="O12" s="1"/>
      <c r="P12" s="1"/>
      <c r="Q12" s="1"/>
      <c r="R12" s="1"/>
      <c r="S12" s="1"/>
      <c r="T12" s="1"/>
      <c r="U12" s="1201"/>
      <c r="V12" s="1201"/>
      <c r="W12" s="1201"/>
      <c r="X12" s="1201"/>
      <c r="Y12" s="1201"/>
      <c r="Z12" s="1201"/>
      <c r="AA12" s="1201"/>
    </row>
    <row r="13" spans="1:27" ht="15">
      <c r="A13" s="1198" t="s">
        <v>247</v>
      </c>
      <c r="B13" s="5">
        <f>SUMIF(Mobiliti!$F$15:$F$572,$A13,Mobiliti!$AG$15:$AG$572)</f>
        <v>0</v>
      </c>
      <c r="C13" s="746" cm="1">
        <f t="array" ref="C13">SUMPRODUCT((Mobiliti!$F$15:$F$572=$A13)*IFERROR(Mobiliti!$AG$15:$AG$572*(1-Mobiliti!$AK$15:$AK$572),0))</f>
        <v>0</v>
      </c>
      <c r="D13" s="1199">
        <f t="shared" si="0"/>
        <v>0</v>
      </c>
      <c r="E13" s="1200">
        <f t="shared" si="1"/>
        <v>0</v>
      </c>
      <c r="F13" s="1200">
        <f t="shared" si="2"/>
        <v>0</v>
      </c>
      <c r="G13" s="1"/>
      <c r="H13" s="1"/>
      <c r="I13" s="1"/>
      <c r="J13" s="1"/>
      <c r="K13" s="1"/>
      <c r="L13" s="1"/>
      <c r="M13" s="1"/>
      <c r="N13" s="1"/>
      <c r="O13" s="1"/>
      <c r="P13" s="1"/>
      <c r="Q13" s="1"/>
      <c r="R13" s="1"/>
      <c r="S13" s="1"/>
      <c r="T13" s="1"/>
      <c r="U13" s="1201"/>
      <c r="V13" s="1201"/>
      <c r="W13" s="1201"/>
      <c r="X13" s="1201"/>
      <c r="Y13" s="1201"/>
      <c r="Z13" s="1201"/>
      <c r="AA13" s="1201"/>
    </row>
    <row r="14" spans="1:27" ht="15">
      <c r="A14" s="1198" t="s">
        <v>248</v>
      </c>
      <c r="B14" s="5">
        <f>SUMIF(Mobiliti!$F$15:$F$572,$A14,Mobiliti!$AG$15:$AG$572)</f>
        <v>0</v>
      </c>
      <c r="C14" s="746" cm="1">
        <f t="array" ref="C14">SUMPRODUCT((Mobiliti!$F$15:$F$572=$A14)*IFERROR(Mobiliti!$AG$15:$AG$572*(1-Mobiliti!$AK$15:$AK$572),0))</f>
        <v>0</v>
      </c>
      <c r="D14" s="1199">
        <f t="shared" si="0"/>
        <v>0</v>
      </c>
      <c r="E14" s="1200">
        <f t="shared" si="1"/>
        <v>0</v>
      </c>
      <c r="F14" s="1200">
        <f t="shared" si="2"/>
        <v>0</v>
      </c>
      <c r="G14" s="1"/>
      <c r="H14" s="1"/>
      <c r="I14" s="1"/>
      <c r="J14" s="1"/>
      <c r="K14" s="1"/>
      <c r="L14" s="1"/>
      <c r="M14" s="1"/>
      <c r="N14" s="1"/>
      <c r="O14" s="1"/>
      <c r="P14" s="1"/>
      <c r="Q14" s="1"/>
      <c r="R14" s="1"/>
      <c r="S14" s="1"/>
      <c r="T14" s="1"/>
      <c r="U14" s="1201"/>
      <c r="V14" s="1201"/>
      <c r="W14" s="1201"/>
      <c r="X14" s="1201"/>
      <c r="Y14" s="1201"/>
      <c r="Z14" s="1201"/>
      <c r="AA14" s="1201"/>
    </row>
    <row r="15" spans="1:27" ht="15">
      <c r="A15" s="1198" t="s">
        <v>249</v>
      </c>
      <c r="B15" s="5">
        <f>SUMIF(Mobiliti!$F$15:$F$572,$A15,Mobiliti!$AG$15:$AG$572)</f>
        <v>0</v>
      </c>
      <c r="C15" s="746" cm="1">
        <f t="array" ref="C15">SUMPRODUCT((Mobiliti!$F$15:$F$572=$A15)*IFERROR(Mobiliti!$AG$15:$AG$572*(1-Mobiliti!$AK$15:$AK$572),0))</f>
        <v>0</v>
      </c>
      <c r="D15" s="1199">
        <f t="shared" si="0"/>
        <v>0</v>
      </c>
      <c r="E15" s="1200">
        <f t="shared" si="1"/>
        <v>0</v>
      </c>
      <c r="F15" s="1200">
        <f t="shared" si="2"/>
        <v>0</v>
      </c>
      <c r="G15" s="1"/>
      <c r="H15" s="1"/>
      <c r="I15" s="1"/>
      <c r="J15" s="1"/>
      <c r="K15" s="1"/>
      <c r="L15" s="1"/>
      <c r="M15" s="1"/>
      <c r="N15" s="1"/>
      <c r="O15" s="1"/>
      <c r="P15" s="1"/>
      <c r="Q15" s="1"/>
      <c r="R15" s="1"/>
      <c r="S15" s="1"/>
      <c r="T15" s="1"/>
      <c r="U15" s="1201"/>
      <c r="V15" s="1201"/>
      <c r="W15" s="1201"/>
      <c r="X15" s="1201"/>
      <c r="Y15" s="1201"/>
      <c r="Z15" s="1201"/>
      <c r="AA15" s="1201"/>
    </row>
    <row r="16" spans="1:27" ht="15">
      <c r="A16" s="1198" t="s">
        <v>250</v>
      </c>
      <c r="B16" s="5">
        <f>SUMIF(Mobiliti!$F$15:$F$572,$A16,Mobiliti!$AG$15:$AG$572)</f>
        <v>0</v>
      </c>
      <c r="C16" s="746" cm="1">
        <f t="array" ref="C16">SUMPRODUCT((Mobiliti!$F$15:$F$572=$A16)*IFERROR(Mobiliti!$AG$15:$AG$572*(1-Mobiliti!$AK$15:$AK$572),0))</f>
        <v>0</v>
      </c>
      <c r="D16" s="1199">
        <f t="shared" si="0"/>
        <v>0</v>
      </c>
      <c r="E16" s="1200">
        <f t="shared" si="1"/>
        <v>0</v>
      </c>
      <c r="F16" s="1200">
        <f t="shared" si="2"/>
        <v>0</v>
      </c>
      <c r="G16" s="1"/>
      <c r="H16" s="1"/>
      <c r="I16" s="1"/>
      <c r="J16" s="1"/>
      <c r="K16" s="1"/>
      <c r="L16" s="1"/>
      <c r="M16" s="1"/>
      <c r="N16" s="1"/>
      <c r="O16" s="1"/>
      <c r="P16" s="1"/>
      <c r="Q16" s="1"/>
      <c r="R16" s="1"/>
      <c r="S16" s="1"/>
      <c r="T16" s="1"/>
      <c r="U16" s="1201"/>
      <c r="V16" s="1201"/>
      <c r="W16" s="1201"/>
      <c r="X16" s="1201"/>
      <c r="Y16" s="1201"/>
      <c r="Z16" s="1201"/>
      <c r="AA16" s="1201"/>
    </row>
    <row r="17" spans="1:27" ht="15">
      <c r="A17" s="1198" t="s">
        <v>251</v>
      </c>
      <c r="B17" s="5">
        <f>SUMIF(Mobiliti!$F$15:$F$572,$A17,Mobiliti!$AG$15:$AG$572)</f>
        <v>0</v>
      </c>
      <c r="C17" s="746" cm="1">
        <f t="array" ref="C17">SUMPRODUCT((Mobiliti!$F$15:$F$572=$A17)*IFERROR(Mobiliti!$AG$15:$AG$572*(1-Mobiliti!$AK$15:$AK$572),0))</f>
        <v>0</v>
      </c>
      <c r="D17" s="1199">
        <f t="shared" si="0"/>
        <v>0</v>
      </c>
      <c r="E17" s="1200">
        <f t="shared" si="1"/>
        <v>0</v>
      </c>
      <c r="F17" s="1200">
        <f t="shared" si="2"/>
        <v>0</v>
      </c>
      <c r="G17" s="1"/>
      <c r="H17" s="1"/>
      <c r="I17" s="1"/>
      <c r="J17" s="1"/>
      <c r="K17" s="1"/>
      <c r="L17" s="1"/>
      <c r="M17" s="1"/>
      <c r="N17" s="1"/>
      <c r="O17" s="1"/>
      <c r="P17" s="1"/>
      <c r="Q17" s="1"/>
      <c r="R17" s="1"/>
      <c r="S17" s="1"/>
      <c r="T17" s="1"/>
      <c r="U17" s="1201"/>
      <c r="V17" s="1201"/>
      <c r="W17" s="1201"/>
      <c r="X17" s="1201"/>
      <c r="Y17" s="1201"/>
      <c r="Z17" s="1201"/>
      <c r="AA17" s="1201"/>
    </row>
    <row r="18" spans="1:27" ht="15">
      <c r="A18" s="1198" t="s">
        <v>252</v>
      </c>
      <c r="B18" s="5">
        <f>SUMIF(Mobiliti!$F$15:$F$572,$A18,Mobiliti!$AG$15:$AG$572)</f>
        <v>0</v>
      </c>
      <c r="C18" s="746" cm="1">
        <f t="array" ref="C18">SUMPRODUCT((Mobiliti!$F$15:$F$572=$A18)*IFERROR(Mobiliti!$AG$15:$AG$572*(1-Mobiliti!$AK$15:$AK$572),0))</f>
        <v>0</v>
      </c>
      <c r="D18" s="1199">
        <f t="shared" si="0"/>
        <v>0</v>
      </c>
      <c r="E18" s="1200">
        <f t="shared" si="1"/>
        <v>0</v>
      </c>
      <c r="F18" s="1200">
        <f t="shared" si="2"/>
        <v>0</v>
      </c>
      <c r="G18" s="1"/>
      <c r="H18" s="1"/>
      <c r="I18" s="1"/>
      <c r="J18" s="1"/>
      <c r="K18" s="1"/>
      <c r="L18" s="1"/>
      <c r="M18" s="1"/>
      <c r="N18" s="1"/>
      <c r="O18" s="1"/>
      <c r="P18" s="1"/>
      <c r="Q18" s="1"/>
      <c r="R18" s="1"/>
      <c r="S18" s="1"/>
      <c r="T18" s="1"/>
      <c r="U18" s="1201"/>
      <c r="V18" s="1201"/>
      <c r="W18" s="1201"/>
      <c r="X18" s="1201"/>
      <c r="Y18" s="1201"/>
      <c r="Z18" s="1201"/>
      <c r="AA18" s="1201"/>
    </row>
    <row r="19" spans="1:27" ht="15">
      <c r="A19" s="1198" t="s">
        <v>253</v>
      </c>
      <c r="B19" s="5">
        <f>SUMIF(Mobiliti!$F$15:$F$572,$A19,Mobiliti!$AG$15:$AG$572)</f>
        <v>0</v>
      </c>
      <c r="C19" s="746" cm="1">
        <f t="array" ref="C19">SUMPRODUCT((Mobiliti!$F$15:$F$572=$A19)*IFERROR(Mobiliti!$AG$15:$AG$572*(1-Mobiliti!$AK$15:$AK$572),0))</f>
        <v>0</v>
      </c>
      <c r="D19" s="1199">
        <f t="shared" si="0"/>
        <v>0</v>
      </c>
      <c r="E19" s="1200">
        <f t="shared" si="1"/>
        <v>0</v>
      </c>
      <c r="F19" s="1200">
        <f t="shared" si="2"/>
        <v>0</v>
      </c>
      <c r="G19" s="1"/>
      <c r="H19" s="1"/>
      <c r="I19" s="1"/>
      <c r="J19" s="1"/>
      <c r="K19" s="1"/>
      <c r="L19" s="1"/>
      <c r="M19" s="1"/>
      <c r="N19" s="1"/>
      <c r="O19" s="1"/>
      <c r="P19" s="1"/>
      <c r="Q19" s="1"/>
      <c r="R19" s="1"/>
      <c r="S19" s="1"/>
      <c r="T19" s="1"/>
      <c r="U19" s="1201"/>
      <c r="V19" s="1201"/>
      <c r="W19" s="1201"/>
      <c r="X19" s="1201"/>
      <c r="Y19" s="1201"/>
      <c r="Z19" s="1201"/>
      <c r="AA19" s="1201"/>
    </row>
    <row r="20" spans="1:27" ht="15">
      <c r="A20" s="1198" t="s">
        <v>254</v>
      </c>
      <c r="B20" s="5">
        <f>SUMIF(Mobiliti!$F$15:$F$572,$A20,Mobiliti!$AG$15:$AG$572)</f>
        <v>0</v>
      </c>
      <c r="C20" s="746" cm="1">
        <f t="array" ref="C20">SUMPRODUCT((Mobiliti!$F$15:$F$572=$A20)*IFERROR(Mobiliti!$AG$15:$AG$572*(1-Mobiliti!$AK$15:$AK$572),0))</f>
        <v>0</v>
      </c>
      <c r="D20" s="1199">
        <f t="shared" si="0"/>
        <v>0</v>
      </c>
      <c r="E20" s="1200">
        <f t="shared" si="1"/>
        <v>0</v>
      </c>
      <c r="F20" s="1200">
        <f t="shared" si="2"/>
        <v>0</v>
      </c>
      <c r="G20" s="1"/>
      <c r="H20" s="1"/>
      <c r="I20" s="1"/>
      <c r="J20" s="1"/>
      <c r="K20" s="1"/>
      <c r="L20" s="1"/>
      <c r="M20" s="1"/>
      <c r="N20" s="1"/>
      <c r="O20" s="1"/>
      <c r="P20" s="1"/>
      <c r="Q20" s="1"/>
      <c r="R20" s="1"/>
      <c r="S20" s="1"/>
      <c r="T20" s="1"/>
      <c r="U20" s="1201"/>
      <c r="V20" s="1201"/>
      <c r="W20" s="1201"/>
      <c r="X20" s="1201"/>
      <c r="Y20" s="1201"/>
      <c r="Z20" s="1201"/>
      <c r="AA20" s="1201"/>
    </row>
    <row r="21" spans="1:27" ht="15">
      <c r="A21" s="1198" t="s">
        <v>255</v>
      </c>
      <c r="B21" s="5">
        <f>SUMIF(Mobiliti!$F$15:$F$572,$A21,Mobiliti!$AG$15:$AG$572)</f>
        <v>0</v>
      </c>
      <c r="C21" s="746" cm="1">
        <f t="array" ref="C21">SUMPRODUCT((Mobiliti!$F$15:$F$572=$A21)*IFERROR(Mobiliti!$AG$15:$AG$572*(1-Mobiliti!$AK$15:$AK$572),0))</f>
        <v>0</v>
      </c>
      <c r="D21" s="1199">
        <f t="shared" si="0"/>
        <v>0</v>
      </c>
      <c r="E21" s="1200">
        <f t="shared" si="1"/>
        <v>0</v>
      </c>
      <c r="F21" s="1200">
        <f t="shared" si="2"/>
        <v>0</v>
      </c>
      <c r="G21" s="1"/>
      <c r="H21" s="1"/>
      <c r="I21" s="1"/>
      <c r="J21" s="1"/>
      <c r="K21" s="1"/>
      <c r="L21" s="1"/>
      <c r="M21" s="1"/>
      <c r="N21" s="1"/>
      <c r="O21" s="1"/>
      <c r="P21" s="1"/>
      <c r="Q21" s="1"/>
      <c r="R21" s="1"/>
      <c r="S21" s="1"/>
      <c r="T21" s="1"/>
      <c r="U21" s="1201"/>
      <c r="V21" s="1201"/>
      <c r="W21" s="1201"/>
      <c r="X21" s="1201"/>
      <c r="Y21" s="1201"/>
      <c r="Z21" s="1201"/>
      <c r="AA21" s="1201"/>
    </row>
    <row r="22" spans="1:27" ht="15">
      <c r="A22" s="1198" t="s">
        <v>256</v>
      </c>
      <c r="B22" s="5">
        <f>SUMIF(Mobiliti!$F$15:$F$572,$A22,Mobiliti!$AG$15:$AG$572)</f>
        <v>0</v>
      </c>
      <c r="C22" s="746" cm="1">
        <f t="array" ref="C22">SUMPRODUCT((Mobiliti!$F$15:$F$572=$A22)*IFERROR(Mobiliti!$AG$15:$AG$572*(1-Mobiliti!$AK$15:$AK$572),0))</f>
        <v>0</v>
      </c>
      <c r="D22" s="1199">
        <f t="shared" si="0"/>
        <v>0</v>
      </c>
      <c r="E22" s="1200">
        <f t="shared" si="1"/>
        <v>0</v>
      </c>
      <c r="F22" s="1200">
        <f t="shared" si="2"/>
        <v>0</v>
      </c>
      <c r="G22" s="1"/>
      <c r="H22" s="1"/>
      <c r="I22" s="1"/>
      <c r="J22" s="1"/>
      <c r="K22" s="1"/>
      <c r="L22" s="1"/>
      <c r="M22" s="1"/>
      <c r="N22" s="1"/>
      <c r="O22" s="1"/>
      <c r="P22" s="1"/>
      <c r="Q22" s="1"/>
      <c r="R22" s="1"/>
      <c r="S22" s="1"/>
      <c r="T22" s="1"/>
      <c r="U22" s="1201"/>
      <c r="V22" s="1201"/>
      <c r="W22" s="1201"/>
      <c r="X22" s="1201"/>
      <c r="Y22" s="1201"/>
      <c r="Z22" s="1201"/>
      <c r="AA22" s="1201"/>
    </row>
    <row r="23" spans="1:27" ht="15">
      <c r="A23" s="1198" t="s">
        <v>257</v>
      </c>
      <c r="B23" s="5">
        <f>SUMIF(Mobiliti!$F$15:$F$572,$A23,Mobiliti!$AG$15:$AG$572)</f>
        <v>0</v>
      </c>
      <c r="C23" s="746" cm="1">
        <f t="array" ref="C23">SUMPRODUCT((Mobiliti!$F$15:$F$572=$A23)*IFERROR(Mobiliti!$AG$15:$AG$572*(1-Mobiliti!$AK$15:$AK$572),0))</f>
        <v>0</v>
      </c>
      <c r="D23" s="1199">
        <f t="shared" si="0"/>
        <v>0</v>
      </c>
      <c r="E23" s="1200">
        <f t="shared" si="1"/>
        <v>0</v>
      </c>
      <c r="F23" s="1200">
        <f t="shared" si="2"/>
        <v>0</v>
      </c>
      <c r="G23" s="1"/>
      <c r="H23" s="1"/>
      <c r="I23" s="1"/>
      <c r="J23" s="1"/>
      <c r="K23" s="1"/>
      <c r="L23" s="1"/>
      <c r="M23" s="1"/>
      <c r="N23" s="1"/>
      <c r="O23" s="1"/>
      <c r="P23" s="1"/>
      <c r="Q23" s="1"/>
      <c r="R23" s="1"/>
      <c r="S23" s="1"/>
      <c r="T23" s="1"/>
      <c r="U23" s="1201"/>
      <c r="V23" s="1201"/>
      <c r="W23" s="1201"/>
      <c r="X23" s="1201"/>
      <c r="Y23" s="1201"/>
      <c r="Z23" s="1201"/>
      <c r="AA23" s="1201"/>
    </row>
    <row r="24" spans="1:27" ht="15">
      <c r="A24" s="1198" t="s">
        <v>258</v>
      </c>
      <c r="B24" s="5">
        <f>SUMIF(Mobiliti!$F$15:$F$572,$A24,Mobiliti!$AG$15:$AG$572)</f>
        <v>0</v>
      </c>
      <c r="C24" s="746" cm="1">
        <f t="array" ref="C24">SUMPRODUCT((Mobiliti!$F$15:$F$572=$A24)*IFERROR(Mobiliti!$AG$15:$AG$572*(1-Mobiliti!$AK$15:$AK$572),0))</f>
        <v>0</v>
      </c>
      <c r="D24" s="1199">
        <f t="shared" si="0"/>
        <v>0</v>
      </c>
      <c r="E24" s="1200">
        <f t="shared" si="1"/>
        <v>0</v>
      </c>
      <c r="F24" s="1200">
        <f t="shared" si="2"/>
        <v>0</v>
      </c>
      <c r="G24" s="1"/>
      <c r="H24" s="1"/>
      <c r="I24" s="1"/>
      <c r="J24" s="1"/>
      <c r="K24" s="1"/>
      <c r="L24" s="1"/>
      <c r="M24" s="1"/>
      <c r="N24" s="1"/>
      <c r="O24" s="1"/>
      <c r="P24" s="1"/>
      <c r="Q24" s="1"/>
      <c r="R24" s="1"/>
      <c r="S24" s="1"/>
      <c r="T24" s="1"/>
      <c r="U24" s="1201"/>
      <c r="V24" s="1201"/>
      <c r="W24" s="1201"/>
      <c r="X24" s="1201"/>
      <c r="Y24" s="1201"/>
      <c r="Z24" s="1201"/>
      <c r="AA24" s="1201"/>
    </row>
    <row r="25" spans="1:27" ht="15">
      <c r="A25" s="1198" t="s">
        <v>259</v>
      </c>
      <c r="B25" s="5">
        <f>SUMIF(Mobiliti!$F$15:$F$572,$A25,Mobiliti!$AG$15:$AG$572)</f>
        <v>0</v>
      </c>
      <c r="C25" s="746" cm="1">
        <f t="array" ref="C25">SUMPRODUCT((Mobiliti!$F$15:$F$572=$A25)*IFERROR(Mobiliti!$AG$15:$AG$572*(1-Mobiliti!$AK$15:$AK$572),0))</f>
        <v>0</v>
      </c>
      <c r="D25" s="1199">
        <f t="shared" si="0"/>
        <v>0</v>
      </c>
      <c r="E25" s="1200">
        <f t="shared" si="1"/>
        <v>0</v>
      </c>
      <c r="F25" s="1200">
        <f t="shared" si="2"/>
        <v>0</v>
      </c>
      <c r="G25" s="1"/>
      <c r="H25" s="1"/>
      <c r="I25" s="1"/>
      <c r="J25" s="1"/>
      <c r="K25" s="1"/>
      <c r="L25" s="1"/>
      <c r="M25" s="1"/>
      <c r="N25" s="1"/>
      <c r="O25" s="1"/>
      <c r="P25" s="1"/>
      <c r="Q25" s="1"/>
      <c r="R25" s="1"/>
      <c r="S25" s="1"/>
      <c r="T25" s="1"/>
      <c r="U25" s="1201"/>
      <c r="V25" s="1201"/>
      <c r="W25" s="1201"/>
      <c r="X25" s="1201"/>
      <c r="Y25" s="1201"/>
      <c r="Z25" s="1201"/>
      <c r="AA25" s="1201"/>
    </row>
    <row r="26" spans="1:27" ht="15">
      <c r="A26" s="1198" t="s">
        <v>260</v>
      </c>
      <c r="B26" s="5">
        <f>SUMIF(Mobiliti!$F$15:$F$572,$A26,Mobiliti!$AG$15:$AG$572)</f>
        <v>0</v>
      </c>
      <c r="C26" s="746" cm="1">
        <f t="array" ref="C26">SUMPRODUCT((Mobiliti!$F$15:$F$572=$A26)*IFERROR(Mobiliti!$AG$15:$AG$572*(1-Mobiliti!$AK$15:$AK$572),0))</f>
        <v>0</v>
      </c>
      <c r="D26" s="1199">
        <f t="shared" si="0"/>
        <v>0</v>
      </c>
      <c r="E26" s="1200">
        <f t="shared" si="1"/>
        <v>0</v>
      </c>
      <c r="F26" s="1200">
        <f t="shared" si="2"/>
        <v>0</v>
      </c>
      <c r="G26" s="1"/>
      <c r="H26" s="1"/>
      <c r="I26" s="1"/>
      <c r="J26" s="1"/>
      <c r="K26" s="1"/>
      <c r="L26" s="1"/>
      <c r="M26" s="1"/>
      <c r="N26" s="1"/>
      <c r="O26" s="1"/>
      <c r="P26" s="1"/>
      <c r="Q26" s="1"/>
      <c r="R26" s="1"/>
      <c r="S26" s="1"/>
      <c r="T26" s="1"/>
      <c r="U26" s="1201"/>
      <c r="V26" s="1201"/>
      <c r="W26" s="1201"/>
      <c r="X26" s="1201"/>
      <c r="Y26" s="1201"/>
      <c r="Z26" s="1201"/>
      <c r="AA26" s="1201"/>
    </row>
    <row r="27" spans="1:27" ht="15">
      <c r="A27" s="1198" t="s">
        <v>261</v>
      </c>
      <c r="B27" s="5">
        <f>SUMIF(Mobiliti!$F$15:$F$572,$A27,Mobiliti!$AG$15:$AG$572)</f>
        <v>0</v>
      </c>
      <c r="C27" s="746" cm="1">
        <f t="array" ref="C27">SUMPRODUCT((Mobiliti!$F$15:$F$572=$A27)*IFERROR(Mobiliti!$AG$15:$AG$572*(1-Mobiliti!$AK$15:$AK$572),0))</f>
        <v>0</v>
      </c>
      <c r="D27" s="1199">
        <f t="shared" si="0"/>
        <v>0</v>
      </c>
      <c r="E27" s="1200">
        <f t="shared" si="1"/>
        <v>0</v>
      </c>
      <c r="F27" s="1200">
        <f t="shared" si="2"/>
        <v>0</v>
      </c>
      <c r="G27" s="1"/>
      <c r="H27" s="1"/>
      <c r="I27" s="1"/>
      <c r="J27" s="1"/>
      <c r="K27" s="1"/>
      <c r="L27" s="1"/>
      <c r="M27" s="1"/>
      <c r="N27" s="1"/>
      <c r="O27" s="1"/>
      <c r="P27" s="1"/>
      <c r="Q27" s="1"/>
      <c r="R27" s="1"/>
      <c r="S27" s="1"/>
      <c r="T27" s="1"/>
      <c r="U27" s="1201"/>
      <c r="V27" s="1201"/>
      <c r="W27" s="1201"/>
      <c r="X27" s="1201"/>
      <c r="Y27" s="1201"/>
      <c r="Z27" s="1201"/>
      <c r="AA27" s="1201"/>
    </row>
    <row r="28" spans="1:27" ht="15">
      <c r="A28" s="1198" t="s">
        <v>262</v>
      </c>
      <c r="B28" s="5">
        <f>SUMIF(Mobiliti!$F$15:$F$572,$A28,Mobiliti!$AG$15:$AG$572)</f>
        <v>0</v>
      </c>
      <c r="C28" s="746" cm="1">
        <f t="array" ref="C28">SUMPRODUCT((Mobiliti!$F$15:$F$572=$A28)*IFERROR(Mobiliti!$AG$15:$AG$572*(1-Mobiliti!$AK$15:$AK$572),0))</f>
        <v>0</v>
      </c>
      <c r="D28" s="1199">
        <f t="shared" si="0"/>
        <v>0</v>
      </c>
      <c r="E28" s="1200">
        <f t="shared" si="1"/>
        <v>0</v>
      </c>
      <c r="F28" s="1200">
        <f t="shared" si="2"/>
        <v>0</v>
      </c>
      <c r="G28" s="1"/>
      <c r="H28" s="1"/>
      <c r="I28" s="1"/>
      <c r="J28" s="1"/>
      <c r="K28" s="1"/>
      <c r="L28" s="1"/>
      <c r="M28" s="1"/>
      <c r="N28" s="1"/>
      <c r="O28" s="1"/>
      <c r="P28" s="1"/>
      <c r="Q28" s="1"/>
      <c r="R28" s="1"/>
      <c r="S28" s="1"/>
      <c r="T28" s="1"/>
      <c r="U28" s="1201"/>
      <c r="V28" s="1201"/>
      <c r="W28" s="1201"/>
      <c r="X28" s="1201"/>
      <c r="Y28" s="1201"/>
      <c r="Z28" s="1201"/>
      <c r="AA28" s="1201"/>
    </row>
    <row r="29" spans="1:27" ht="15">
      <c r="A29" s="1198" t="s">
        <v>263</v>
      </c>
      <c r="B29" s="5">
        <f>SUMIF(Mobiliti!$F$15:$F$572,$A29,Mobiliti!$AG$15:$AG$572)</f>
        <v>0</v>
      </c>
      <c r="C29" s="746" cm="1">
        <f t="array" ref="C29">SUMPRODUCT((Mobiliti!$F$15:$F$572=$A29)*IFERROR(Mobiliti!$AG$15:$AG$572*(1-Mobiliti!$AK$15:$AK$572),0))</f>
        <v>0</v>
      </c>
      <c r="D29" s="1199">
        <f t="shared" si="0"/>
        <v>0</v>
      </c>
      <c r="E29" s="1200">
        <f t="shared" si="1"/>
        <v>0</v>
      </c>
      <c r="F29" s="1200">
        <f t="shared" si="2"/>
        <v>0</v>
      </c>
      <c r="G29" s="1"/>
      <c r="H29" s="1"/>
      <c r="I29" s="1"/>
      <c r="J29" s="1"/>
      <c r="K29" s="1"/>
      <c r="L29" s="1"/>
      <c r="M29" s="1"/>
      <c r="N29" s="1"/>
      <c r="O29" s="1"/>
      <c r="P29" s="1"/>
      <c r="Q29" s="1"/>
      <c r="R29" s="1"/>
      <c r="S29" s="1"/>
      <c r="T29" s="1"/>
      <c r="U29" s="1201"/>
      <c r="V29" s="1201"/>
      <c r="W29" s="1201"/>
      <c r="X29" s="1201"/>
      <c r="Y29" s="1201"/>
      <c r="Z29" s="1201"/>
      <c r="AA29" s="1201"/>
    </row>
    <row r="30" spans="1:27" ht="15">
      <c r="A30" s="1198" t="s">
        <v>264</v>
      </c>
      <c r="B30" s="5">
        <f>SUMIF(Mobiliti!$F$15:$F$572,$A30,Mobiliti!$AG$15:$AG$572)</f>
        <v>0</v>
      </c>
      <c r="C30" s="746" cm="1">
        <f t="array" ref="C30">SUMPRODUCT((Mobiliti!$F$15:$F$572=$A30)*IFERROR(Mobiliti!$AG$15:$AG$572*(1-Mobiliti!$AK$15:$AK$572),0))</f>
        <v>0</v>
      </c>
      <c r="D30" s="1199">
        <f t="shared" si="0"/>
        <v>0</v>
      </c>
      <c r="E30" s="1200">
        <f t="shared" si="1"/>
        <v>0</v>
      </c>
      <c r="F30" s="1200">
        <f t="shared" si="2"/>
        <v>0</v>
      </c>
      <c r="G30" s="1"/>
      <c r="H30" s="1"/>
      <c r="I30" s="1"/>
      <c r="J30" s="1"/>
      <c r="K30" s="1"/>
      <c r="L30" s="1"/>
      <c r="M30" s="1"/>
      <c r="N30" s="1"/>
      <c r="O30" s="1"/>
      <c r="P30" s="1"/>
      <c r="Q30" s="1"/>
      <c r="R30" s="1"/>
      <c r="S30" s="1"/>
      <c r="T30" s="1"/>
      <c r="U30" s="1201"/>
      <c r="V30" s="1201"/>
      <c r="W30" s="1201"/>
      <c r="X30" s="1201"/>
      <c r="Y30" s="1201"/>
      <c r="Z30" s="1201"/>
      <c r="AA30" s="1201"/>
    </row>
    <row r="31" spans="1:27" ht="15">
      <c r="A31" s="1198" t="s">
        <v>265</v>
      </c>
      <c r="B31" s="5">
        <f>SUMIF(Mobiliti!$F$15:$F$572,$A31,Mobiliti!$AG$15:$AG$572)</f>
        <v>0</v>
      </c>
      <c r="C31" s="746" cm="1">
        <f t="array" ref="C31">SUMPRODUCT((Mobiliti!$F$15:$F$572=$A31)*IFERROR(Mobiliti!$AG$15:$AG$572*(1-Mobiliti!$AK$15:$AK$572),0))</f>
        <v>0</v>
      </c>
      <c r="D31" s="1199">
        <f t="shared" si="0"/>
        <v>0</v>
      </c>
      <c r="E31" s="1200">
        <f t="shared" si="1"/>
        <v>0</v>
      </c>
      <c r="F31" s="1200">
        <f t="shared" si="2"/>
        <v>0</v>
      </c>
      <c r="G31" s="1"/>
      <c r="H31" s="1"/>
      <c r="I31" s="1"/>
      <c r="J31" s="1"/>
      <c r="K31" s="1"/>
      <c r="L31" s="1"/>
      <c r="M31" s="1"/>
      <c r="N31" s="1"/>
      <c r="O31" s="1"/>
      <c r="P31" s="1"/>
      <c r="Q31" s="1"/>
      <c r="R31" s="1"/>
      <c r="S31" s="1"/>
      <c r="T31" s="1"/>
      <c r="U31" s="1201"/>
      <c r="V31" s="1201"/>
      <c r="W31" s="1201"/>
      <c r="X31" s="1201"/>
      <c r="Y31" s="1201"/>
      <c r="Z31" s="1201"/>
      <c r="AA31" s="1201"/>
    </row>
    <row r="32" spans="1:27" ht="15">
      <c r="A32" s="1198" t="s">
        <v>266</v>
      </c>
      <c r="B32" s="5">
        <f>SUMIF(Mobiliti!$F$15:$F$572,$A32,Mobiliti!$AG$15:$AG$572)</f>
        <v>0</v>
      </c>
      <c r="C32" s="746" cm="1">
        <f t="array" ref="C32">SUMPRODUCT((Mobiliti!$F$15:$F$572=$A32)*IFERROR(Mobiliti!$AG$15:$AG$572*(1-Mobiliti!$AK$15:$AK$572),0))</f>
        <v>0</v>
      </c>
      <c r="D32" s="1199">
        <f t="shared" si="0"/>
        <v>0</v>
      </c>
      <c r="E32" s="1200">
        <f t="shared" si="1"/>
        <v>0</v>
      </c>
      <c r="F32" s="1200">
        <f t="shared" si="2"/>
        <v>0</v>
      </c>
      <c r="G32" s="1"/>
      <c r="H32" s="1"/>
      <c r="I32" s="1"/>
      <c r="J32" s="1"/>
      <c r="K32" s="1"/>
      <c r="L32" s="1"/>
      <c r="M32" s="1"/>
      <c r="N32" s="1"/>
      <c r="O32" s="1"/>
      <c r="P32" s="1"/>
      <c r="Q32" s="1"/>
      <c r="R32" s="1"/>
      <c r="S32" s="1"/>
      <c r="T32" s="1"/>
      <c r="U32" s="1201"/>
      <c r="V32" s="1201"/>
      <c r="W32" s="1201"/>
      <c r="X32" s="1201"/>
      <c r="Y32" s="1201"/>
      <c r="Z32" s="1201"/>
      <c r="AA32" s="1201"/>
    </row>
    <row r="33" spans="1:27" ht="15">
      <c r="A33" s="1198" t="s">
        <v>267</v>
      </c>
      <c r="B33" s="5">
        <f>SUMIF(Mobiliti!$F$15:$F$572,$A33,Mobiliti!$AG$15:$AG$572)</f>
        <v>0</v>
      </c>
      <c r="C33" s="746" cm="1">
        <f t="array" ref="C33">SUMPRODUCT((Mobiliti!$F$15:$F$572=$A33)*IFERROR(Mobiliti!$AG$15:$AG$572*(1-Mobiliti!$AK$15:$AK$572),0))</f>
        <v>0</v>
      </c>
      <c r="D33" s="1199">
        <f t="shared" si="0"/>
        <v>0</v>
      </c>
      <c r="E33" s="1200">
        <f t="shared" si="1"/>
        <v>0</v>
      </c>
      <c r="F33" s="1200">
        <f t="shared" si="2"/>
        <v>0</v>
      </c>
      <c r="G33" s="1"/>
      <c r="H33" s="1"/>
      <c r="I33" s="1"/>
      <c r="J33" s="1"/>
      <c r="K33" s="1"/>
      <c r="L33" s="1"/>
      <c r="M33" s="1"/>
      <c r="N33" s="1"/>
      <c r="O33" s="1"/>
      <c r="P33" s="1"/>
      <c r="Q33" s="1"/>
      <c r="R33" s="1"/>
      <c r="S33" s="1"/>
      <c r="T33" s="1"/>
      <c r="U33" s="1201"/>
      <c r="V33" s="1201"/>
      <c r="W33" s="1201"/>
      <c r="X33" s="1201"/>
      <c r="Y33" s="1201"/>
      <c r="Z33" s="1201"/>
      <c r="AA33" s="1201"/>
    </row>
    <row r="34" spans="1:27" ht="15">
      <c r="A34" s="1198" t="s">
        <v>268</v>
      </c>
      <c r="B34" s="5">
        <f>SUMIF(Mobiliti!$F$15:$F$572,$A34,Mobiliti!$AG$15:$AG$572)</f>
        <v>0</v>
      </c>
      <c r="C34" s="746" cm="1">
        <f t="array" ref="C34">SUMPRODUCT((Mobiliti!$F$15:$F$572=$A34)*IFERROR(Mobiliti!$AG$15:$AG$572*(1-Mobiliti!$AK$15:$AK$572),0))</f>
        <v>0</v>
      </c>
      <c r="D34" s="1199">
        <f t="shared" si="0"/>
        <v>0</v>
      </c>
      <c r="E34" s="1200">
        <f t="shared" si="1"/>
        <v>0</v>
      </c>
      <c r="F34" s="1200">
        <f t="shared" si="2"/>
        <v>0</v>
      </c>
      <c r="G34" s="1"/>
      <c r="H34" s="1"/>
      <c r="I34" s="1"/>
      <c r="J34" s="1"/>
      <c r="K34" s="1"/>
      <c r="L34" s="1"/>
      <c r="M34" s="1"/>
      <c r="N34" s="1"/>
      <c r="O34" s="1"/>
      <c r="P34" s="1"/>
      <c r="Q34" s="1"/>
      <c r="R34" s="1"/>
      <c r="S34" s="1"/>
      <c r="T34" s="1"/>
      <c r="U34" s="1201"/>
      <c r="V34" s="1201"/>
      <c r="W34" s="1201"/>
      <c r="X34" s="1201"/>
      <c r="Y34" s="1201"/>
      <c r="Z34" s="1201"/>
      <c r="AA34" s="1201"/>
    </row>
    <row r="35" spans="1:27" ht="15">
      <c r="A35" s="1198" t="s">
        <v>269</v>
      </c>
      <c r="B35" s="5">
        <f>SUMIF(Mobiliti!$F$15:$F$572,$A35,Mobiliti!$AG$15:$AG$572)</f>
        <v>0</v>
      </c>
      <c r="C35" s="746" cm="1">
        <f t="array" ref="C35">SUMPRODUCT((Mobiliti!$F$15:$F$572=$A35)*IFERROR(Mobiliti!$AG$15:$AG$572*(1-Mobiliti!$AK$15:$AK$572),0))</f>
        <v>0</v>
      </c>
      <c r="D35" s="1199">
        <f t="shared" si="0"/>
        <v>0</v>
      </c>
      <c r="E35" s="1200">
        <f t="shared" si="1"/>
        <v>0</v>
      </c>
      <c r="F35" s="1200">
        <f t="shared" si="2"/>
        <v>0</v>
      </c>
      <c r="G35" s="1"/>
      <c r="H35" s="1"/>
      <c r="I35" s="1"/>
      <c r="J35" s="1"/>
      <c r="K35" s="1"/>
      <c r="L35" s="1"/>
      <c r="M35" s="1"/>
      <c r="N35" s="1"/>
      <c r="O35" s="1"/>
      <c r="P35" s="1"/>
      <c r="Q35" s="1"/>
      <c r="R35" s="1"/>
      <c r="S35" s="1"/>
      <c r="T35" s="1"/>
      <c r="U35" s="1201"/>
      <c r="V35" s="1201"/>
      <c r="W35" s="1201"/>
      <c r="X35" s="1201"/>
      <c r="Y35" s="1201"/>
      <c r="Z35" s="1201"/>
      <c r="AA35" s="1201"/>
    </row>
    <row r="36" spans="1:27" ht="15">
      <c r="A36" s="1198" t="s">
        <v>270</v>
      </c>
      <c r="B36" s="5">
        <f>SUMIF(Mobiliti!$F$15:$F$572,$A36,Mobiliti!$AG$15:$AG$572)</f>
        <v>0</v>
      </c>
      <c r="C36" s="746" cm="1">
        <f t="array" ref="C36">SUMPRODUCT((Mobiliti!$F$15:$F$572=$A36)*IFERROR(Mobiliti!$AG$15:$AG$572*(1-Mobiliti!$AK$15:$AK$572),0))</f>
        <v>0</v>
      </c>
      <c r="D36" s="1199">
        <f t="shared" si="0"/>
        <v>0</v>
      </c>
      <c r="E36" s="1200">
        <f t="shared" si="1"/>
        <v>0</v>
      </c>
      <c r="F36" s="1200">
        <f t="shared" si="2"/>
        <v>0</v>
      </c>
      <c r="G36" s="1"/>
      <c r="H36" s="1"/>
      <c r="I36" s="1"/>
      <c r="J36" s="1"/>
      <c r="K36" s="1"/>
      <c r="L36" s="1"/>
      <c r="M36" s="1"/>
      <c r="N36" s="1"/>
      <c r="O36" s="1"/>
      <c r="P36" s="1"/>
      <c r="Q36" s="1"/>
      <c r="R36" s="1"/>
      <c r="S36" s="1"/>
      <c r="T36" s="1"/>
      <c r="U36" s="1201"/>
      <c r="V36" s="1201"/>
      <c r="W36" s="1201"/>
      <c r="X36" s="1201"/>
      <c r="Y36" s="1201"/>
      <c r="Z36" s="1201"/>
      <c r="AA36" s="1201"/>
    </row>
    <row r="37" spans="1:27" ht="15">
      <c r="A37" s="1198" t="s">
        <v>271</v>
      </c>
      <c r="B37" s="5">
        <f>SUMIF(Mobiliti!$F$15:$F$572,$A37,Mobiliti!$AG$15:$AG$572)</f>
        <v>0</v>
      </c>
      <c r="C37" s="746" cm="1">
        <f t="array" ref="C37">SUMPRODUCT((Mobiliti!$F$15:$F$572=$A37)*IFERROR(Mobiliti!$AG$15:$AG$572*(1-Mobiliti!$AK$15:$AK$572),0))</f>
        <v>0</v>
      </c>
      <c r="D37" s="1199">
        <f t="shared" si="0"/>
        <v>0</v>
      </c>
      <c r="E37" s="1200">
        <f t="shared" si="1"/>
        <v>0</v>
      </c>
      <c r="F37" s="1200">
        <f t="shared" si="2"/>
        <v>0</v>
      </c>
      <c r="G37" s="1"/>
      <c r="H37" s="1"/>
      <c r="I37" s="1"/>
      <c r="J37" s="1"/>
      <c r="K37" s="1"/>
      <c r="L37" s="1"/>
      <c r="M37" s="1"/>
      <c r="N37" s="1"/>
      <c r="O37" s="1"/>
      <c r="P37" s="1"/>
      <c r="Q37" s="1"/>
      <c r="R37" s="1"/>
      <c r="S37" s="1"/>
      <c r="T37" s="1"/>
      <c r="U37" s="1201"/>
      <c r="V37" s="1201"/>
      <c r="W37" s="1201"/>
      <c r="X37" s="1201"/>
      <c r="Y37" s="1201"/>
      <c r="Z37" s="1201"/>
      <c r="AA37" s="1201"/>
    </row>
    <row r="38" spans="1:27" ht="15">
      <c r="A38" s="1198" t="s">
        <v>272</v>
      </c>
      <c r="B38" s="5">
        <f>SUMIF(Mobiliti!$F$15:$F$572,$A38,Mobiliti!$AG$15:$AG$572)</f>
        <v>0</v>
      </c>
      <c r="C38" s="746" cm="1">
        <f t="array" ref="C38">SUMPRODUCT((Mobiliti!$F$15:$F$572=$A38)*IFERROR(Mobiliti!$AG$15:$AG$572*(1-Mobiliti!$AK$15:$AK$572),0))</f>
        <v>0</v>
      </c>
      <c r="D38" s="1199">
        <f t="shared" si="0"/>
        <v>0</v>
      </c>
      <c r="E38" s="1200">
        <f t="shared" si="1"/>
        <v>0</v>
      </c>
      <c r="F38" s="1200">
        <f t="shared" si="2"/>
        <v>0</v>
      </c>
      <c r="G38" s="1"/>
      <c r="H38" s="1"/>
      <c r="I38" s="1"/>
      <c r="J38" s="1"/>
      <c r="K38" s="1"/>
      <c r="L38" s="1"/>
      <c r="M38" s="1"/>
      <c r="N38" s="1"/>
      <c r="O38" s="1"/>
      <c r="P38" s="1"/>
      <c r="Q38" s="1"/>
      <c r="R38" s="1"/>
      <c r="S38" s="1"/>
      <c r="T38" s="1"/>
      <c r="U38" s="1201"/>
      <c r="V38" s="1201"/>
      <c r="W38" s="1201"/>
      <c r="X38" s="1201"/>
      <c r="Y38" s="1201"/>
      <c r="Z38" s="1201"/>
      <c r="AA38" s="1201"/>
    </row>
    <row r="39" spans="1:27" ht="15">
      <c r="A39" s="1198" t="s">
        <v>273</v>
      </c>
      <c r="B39" s="5">
        <f>SUMIF(Mobiliti!$F$15:$F$572,$A39,Mobiliti!$AG$15:$AG$572)</f>
        <v>0</v>
      </c>
      <c r="C39" s="746" cm="1">
        <f t="array" ref="C39">SUMPRODUCT((Mobiliti!$F$15:$F$572=$A39)*IFERROR(Mobiliti!$AG$15:$AG$572*(1-Mobiliti!$AK$15:$AK$572),0))</f>
        <v>0</v>
      </c>
      <c r="D39" s="1199">
        <f t="shared" si="0"/>
        <v>0</v>
      </c>
      <c r="E39" s="1200">
        <f t="shared" si="1"/>
        <v>0</v>
      </c>
      <c r="F39" s="1200">
        <f t="shared" si="2"/>
        <v>0</v>
      </c>
      <c r="G39" s="1"/>
      <c r="H39" s="1"/>
      <c r="I39" s="1"/>
      <c r="J39" s="1"/>
      <c r="K39" s="1"/>
      <c r="L39" s="1"/>
      <c r="M39" s="1"/>
      <c r="N39" s="1"/>
      <c r="O39" s="1"/>
      <c r="P39" s="1"/>
      <c r="Q39" s="1"/>
      <c r="R39" s="1"/>
      <c r="S39" s="1"/>
      <c r="T39" s="1"/>
      <c r="U39" s="1201"/>
      <c r="V39" s="1201"/>
      <c r="W39" s="1201"/>
      <c r="X39" s="1201"/>
      <c r="Y39" s="1201"/>
      <c r="Z39" s="1201"/>
      <c r="AA39" s="1201"/>
    </row>
    <row r="40" spans="1:27" ht="18.95">
      <c r="A40" s="1204" t="s">
        <v>274</v>
      </c>
      <c r="B40" s="7">
        <f>SUM(B6:B39)</f>
        <v>0</v>
      </c>
      <c r="C40" s="6">
        <f>SUM(C6:C39)</f>
        <v>0</v>
      </c>
      <c r="D40" s="1205">
        <f>B40-C40</f>
        <v>0</v>
      </c>
      <c r="E40" s="1206">
        <f>IFERROR(D40/B40,0)</f>
        <v>0</v>
      </c>
      <c r="F40" s="1206">
        <f>IF(B40&gt;0,100%,0)</f>
        <v>0</v>
      </c>
      <c r="G40" s="1"/>
      <c r="H40" s="1"/>
      <c r="I40" s="1"/>
      <c r="J40" s="1"/>
      <c r="K40" s="1"/>
      <c r="L40" s="1"/>
      <c r="M40" s="1"/>
      <c r="N40" s="1"/>
      <c r="O40" s="1"/>
      <c r="P40" s="1"/>
      <c r="Q40" s="1"/>
      <c r="R40" s="1"/>
      <c r="S40" s="1"/>
      <c r="T40" s="1"/>
      <c r="U40" s="1201"/>
      <c r="V40" s="1201"/>
      <c r="W40" s="1201"/>
      <c r="X40" s="1201"/>
      <c r="Y40" s="1201"/>
      <c r="Z40" s="1201"/>
      <c r="AA40" s="1201"/>
    </row>
    <row r="41" spans="1:27" ht="15.95">
      <c r="A41" s="1"/>
      <c r="B41" s="1203"/>
      <c r="C41" s="1294"/>
      <c r="D41" s="1"/>
      <c r="E41" s="1207"/>
      <c r="F41" s="1"/>
      <c r="G41" s="1"/>
      <c r="H41" s="1"/>
      <c r="I41" s="1"/>
      <c r="J41" s="1"/>
      <c r="K41" s="1"/>
      <c r="L41" s="1"/>
      <c r="M41" s="1"/>
      <c r="N41" s="1"/>
      <c r="O41" s="1"/>
      <c r="P41" s="1"/>
      <c r="Q41" s="1"/>
      <c r="R41" s="1"/>
      <c r="S41" s="1"/>
      <c r="T41" s="1"/>
      <c r="U41" s="1201"/>
      <c r="V41" s="1201"/>
      <c r="W41" s="1201"/>
      <c r="X41" s="1201"/>
      <c r="Y41" s="1201"/>
      <c r="Z41" s="1201"/>
      <c r="AA41" s="1201"/>
    </row>
    <row r="42" spans="1:27" ht="18.95">
      <c r="A42" s="1425" t="s">
        <v>275</v>
      </c>
      <c r="B42" s="1426"/>
      <c r="C42" s="1427"/>
      <c r="D42" s="1"/>
      <c r="E42" s="1207"/>
      <c r="F42" s="1"/>
      <c r="G42" s="1"/>
      <c r="H42" s="1"/>
      <c r="I42" s="1"/>
      <c r="J42" s="1"/>
      <c r="K42" s="1"/>
      <c r="L42" s="1"/>
      <c r="M42" s="1"/>
      <c r="N42" s="1"/>
      <c r="O42" s="1"/>
      <c r="P42" s="1"/>
      <c r="Q42" s="1"/>
      <c r="R42" s="1"/>
      <c r="S42" s="1"/>
      <c r="T42" s="1"/>
      <c r="U42" s="1201"/>
      <c r="V42" s="1201"/>
      <c r="W42" s="1201"/>
      <c r="X42" s="1201"/>
      <c r="Y42" s="1201"/>
      <c r="Z42" s="1201"/>
      <c r="AA42" s="1201"/>
    </row>
    <row r="43" spans="1:27" ht="15.95">
      <c r="A43" s="1451" t="s">
        <v>276</v>
      </c>
      <c r="B43" s="1452"/>
      <c r="C43" s="97">
        <v>0</v>
      </c>
      <c r="D43" s="1"/>
      <c r="E43" s="1207"/>
      <c r="F43" s="1"/>
      <c r="G43" s="1"/>
      <c r="H43" s="1"/>
      <c r="I43" s="1"/>
      <c r="J43" s="1"/>
      <c r="K43" s="1"/>
      <c r="L43" s="1"/>
      <c r="M43" s="1"/>
      <c r="N43" s="1"/>
      <c r="O43" s="1"/>
      <c r="P43" s="1"/>
      <c r="Q43" s="1"/>
      <c r="R43" s="1"/>
      <c r="S43" s="1"/>
      <c r="T43" s="1"/>
      <c r="U43" s="1201"/>
      <c r="V43" s="1201"/>
      <c r="W43" s="1201"/>
      <c r="X43" s="1201"/>
      <c r="Y43" s="1201"/>
      <c r="Z43" s="1201"/>
      <c r="AA43" s="1201"/>
    </row>
    <row r="44" spans="1:27" ht="15.95">
      <c r="A44" s="1451" t="s">
        <v>277</v>
      </c>
      <c r="B44" s="1452"/>
      <c r="C44" s="98">
        <v>0</v>
      </c>
      <c r="D44" s="1"/>
      <c r="E44" s="1207"/>
      <c r="F44" s="1"/>
      <c r="G44" s="1"/>
      <c r="H44" s="1"/>
      <c r="I44" s="1"/>
      <c r="J44" s="1"/>
      <c r="K44" s="1"/>
      <c r="L44" s="1"/>
      <c r="M44" s="1"/>
      <c r="N44" s="1"/>
      <c r="O44" s="1"/>
      <c r="P44" s="1"/>
      <c r="Q44" s="1"/>
      <c r="R44" s="1"/>
      <c r="S44" s="1"/>
      <c r="T44" s="1"/>
      <c r="U44" s="1201"/>
      <c r="V44" s="1201"/>
      <c r="W44" s="1201"/>
      <c r="X44" s="1201"/>
      <c r="Y44" s="1201"/>
      <c r="Z44" s="1201"/>
      <c r="AA44" s="1201"/>
    </row>
    <row r="45" spans="1:27" ht="15.95">
      <c r="A45" s="1451" t="s">
        <v>278</v>
      </c>
      <c r="B45" s="1452"/>
      <c r="C45" s="97">
        <v>0</v>
      </c>
      <c r="D45" s="1"/>
      <c r="E45" s="1207"/>
      <c r="F45" s="1"/>
      <c r="G45" s="1"/>
      <c r="H45" s="1"/>
      <c r="I45" s="1"/>
      <c r="J45" s="1"/>
      <c r="K45" s="1"/>
      <c r="L45" s="1"/>
      <c r="M45" s="1"/>
      <c r="N45" s="1"/>
      <c r="O45" s="1"/>
      <c r="P45" s="1"/>
      <c r="Q45" s="1"/>
      <c r="R45" s="1"/>
      <c r="S45" s="1"/>
      <c r="T45" s="1"/>
      <c r="U45" s="1201"/>
      <c r="V45" s="1201"/>
      <c r="W45" s="1201"/>
      <c r="X45" s="1201"/>
      <c r="Y45" s="1201"/>
      <c r="Z45" s="1201"/>
      <c r="AA45" s="1201"/>
    </row>
    <row r="46" spans="1:27" ht="15.95">
      <c r="A46" s="1451" t="s">
        <v>279</v>
      </c>
      <c r="B46" s="1452"/>
      <c r="C46" s="98">
        <v>0</v>
      </c>
      <c r="D46" s="1"/>
      <c r="E46" s="1207"/>
      <c r="F46" s="1208"/>
      <c r="G46" s="1"/>
      <c r="H46" s="1"/>
      <c r="I46" s="1"/>
      <c r="J46" s="1"/>
      <c r="K46" s="1"/>
      <c r="L46" s="1"/>
      <c r="M46" s="1"/>
      <c r="N46" s="1"/>
      <c r="O46" s="1"/>
      <c r="P46" s="1"/>
      <c r="Q46" s="1"/>
      <c r="R46" s="1"/>
      <c r="S46" s="1"/>
      <c r="T46" s="1"/>
      <c r="U46" s="1201"/>
      <c r="V46" s="1201"/>
      <c r="W46" s="1201"/>
      <c r="X46" s="1201"/>
      <c r="Y46" s="1201"/>
      <c r="Z46" s="1201"/>
      <c r="AA46" s="1201"/>
    </row>
    <row r="47" spans="1:27" ht="15.95">
      <c r="A47" s="1451" t="s">
        <v>280</v>
      </c>
      <c r="B47" s="1452"/>
      <c r="C47" s="99">
        <v>0</v>
      </c>
      <c r="D47" s="1"/>
      <c r="E47" s="1207"/>
      <c r="F47" s="1208"/>
      <c r="G47" s="1"/>
      <c r="H47" s="1"/>
      <c r="I47" s="1"/>
      <c r="J47" s="1"/>
      <c r="K47" s="1"/>
      <c r="L47" s="1"/>
      <c r="M47" s="1"/>
      <c r="N47" s="1"/>
      <c r="O47" s="1"/>
      <c r="P47" s="1"/>
      <c r="Q47" s="1"/>
      <c r="R47" s="1"/>
      <c r="S47" s="1"/>
      <c r="T47" s="1"/>
      <c r="U47" s="1201"/>
      <c r="V47" s="1201"/>
      <c r="W47" s="1201"/>
      <c r="X47" s="1201"/>
      <c r="Y47" s="1201"/>
      <c r="Z47" s="1201"/>
      <c r="AA47" s="1201"/>
    </row>
    <row r="48" spans="1:27" ht="17.100000000000001">
      <c r="A48" s="1429" t="s">
        <v>281</v>
      </c>
      <c r="B48" s="1430"/>
      <c r="C48" s="1209">
        <f>SUM(C43:C47)</f>
        <v>0</v>
      </c>
      <c r="D48" s="1"/>
      <c r="E48" s="1207"/>
      <c r="F48" s="1208">
        <v>398</v>
      </c>
      <c r="G48" s="1"/>
      <c r="H48" s="1"/>
      <c r="I48" s="1"/>
      <c r="J48" s="1"/>
      <c r="K48" s="1"/>
      <c r="L48" s="1"/>
      <c r="M48" s="1"/>
      <c r="N48" s="1"/>
      <c r="O48" s="1"/>
      <c r="P48" s="1"/>
      <c r="Q48" s="1"/>
      <c r="R48" s="1"/>
      <c r="S48" s="1"/>
      <c r="T48" s="1"/>
      <c r="U48" s="1201"/>
      <c r="V48" s="1201"/>
      <c r="W48" s="1201"/>
      <c r="X48" s="1201"/>
      <c r="Y48" s="1201"/>
      <c r="Z48" s="1201"/>
      <c r="AA48" s="1201"/>
    </row>
    <row r="49" spans="1:27" ht="15.95">
      <c r="A49" s="1"/>
      <c r="B49" s="1203"/>
      <c r="C49" s="1294"/>
      <c r="D49" s="1"/>
      <c r="E49" s="1207"/>
      <c r="F49" s="1208">
        <v>600</v>
      </c>
      <c r="G49" s="1"/>
      <c r="H49" s="1"/>
      <c r="I49" s="1"/>
      <c r="J49" s="1"/>
      <c r="K49" s="1"/>
      <c r="L49" s="1"/>
      <c r="M49" s="1"/>
      <c r="N49" s="1"/>
      <c r="O49" s="1"/>
      <c r="P49" s="1"/>
      <c r="Q49" s="1"/>
      <c r="R49" s="1"/>
      <c r="S49" s="1"/>
      <c r="T49" s="1"/>
      <c r="U49" s="1201"/>
      <c r="V49" s="1201"/>
      <c r="W49" s="1201"/>
      <c r="X49" s="1201"/>
      <c r="Y49" s="1201"/>
      <c r="Z49" s="1201"/>
      <c r="AA49" s="1201"/>
    </row>
    <row r="50" spans="1:27" ht="18.95">
      <c r="A50" s="1425" t="s">
        <v>282</v>
      </c>
      <c r="B50" s="1426"/>
      <c r="C50" s="1427"/>
      <c r="D50" s="1"/>
      <c r="E50" s="1207"/>
      <c r="F50" s="1207"/>
      <c r="G50" s="1"/>
      <c r="H50" s="1"/>
      <c r="I50" s="1"/>
      <c r="J50" s="1"/>
      <c r="K50" s="1"/>
      <c r="L50" s="1"/>
      <c r="M50" s="1"/>
      <c r="N50" s="1"/>
      <c r="O50" s="1"/>
      <c r="P50" s="1"/>
      <c r="Q50" s="1"/>
      <c r="R50" s="1"/>
      <c r="S50" s="1"/>
      <c r="T50" s="1"/>
      <c r="U50" s="1201"/>
      <c r="V50" s="1201"/>
      <c r="W50" s="1201"/>
      <c r="X50" s="1201"/>
      <c r="Y50" s="1201"/>
      <c r="Z50" s="1201"/>
      <c r="AA50" s="1201"/>
    </row>
    <row r="51" spans="1:27" ht="15.95">
      <c r="A51" s="1296"/>
      <c r="B51" s="1439" t="s">
        <v>283</v>
      </c>
      <c r="C51" s="1440"/>
      <c r="D51" s="1"/>
      <c r="E51" s="1207"/>
      <c r="F51" s="1"/>
      <c r="G51" s="1"/>
      <c r="H51" s="1"/>
      <c r="I51" s="1"/>
      <c r="J51" s="1"/>
      <c r="K51" s="1"/>
      <c r="L51" s="1"/>
      <c r="M51" s="1"/>
      <c r="N51" s="1"/>
      <c r="O51" s="1"/>
      <c r="P51" s="1"/>
      <c r="Q51" s="1"/>
      <c r="R51" s="1"/>
      <c r="S51" s="1"/>
      <c r="T51" s="1"/>
      <c r="U51" s="1201"/>
      <c r="V51" s="1201"/>
      <c r="W51" s="1201"/>
      <c r="X51" s="1201"/>
      <c r="Y51" s="1201"/>
      <c r="Z51" s="1201"/>
      <c r="AA51" s="1201"/>
    </row>
    <row r="52" spans="1:27" ht="15">
      <c r="A52" s="1210"/>
      <c r="B52" s="1211" t="s">
        <v>284</v>
      </c>
      <c r="D52" s="1"/>
      <c r="E52" s="1207"/>
      <c r="F52" s="1207"/>
      <c r="G52" s="1"/>
      <c r="H52" s="1"/>
      <c r="I52" s="1"/>
      <c r="J52" s="1"/>
      <c r="K52" s="1"/>
      <c r="L52" s="1"/>
      <c r="M52" s="1"/>
      <c r="N52" s="1"/>
      <c r="O52" s="1"/>
      <c r="P52" s="1"/>
      <c r="Q52" s="1"/>
      <c r="R52" s="1"/>
      <c r="S52" s="1"/>
      <c r="T52" s="1"/>
      <c r="U52" s="1201"/>
      <c r="V52" s="1201"/>
      <c r="W52" s="1201"/>
      <c r="X52" s="1201"/>
      <c r="Y52" s="1201"/>
      <c r="Z52" s="1201"/>
      <c r="AA52" s="1201"/>
    </row>
    <row r="53" spans="1:27" ht="15">
      <c r="A53" s="1212" t="s">
        <v>285</v>
      </c>
      <c r="B53" s="1264">
        <v>0</v>
      </c>
      <c r="D53" s="1"/>
      <c r="E53" s="1207"/>
      <c r="F53" s="1207"/>
      <c r="G53" s="1"/>
      <c r="H53" s="1"/>
      <c r="I53" s="1"/>
      <c r="J53" s="1"/>
      <c r="K53" s="1"/>
      <c r="L53" s="1"/>
      <c r="M53" s="1"/>
      <c r="N53" s="1"/>
      <c r="O53" s="1"/>
      <c r="P53" s="1"/>
      <c r="Q53" s="1"/>
      <c r="R53" s="1"/>
      <c r="S53" s="1"/>
      <c r="T53" s="1"/>
      <c r="U53" s="1201"/>
      <c r="V53" s="1201"/>
      <c r="W53" s="1201"/>
      <c r="X53" s="1201"/>
      <c r="Y53" s="1201"/>
      <c r="Z53" s="1201"/>
      <c r="AA53" s="1201"/>
    </row>
    <row r="54" spans="1:27" ht="15">
      <c r="A54" s="1212" t="s">
        <v>286</v>
      </c>
      <c r="B54" s="100">
        <v>0</v>
      </c>
      <c r="D54" s="1"/>
      <c r="E54" s="1207"/>
      <c r="F54" s="1207"/>
      <c r="G54" s="1"/>
      <c r="H54" s="1"/>
      <c r="I54" s="1"/>
      <c r="J54" s="1"/>
      <c r="K54" s="1"/>
      <c r="L54" s="1"/>
      <c r="M54" s="1"/>
      <c r="N54" s="1"/>
      <c r="O54" s="1"/>
      <c r="P54" s="1"/>
      <c r="Q54" s="1"/>
      <c r="R54" s="1"/>
      <c r="S54" s="1"/>
      <c r="T54" s="1"/>
      <c r="U54" s="1201"/>
      <c r="V54" s="1201"/>
      <c r="W54" s="1201"/>
      <c r="X54" s="1201"/>
      <c r="Y54" s="1201"/>
      <c r="Z54" s="1201"/>
      <c r="AA54" s="1201"/>
    </row>
    <row r="55" spans="1:27" ht="15">
      <c r="A55" s="1212" t="s">
        <v>287</v>
      </c>
      <c r="B55" s="101">
        <f>B53*B54</f>
        <v>0</v>
      </c>
      <c r="D55" s="1"/>
      <c r="E55" s="1213" t="s">
        <v>288</v>
      </c>
      <c r="F55" s="1214">
        <f>Fletes!$B$67</f>
        <v>0</v>
      </c>
      <c r="G55" s="1"/>
      <c r="H55" s="1"/>
      <c r="I55" s="1"/>
      <c r="J55" s="1"/>
      <c r="K55" s="1"/>
      <c r="L55" s="1"/>
      <c r="M55" s="1"/>
      <c r="N55" s="1"/>
      <c r="O55" s="1"/>
      <c r="P55" s="1"/>
      <c r="Q55" s="1"/>
      <c r="R55" s="1"/>
      <c r="S55" s="1"/>
      <c r="T55" s="1"/>
      <c r="U55" s="1201"/>
      <c r="V55" s="1201"/>
      <c r="W55" s="1201"/>
      <c r="X55" s="1201"/>
      <c r="Y55" s="1201"/>
      <c r="Z55" s="1201"/>
      <c r="AA55" s="1201"/>
    </row>
    <row r="56" spans="1:27" s="1" customFormat="1" ht="17.100000000000001">
      <c r="A56" s="1215" t="s">
        <v>289</v>
      </c>
      <c r="B56" s="1209">
        <f>B55</f>
        <v>0</v>
      </c>
      <c r="E56" s="1216" t="s">
        <v>290</v>
      </c>
      <c r="F56" s="1171" t="str">
        <f>Fletes!$B$68</f>
        <v>SIN IMPORTACIÓN</v>
      </c>
    </row>
    <row r="57" spans="1:27" ht="15">
      <c r="A57" s="1208"/>
      <c r="B57" s="1208"/>
      <c r="C57" s="1208"/>
      <c r="D57" s="1"/>
      <c r="E57" s="1216" t="s">
        <v>291</v>
      </c>
      <c r="F57" s="1214"/>
      <c r="G57" s="1"/>
      <c r="H57" s="1"/>
      <c r="I57" s="1"/>
      <c r="J57" s="1"/>
      <c r="K57" s="1"/>
      <c r="L57" s="1"/>
      <c r="M57" s="1"/>
      <c r="N57" s="1"/>
      <c r="O57" s="1"/>
      <c r="P57" s="1"/>
      <c r="Q57" s="1"/>
      <c r="R57" s="1"/>
      <c r="S57" s="1"/>
      <c r="T57" s="1"/>
      <c r="U57" s="1201"/>
      <c r="V57" s="1201"/>
      <c r="W57" s="1201"/>
      <c r="X57" s="1201"/>
      <c r="Y57" s="1201"/>
      <c r="Z57" s="1201"/>
      <c r="AA57" s="1201"/>
    </row>
    <row r="58" spans="1:27" ht="15">
      <c r="A58" s="1"/>
      <c r="B58" s="1"/>
      <c r="C58" s="1"/>
      <c r="D58" s="1214"/>
      <c r="E58" s="1214" t="s">
        <v>292</v>
      </c>
      <c r="F58" s="1217" t="e">
        <f>Fletes!$B$66</f>
        <v>#DIV/0!</v>
      </c>
      <c r="G58" s="1"/>
      <c r="H58" s="1"/>
      <c r="I58" s="1"/>
      <c r="J58" s="1"/>
      <c r="K58" s="1"/>
      <c r="L58" s="1"/>
      <c r="M58" s="1"/>
      <c r="N58" s="1"/>
      <c r="O58" s="1"/>
      <c r="P58" s="1"/>
      <c r="Q58" s="1"/>
      <c r="R58" s="1"/>
      <c r="S58" s="1"/>
      <c r="T58" s="1"/>
      <c r="U58" s="1201"/>
      <c r="V58" s="1201"/>
      <c r="W58" s="1201"/>
      <c r="X58" s="1201"/>
      <c r="Y58" s="1201"/>
      <c r="Z58" s="1201"/>
      <c r="AA58" s="1201"/>
    </row>
    <row r="59" spans="1:27" ht="18.95">
      <c r="A59" s="1425" t="s">
        <v>293</v>
      </c>
      <c r="B59" s="1426"/>
      <c r="C59" s="1427"/>
      <c r="D59" s="1218"/>
      <c r="E59" s="1214" t="s">
        <v>294</v>
      </c>
      <c r="F59" s="1214"/>
      <c r="G59" s="1"/>
      <c r="H59" s="1"/>
      <c r="I59" s="1"/>
      <c r="J59" s="1"/>
      <c r="K59" s="1"/>
      <c r="L59" s="1"/>
      <c r="M59" s="1"/>
      <c r="N59" s="1"/>
      <c r="O59" s="1"/>
      <c r="P59" s="1"/>
      <c r="Q59" s="1"/>
      <c r="R59" s="1"/>
      <c r="S59" s="1"/>
      <c r="T59" s="1"/>
      <c r="U59" s="1201"/>
      <c r="V59" s="1201"/>
      <c r="W59" s="1201"/>
      <c r="X59" s="1201"/>
      <c r="Y59" s="1201"/>
      <c r="Z59" s="1201"/>
      <c r="AA59" s="1201"/>
    </row>
    <row r="60" spans="1:27" ht="15">
      <c r="A60" s="1"/>
      <c r="B60" s="1453" t="s">
        <v>295</v>
      </c>
      <c r="C60" s="1453"/>
      <c r="D60" s="1"/>
      <c r="E60" s="1214"/>
      <c r="F60" s="1214"/>
      <c r="G60" s="1"/>
      <c r="H60" s="1"/>
      <c r="I60" s="1"/>
      <c r="J60" s="1"/>
      <c r="K60" s="1"/>
      <c r="L60" s="1"/>
      <c r="M60" s="1"/>
      <c r="N60" s="1"/>
      <c r="O60" s="1"/>
      <c r="P60" s="1"/>
      <c r="Q60" s="1"/>
      <c r="R60" s="1"/>
      <c r="S60" s="1"/>
      <c r="T60" s="1"/>
      <c r="U60" s="1201"/>
      <c r="V60" s="1201"/>
      <c r="W60" s="1201"/>
      <c r="X60" s="1201"/>
      <c r="Y60" s="1201"/>
      <c r="Z60" s="1201"/>
      <c r="AA60" s="1201"/>
    </row>
    <row r="61" spans="1:27" ht="15.95">
      <c r="A61" s="1219" t="s">
        <v>296</v>
      </c>
      <c r="B61" s="1172">
        <v>0</v>
      </c>
      <c r="C61" s="102"/>
      <c r="D61" s="1"/>
      <c r="E61" s="1214"/>
      <c r="F61" s="1214"/>
      <c r="G61" s="1"/>
      <c r="H61" s="1"/>
      <c r="I61" s="1"/>
      <c r="J61" s="1"/>
      <c r="K61" s="1"/>
      <c r="L61" s="1"/>
      <c r="M61" s="1"/>
      <c r="N61" s="1"/>
      <c r="O61" s="1"/>
      <c r="P61" s="1"/>
      <c r="Q61" s="1"/>
      <c r="R61" s="1"/>
      <c r="S61" s="1"/>
      <c r="T61" s="1"/>
      <c r="U61" s="1201"/>
      <c r="V61" s="1201"/>
      <c r="W61" s="1201"/>
      <c r="X61" s="1201"/>
      <c r="Y61" s="1201"/>
      <c r="Z61" s="1201"/>
      <c r="AA61" s="1201"/>
    </row>
    <row r="62" spans="1:27" ht="15.95">
      <c r="A62" s="1219" t="s">
        <v>297</v>
      </c>
      <c r="B62" s="1297">
        <f>Cotizacion!H38</f>
        <v>0</v>
      </c>
      <c r="C62" s="102"/>
      <c r="D62" s="1"/>
      <c r="E62" s="1214"/>
      <c r="F62" s="1214"/>
      <c r="G62" s="1"/>
      <c r="H62" s="1"/>
      <c r="I62" s="1"/>
      <c r="J62" s="1"/>
      <c r="K62" s="1"/>
      <c r="L62" s="1"/>
      <c r="M62" s="1"/>
      <c r="N62" s="1"/>
      <c r="O62" s="1"/>
      <c r="P62" s="1"/>
      <c r="Q62" s="1"/>
      <c r="R62" s="1"/>
      <c r="S62" s="1"/>
      <c r="T62" s="1"/>
      <c r="U62" s="1201"/>
      <c r="V62" s="1201"/>
      <c r="W62" s="1201"/>
      <c r="X62" s="1201"/>
      <c r="Y62" s="1201"/>
      <c r="Z62" s="1201"/>
      <c r="AA62" s="1201"/>
    </row>
    <row r="63" spans="1:27" ht="15.95">
      <c r="A63" s="1212" t="s">
        <v>298</v>
      </c>
      <c r="B63" s="1297">
        <f>B62-B61</f>
        <v>0</v>
      </c>
      <c r="C63" s="102"/>
      <c r="D63" s="1"/>
      <c r="E63" s="1214"/>
      <c r="F63" s="1214"/>
      <c r="G63" s="1"/>
      <c r="H63" s="1"/>
      <c r="I63" s="1"/>
      <c r="J63" s="1"/>
      <c r="K63" s="1"/>
      <c r="L63" s="1"/>
      <c r="M63" s="1"/>
      <c r="N63" s="1"/>
      <c r="O63" s="1"/>
      <c r="P63" s="1"/>
      <c r="Q63" s="1"/>
      <c r="R63" s="1"/>
      <c r="S63" s="1"/>
      <c r="T63" s="1"/>
      <c r="U63" s="1201"/>
      <c r="V63" s="1201"/>
      <c r="W63" s="1201"/>
      <c r="X63" s="1201"/>
      <c r="Y63" s="1201"/>
      <c r="Z63" s="1201"/>
      <c r="AA63" s="1201"/>
    </row>
    <row r="64" spans="1:27" ht="15.95">
      <c r="A64" s="1212" t="s">
        <v>299</v>
      </c>
      <c r="B64" s="1173">
        <f>IFERROR(B63/B62,0)</f>
        <v>0</v>
      </c>
      <c r="C64" s="1220"/>
      <c r="D64" s="1"/>
      <c r="E64" s="1214"/>
      <c r="F64" s="1214"/>
      <c r="G64" s="1"/>
      <c r="H64" s="1"/>
      <c r="I64" s="1"/>
      <c r="J64" s="1"/>
      <c r="K64" s="1"/>
      <c r="L64" s="1"/>
      <c r="M64" s="1"/>
      <c r="N64" s="1"/>
      <c r="O64" s="1"/>
      <c r="P64" s="1"/>
      <c r="Q64" s="1"/>
      <c r="R64" s="1"/>
      <c r="S64" s="1"/>
      <c r="T64" s="1"/>
      <c r="U64" s="1201"/>
      <c r="V64" s="1201"/>
      <c r="W64" s="1201"/>
      <c r="X64" s="1201"/>
      <c r="Y64" s="1201"/>
      <c r="Z64" s="1201"/>
      <c r="AA64" s="1201"/>
    </row>
    <row r="65" spans="1:27" ht="15">
      <c r="A65" s="1"/>
      <c r="B65" s="1"/>
      <c r="C65" s="1"/>
      <c r="D65" s="1"/>
      <c r="E65" s="1214"/>
      <c r="F65" s="1214"/>
      <c r="G65" s="1"/>
      <c r="H65" s="1"/>
      <c r="I65" s="1"/>
      <c r="J65" s="1"/>
      <c r="K65" s="1"/>
      <c r="L65" s="1"/>
      <c r="M65" s="1"/>
      <c r="N65" s="1"/>
      <c r="O65" s="1"/>
      <c r="P65" s="1"/>
      <c r="Q65" s="1"/>
      <c r="R65" s="1"/>
      <c r="S65" s="1"/>
      <c r="T65" s="1"/>
      <c r="U65" s="1201"/>
      <c r="V65" s="1201"/>
      <c r="W65" s="1201"/>
      <c r="X65" s="1201"/>
      <c r="Y65" s="1201"/>
      <c r="Z65" s="1201"/>
      <c r="AA65" s="1201"/>
    </row>
    <row r="66" spans="1:27" ht="18.95">
      <c r="A66" s="1425" t="s">
        <v>300</v>
      </c>
      <c r="B66" s="1426"/>
      <c r="C66" s="1427"/>
      <c r="D66" s="1"/>
      <c r="E66" s="1214"/>
      <c r="F66" s="1214"/>
      <c r="G66" s="1"/>
      <c r="H66" s="1"/>
      <c r="I66" s="1"/>
      <c r="J66" s="1"/>
      <c r="K66" s="1"/>
      <c r="L66" s="1"/>
      <c r="M66" s="1"/>
      <c r="N66" s="1"/>
      <c r="O66" s="1"/>
      <c r="P66" s="1"/>
      <c r="Q66" s="1"/>
      <c r="R66" s="1"/>
      <c r="S66" s="1"/>
      <c r="T66" s="1"/>
      <c r="U66" s="1201"/>
      <c r="V66" s="1201"/>
      <c r="W66" s="1201"/>
      <c r="X66" s="1201"/>
      <c r="Y66" s="1201"/>
      <c r="Z66" s="1201"/>
      <c r="AA66" s="1201"/>
    </row>
    <row r="67" spans="1:27" ht="17.100000000000001" customHeight="1">
      <c r="A67" s="1212" t="s">
        <v>301</v>
      </c>
      <c r="B67" s="1297">
        <f>Cotizacion!H38</f>
        <v>0</v>
      </c>
      <c r="C67" s="1201"/>
      <c r="D67" s="1"/>
      <c r="E67" s="1214"/>
      <c r="F67" s="1214"/>
      <c r="G67" s="1"/>
      <c r="H67" s="1"/>
      <c r="I67" s="1"/>
      <c r="J67" s="1"/>
      <c r="K67" s="1"/>
      <c r="L67" s="1"/>
      <c r="M67" s="1"/>
      <c r="N67" s="1"/>
      <c r="O67" s="1"/>
      <c r="P67" s="1"/>
      <c r="Q67" s="1"/>
      <c r="R67" s="1"/>
      <c r="S67" s="1"/>
      <c r="T67" s="1"/>
      <c r="U67" s="1201"/>
      <c r="V67" s="1201"/>
      <c r="W67" s="1201"/>
      <c r="X67" s="1201"/>
      <c r="Y67" s="1201"/>
      <c r="Z67" s="1201"/>
      <c r="AA67" s="1201"/>
    </row>
    <row r="68" spans="1:27" ht="15.95">
      <c r="A68" s="1221" t="s">
        <v>16</v>
      </c>
      <c r="B68" s="8">
        <f>Cotizacion!H39</f>
        <v>0</v>
      </c>
      <c r="C68"/>
      <c r="D68" s="1"/>
      <c r="E68" s="1214"/>
      <c r="F68" s="1214"/>
      <c r="G68" s="1"/>
      <c r="H68" s="1"/>
      <c r="I68" s="1"/>
      <c r="J68" s="1"/>
      <c r="K68" s="1"/>
      <c r="L68" s="1"/>
      <c r="M68" s="1"/>
      <c r="N68" s="1"/>
      <c r="O68" s="1"/>
      <c r="P68" s="1"/>
      <c r="Q68" s="1"/>
      <c r="R68" s="1"/>
      <c r="S68" s="1"/>
      <c r="T68" s="1"/>
      <c r="U68" s="1201"/>
      <c r="V68" s="1201"/>
      <c r="W68" s="1201"/>
      <c r="X68" s="1201"/>
      <c r="Y68" s="1201"/>
      <c r="Z68" s="1201"/>
      <c r="AA68" s="1201"/>
    </row>
    <row r="69" spans="1:27" ht="15.95">
      <c r="A69" s="1212" t="s">
        <v>302</v>
      </c>
      <c r="B69" s="1297">
        <f>Cotizacion!H40</f>
        <v>0</v>
      </c>
      <c r="C69" s="1294"/>
      <c r="D69" s="1"/>
      <c r="E69" s="1214"/>
      <c r="F69" s="1214"/>
      <c r="G69" s="1"/>
      <c r="H69" s="1"/>
      <c r="I69" s="1"/>
      <c r="J69" s="1"/>
      <c r="K69" s="1"/>
      <c r="L69" s="1"/>
      <c r="M69" s="1"/>
      <c r="N69" s="1"/>
      <c r="O69" s="1"/>
      <c r="P69" s="1"/>
      <c r="Q69" s="1"/>
      <c r="R69" s="1"/>
      <c r="S69" s="1"/>
      <c r="T69" s="1"/>
      <c r="U69" s="1201"/>
      <c r="V69" s="1201"/>
      <c r="W69" s="1201"/>
      <c r="X69" s="1201"/>
      <c r="Y69" s="1201"/>
      <c r="Z69" s="1201"/>
      <c r="AA69" s="1201"/>
    </row>
    <row r="70" spans="1:27" ht="15.95">
      <c r="A70" s="1221" t="s">
        <v>303</v>
      </c>
      <c r="B70" s="9">
        <f>Cotizacion!H41</f>
        <v>0</v>
      </c>
      <c r="C70" s="1222"/>
      <c r="D70" s="1"/>
      <c r="E70" s="1214"/>
      <c r="F70" s="1214"/>
      <c r="G70" s="1"/>
      <c r="H70" s="1"/>
      <c r="I70" s="1"/>
      <c r="J70" s="1"/>
      <c r="K70" s="1"/>
      <c r="L70" s="1"/>
      <c r="M70" s="1"/>
      <c r="N70" s="1"/>
      <c r="O70" s="1"/>
      <c r="P70" s="1"/>
      <c r="Q70" s="1"/>
      <c r="R70" s="1"/>
      <c r="S70" s="1"/>
      <c r="T70" s="1"/>
      <c r="U70" s="1201"/>
      <c r="V70" s="1201"/>
      <c r="W70" s="1201"/>
      <c r="X70" s="1201"/>
      <c r="Y70" s="1201"/>
      <c r="Z70" s="1201"/>
      <c r="AA70" s="1201"/>
    </row>
    <row r="71" spans="1:27" ht="15.95">
      <c r="A71" s="1"/>
      <c r="B71" s="1"/>
      <c r="C71" s="1294"/>
      <c r="D71" s="1"/>
      <c r="E71" s="1214"/>
      <c r="F71" s="1214"/>
      <c r="G71" s="1"/>
      <c r="H71" s="1"/>
      <c r="I71" s="1"/>
      <c r="J71" s="1"/>
      <c r="K71" s="1"/>
      <c r="L71" s="1"/>
      <c r="M71" s="1"/>
      <c r="N71" s="1"/>
      <c r="O71" s="1"/>
      <c r="P71" s="1"/>
      <c r="Q71" s="1"/>
      <c r="R71" s="1"/>
      <c r="S71" s="1"/>
      <c r="T71" s="1"/>
      <c r="U71" s="1201"/>
      <c r="V71" s="1201"/>
      <c r="W71" s="1201"/>
      <c r="X71" s="1201"/>
      <c r="Y71" s="1201"/>
      <c r="Z71" s="1201"/>
      <c r="AA71" s="1201"/>
    </row>
    <row r="72" spans="1:27" s="1" customFormat="1" ht="18.95">
      <c r="A72" s="1425" t="s">
        <v>304</v>
      </c>
      <c r="B72" s="1426"/>
      <c r="C72" s="1427"/>
      <c r="E72" s="1214"/>
      <c r="F72" s="1214"/>
    </row>
    <row r="73" spans="1:27" ht="15.95">
      <c r="A73" s="1446" t="s">
        <v>305</v>
      </c>
      <c r="B73" s="1447"/>
      <c r="C73" s="1448"/>
      <c r="D73" s="1"/>
      <c r="E73" s="1214" t="s">
        <v>306</v>
      </c>
      <c r="F73" s="1223">
        <v>2.3016000000000001E-4</v>
      </c>
      <c r="H73" s="1"/>
      <c r="I73" s="1"/>
      <c r="J73" s="1"/>
      <c r="K73" s="1"/>
      <c r="L73" s="1"/>
      <c r="M73" s="1"/>
      <c r="N73" s="1"/>
      <c r="O73" s="1"/>
      <c r="P73" s="1"/>
      <c r="Q73" s="1"/>
      <c r="R73" s="1"/>
      <c r="S73" s="1"/>
      <c r="T73" s="1"/>
      <c r="U73" s="1201"/>
      <c r="V73" s="1201"/>
      <c r="W73" s="1201"/>
      <c r="X73" s="1201"/>
      <c r="Y73" s="1201"/>
      <c r="Z73" s="1201"/>
      <c r="AA73" s="1201"/>
    </row>
    <row r="74" spans="1:27" ht="15.95">
      <c r="A74" s="1428" t="s">
        <v>307</v>
      </c>
      <c r="B74" s="1428"/>
      <c r="C74" s="1174" t="s">
        <v>308</v>
      </c>
      <c r="D74" s="1"/>
      <c r="E74" s="1214"/>
      <c r="F74" s="1214"/>
      <c r="G74" s="1"/>
      <c r="H74" s="1"/>
      <c r="I74" s="1"/>
      <c r="J74" s="1"/>
      <c r="K74" s="1"/>
      <c r="L74" s="1"/>
      <c r="M74" s="1"/>
      <c r="N74" s="1"/>
      <c r="O74" s="1"/>
      <c r="P74" s="1"/>
      <c r="Q74" s="1"/>
      <c r="R74" s="1"/>
      <c r="S74" s="1"/>
      <c r="T74" s="1"/>
      <c r="U74" s="1201"/>
      <c r="V74" s="1201"/>
      <c r="W74" s="1201"/>
      <c r="X74" s="1201"/>
      <c r="Y74" s="1201"/>
      <c r="Z74" s="1201"/>
      <c r="AA74" s="1201"/>
    </row>
    <row r="75" spans="1:27" ht="15.95">
      <c r="A75" s="1428" t="s">
        <v>309</v>
      </c>
      <c r="B75" s="1428"/>
      <c r="C75" s="98">
        <f>IF(UPPER(TRIM(C74))="SI",C82,0)</f>
        <v>0</v>
      </c>
      <c r="D75" s="1"/>
      <c r="E75" s="1214"/>
      <c r="F75" s="1" t="s">
        <v>310</v>
      </c>
      <c r="G75" s="1"/>
      <c r="H75" s="1"/>
      <c r="I75" s="1"/>
      <c r="K75" s="1"/>
      <c r="L75" s="1"/>
      <c r="M75" s="1"/>
      <c r="N75" s="1"/>
      <c r="O75" s="1"/>
      <c r="P75" s="1"/>
      <c r="Q75" s="1"/>
      <c r="R75" s="1"/>
      <c r="S75" s="1"/>
      <c r="T75" s="1"/>
      <c r="U75" s="1201"/>
      <c r="V75" s="1201"/>
      <c r="W75" s="1201"/>
      <c r="X75" s="1201"/>
      <c r="Y75" s="1201"/>
      <c r="Z75" s="1201"/>
      <c r="AA75" s="1201"/>
    </row>
    <row r="76" spans="1:27" ht="15.95">
      <c r="A76" s="1428" t="s">
        <v>311</v>
      </c>
      <c r="B76" s="1428"/>
      <c r="C76" s="103">
        <f>IF(UPPER(TRIM(C74))="SI",MAX(B82,B86,B90),0)</f>
        <v>0</v>
      </c>
      <c r="D76" s="1"/>
      <c r="E76" s="1214"/>
      <c r="F76" s="1" t="s">
        <v>308</v>
      </c>
      <c r="G76" s="1"/>
      <c r="H76" s="1"/>
      <c r="I76" s="1"/>
      <c r="K76" s="1"/>
      <c r="L76" s="1"/>
      <c r="M76" s="1"/>
      <c r="N76" s="1"/>
      <c r="O76" s="1"/>
      <c r="P76" s="1"/>
      <c r="Q76" s="1"/>
      <c r="R76" s="1"/>
      <c r="S76" s="1"/>
      <c r="T76" s="1"/>
      <c r="U76" s="1201"/>
      <c r="V76" s="1201"/>
      <c r="W76" s="1201"/>
      <c r="X76" s="1201"/>
      <c r="Y76" s="1201"/>
      <c r="Z76" s="1201"/>
      <c r="AA76" s="1201"/>
    </row>
    <row r="77" spans="1:27" s="1225" customFormat="1" ht="15.95">
      <c r="A77" s="1450" t="s">
        <v>312</v>
      </c>
      <c r="B77" s="1450"/>
      <c r="C77" s="1224">
        <f>IF(UPPER(TRIM(C74))="SI",C75*$F$73*C76,0)</f>
        <v>0</v>
      </c>
      <c r="D77" s="1294"/>
      <c r="E77" s="1214"/>
      <c r="F77" s="1214"/>
      <c r="G77" s="1294"/>
      <c r="H77" s="1294"/>
      <c r="I77" s="1294"/>
      <c r="J77" s="1294"/>
      <c r="K77" s="1294"/>
      <c r="L77" s="1294"/>
      <c r="M77" s="1294"/>
      <c r="N77" s="1294"/>
      <c r="O77" s="1294"/>
      <c r="P77" s="1294"/>
      <c r="Q77" s="1294"/>
      <c r="R77" s="1294"/>
      <c r="S77" s="1294"/>
      <c r="T77" s="1294"/>
      <c r="U77" s="1185"/>
      <c r="V77" s="1185"/>
      <c r="W77" s="1185"/>
      <c r="X77" s="1185"/>
      <c r="Y77" s="1185"/>
      <c r="Z77" s="1185"/>
      <c r="AA77" s="1185"/>
    </row>
    <row r="78" spans="1:27" s="1225" customFormat="1" ht="15.95">
      <c r="A78" s="1"/>
      <c r="B78" s="1"/>
      <c r="C78" s="1"/>
      <c r="D78" s="1294"/>
      <c r="E78" s="1214"/>
      <c r="F78" s="1214"/>
      <c r="G78" s="1294"/>
      <c r="H78" s="1294"/>
      <c r="I78" s="1294"/>
      <c r="J78" s="1294"/>
      <c r="K78" s="1294"/>
      <c r="L78" s="1294"/>
      <c r="M78" s="1294"/>
      <c r="N78" s="1294"/>
      <c r="O78" s="1294"/>
      <c r="P78" s="1294"/>
      <c r="Q78" s="1294"/>
      <c r="R78" s="1294"/>
      <c r="S78" s="1294"/>
      <c r="T78" s="1294"/>
      <c r="U78" s="1185"/>
      <c r="V78" s="1185"/>
      <c r="W78" s="1185"/>
      <c r="X78" s="1185"/>
      <c r="Y78" s="1185"/>
      <c r="Z78" s="1185"/>
      <c r="AA78" s="1185"/>
    </row>
    <row r="79" spans="1:27" ht="15.95">
      <c r="A79" s="1446" t="s">
        <v>313</v>
      </c>
      <c r="B79" s="1447"/>
      <c r="C79" s="1448"/>
      <c r="D79" s="1"/>
      <c r="E79" s="1214" t="s">
        <v>314</v>
      </c>
      <c r="F79" s="1226">
        <v>3.5000000000000001E-3</v>
      </c>
      <c r="H79" s="1"/>
      <c r="I79" s="1"/>
      <c r="J79" s="1"/>
      <c r="K79" s="1"/>
      <c r="L79" s="1"/>
      <c r="M79" s="1"/>
      <c r="N79" s="1"/>
      <c r="O79" s="1"/>
      <c r="P79" s="1"/>
      <c r="Q79" s="1"/>
      <c r="R79" s="1"/>
      <c r="S79" s="1"/>
      <c r="T79" s="1"/>
      <c r="U79" s="1201"/>
      <c r="V79" s="1201"/>
      <c r="W79" s="1201"/>
      <c r="X79" s="1201"/>
      <c r="Y79" s="1201"/>
      <c r="Z79" s="1201"/>
      <c r="AA79" s="1201"/>
    </row>
    <row r="80" spans="1:27" ht="18.75" customHeight="1">
      <c r="A80" s="1441" t="s">
        <v>315</v>
      </c>
      <c r="B80" s="1442"/>
      <c r="C80" s="1443"/>
      <c r="D80" s="1"/>
      <c r="E80" s="1207"/>
      <c r="F80" s="1"/>
      <c r="G80" s="1"/>
      <c r="H80" s="1"/>
      <c r="I80" s="1"/>
      <c r="J80" s="1"/>
      <c r="K80" s="1"/>
      <c r="L80" s="1"/>
      <c r="M80" s="1"/>
      <c r="N80" s="1"/>
      <c r="O80" s="1"/>
      <c r="P80" s="1"/>
      <c r="Q80" s="1"/>
      <c r="R80" s="1"/>
      <c r="S80" s="1"/>
      <c r="T80" s="1"/>
      <c r="U80" s="1201"/>
      <c r="V80" s="1201"/>
      <c r="W80" s="1201"/>
      <c r="X80" s="1201"/>
      <c r="Y80" s="1201"/>
      <c r="Z80" s="1201"/>
      <c r="AA80" s="1201"/>
    </row>
    <row r="81" spans="1:27" ht="15">
      <c r="A81" s="1212" t="s">
        <v>316</v>
      </c>
      <c r="B81" s="1212" t="s">
        <v>317</v>
      </c>
      <c r="C81" s="1212" t="s">
        <v>86</v>
      </c>
      <c r="D81" s="1"/>
      <c r="E81" s="1207"/>
      <c r="F81" s="1"/>
      <c r="G81" s="1"/>
      <c r="H81" s="1"/>
      <c r="I81" s="1"/>
      <c r="J81" s="1"/>
      <c r="K81" s="1"/>
      <c r="L81" s="1"/>
      <c r="M81" s="1"/>
      <c r="N81" s="1"/>
      <c r="O81" s="1"/>
      <c r="P81" s="1"/>
      <c r="Q81" s="1"/>
      <c r="R81" s="1"/>
      <c r="S81" s="1"/>
      <c r="T81" s="1"/>
      <c r="U81" s="1201"/>
      <c r="V81" s="1201"/>
      <c r="W81" s="1201"/>
      <c r="X81" s="1201"/>
      <c r="Y81" s="1201"/>
      <c r="Z81" s="1201"/>
      <c r="AA81" s="1201"/>
    </row>
    <row r="82" spans="1:27" ht="15.95">
      <c r="A82" s="1298">
        <v>0.6</v>
      </c>
      <c r="B82" s="104">
        <v>1</v>
      </c>
      <c r="C82" s="1227">
        <f>B68*A82</f>
        <v>0</v>
      </c>
      <c r="D82" s="1"/>
      <c r="E82" s="1207"/>
      <c r="F82" s="1"/>
      <c r="G82" s="1"/>
      <c r="H82" s="1"/>
      <c r="I82" s="1"/>
      <c r="J82" s="1"/>
      <c r="K82" s="1"/>
      <c r="L82" s="1"/>
      <c r="M82" s="1"/>
      <c r="N82" s="1"/>
      <c r="O82" s="1"/>
      <c r="P82" s="1"/>
      <c r="Q82" s="1"/>
      <c r="R82" s="1"/>
      <c r="S82" s="1"/>
      <c r="T82" s="1"/>
      <c r="U82" s="1201"/>
      <c r="V82" s="1201"/>
      <c r="W82" s="1201"/>
      <c r="X82" s="1201"/>
      <c r="Y82" s="1201"/>
      <c r="Z82" s="1201"/>
      <c r="AA82" s="1201"/>
    </row>
    <row r="83" spans="1:27" ht="15.95">
      <c r="A83" s="1294"/>
      <c r="B83" s="1228" t="s">
        <v>318</v>
      </c>
      <c r="C83" s="8">
        <f>C82*$F$79*B82</f>
        <v>0</v>
      </c>
      <c r="D83" s="1"/>
      <c r="E83" s="1207"/>
      <c r="F83" s="1"/>
      <c r="G83" s="1"/>
      <c r="H83" s="1"/>
      <c r="I83" s="1"/>
      <c r="J83" s="1"/>
      <c r="K83" s="1"/>
      <c r="L83" s="1"/>
      <c r="M83" s="1"/>
      <c r="N83" s="1"/>
      <c r="O83" s="1"/>
      <c r="P83" s="1"/>
      <c r="Q83" s="1"/>
      <c r="R83" s="1"/>
      <c r="S83" s="1"/>
      <c r="T83" s="1"/>
      <c r="U83" s="1201"/>
      <c r="V83" s="1201"/>
      <c r="W83" s="1201"/>
      <c r="X83" s="1201"/>
      <c r="Y83" s="1201"/>
      <c r="Z83" s="1201"/>
      <c r="AA83" s="1201"/>
    </row>
    <row r="84" spans="1:27" ht="15.95">
      <c r="A84" s="1441" t="s">
        <v>319</v>
      </c>
      <c r="B84" s="1442"/>
      <c r="C84" s="1443"/>
      <c r="D84" s="1"/>
      <c r="E84" s="1207"/>
      <c r="F84" s="1"/>
      <c r="G84" s="1"/>
      <c r="H84" s="1"/>
      <c r="I84" s="1"/>
      <c r="J84" s="1"/>
      <c r="K84" s="1"/>
      <c r="L84" s="1"/>
      <c r="M84" s="1"/>
      <c r="N84" s="1"/>
      <c r="O84" s="1"/>
      <c r="P84" s="1"/>
      <c r="Q84" s="1"/>
      <c r="R84" s="1"/>
      <c r="S84" s="1"/>
      <c r="T84" s="1"/>
      <c r="U84" s="1201"/>
      <c r="V84" s="1201"/>
      <c r="W84" s="1201"/>
      <c r="X84" s="1201"/>
      <c r="Y84" s="1201"/>
      <c r="Z84" s="1201"/>
      <c r="AA84" s="1201"/>
    </row>
    <row r="85" spans="1:27" ht="15">
      <c r="A85" s="1212" t="s">
        <v>316</v>
      </c>
      <c r="B85" s="1212" t="s">
        <v>317</v>
      </c>
      <c r="C85" s="1212" t="s">
        <v>86</v>
      </c>
      <c r="D85" s="1"/>
      <c r="E85" s="1207"/>
      <c r="F85" s="1"/>
      <c r="G85" s="1"/>
      <c r="H85" s="1"/>
      <c r="I85" s="1"/>
      <c r="J85" s="1"/>
      <c r="K85" s="1"/>
      <c r="L85" s="1"/>
      <c r="M85" s="1"/>
      <c r="N85" s="1"/>
      <c r="O85" s="1"/>
      <c r="P85" s="1"/>
      <c r="Q85" s="1"/>
      <c r="R85" s="1"/>
      <c r="S85" s="1"/>
      <c r="T85" s="1"/>
      <c r="U85" s="1201"/>
      <c r="V85" s="1201"/>
      <c r="W85" s="1201"/>
      <c r="X85" s="1201"/>
      <c r="Y85" s="1201"/>
      <c r="Z85" s="1201"/>
      <c r="AA85" s="1201"/>
    </row>
    <row r="86" spans="1:27" ht="15.95">
      <c r="A86" s="1298">
        <v>0.2</v>
      </c>
      <c r="B86" s="104">
        <v>10</v>
      </c>
      <c r="C86" s="1227">
        <f>B68*A86</f>
        <v>0</v>
      </c>
      <c r="D86" s="1"/>
      <c r="E86" s="96"/>
      <c r="F86" s="1"/>
      <c r="G86" s="1"/>
      <c r="H86" s="1"/>
      <c r="I86" s="1"/>
      <c r="J86" s="1"/>
      <c r="K86" s="1"/>
      <c r="L86" s="1"/>
      <c r="M86" s="1"/>
      <c r="N86" s="1"/>
      <c r="O86" s="1"/>
      <c r="P86" s="1"/>
      <c r="Q86" s="1"/>
      <c r="R86" s="1"/>
      <c r="S86" s="1"/>
      <c r="T86" s="1"/>
      <c r="U86" s="1201"/>
      <c r="V86" s="1201"/>
      <c r="W86" s="1201"/>
      <c r="X86" s="1201"/>
      <c r="Y86" s="1201"/>
      <c r="Z86" s="1201"/>
      <c r="AA86" s="1201"/>
    </row>
    <row r="87" spans="1:27" ht="15.95">
      <c r="A87" s="1299"/>
      <c r="B87" s="1228" t="s">
        <v>318</v>
      </c>
      <c r="C87" s="8">
        <f>C86*$F$79*B86</f>
        <v>0</v>
      </c>
      <c r="D87" s="1"/>
      <c r="E87" s="1207"/>
      <c r="F87" s="1"/>
      <c r="G87" s="1"/>
      <c r="H87" s="1"/>
      <c r="I87" s="1"/>
      <c r="J87" s="1"/>
      <c r="K87" s="1"/>
      <c r="L87" s="1"/>
      <c r="M87" s="1"/>
      <c r="N87" s="1"/>
      <c r="O87" s="1"/>
      <c r="P87" s="1"/>
      <c r="Q87" s="1"/>
      <c r="R87" s="1"/>
      <c r="S87" s="1"/>
      <c r="T87" s="1"/>
      <c r="U87" s="1201"/>
      <c r="V87" s="1201"/>
      <c r="W87" s="1201"/>
      <c r="X87" s="1201"/>
      <c r="Y87" s="1201"/>
      <c r="Z87" s="1201"/>
      <c r="AA87" s="1201"/>
    </row>
    <row r="88" spans="1:27" ht="15.95">
      <c r="A88" s="1441" t="s">
        <v>320</v>
      </c>
      <c r="B88" s="1442"/>
      <c r="C88" s="1443"/>
      <c r="D88" s="1"/>
      <c r="E88" s="1295"/>
      <c r="F88" s="1294"/>
      <c r="G88" s="1"/>
      <c r="H88" s="1"/>
      <c r="I88" s="1"/>
      <c r="J88" s="1"/>
      <c r="K88" s="1"/>
      <c r="L88" s="1"/>
      <c r="M88" s="1"/>
      <c r="N88" s="1"/>
      <c r="O88" s="1"/>
      <c r="P88" s="1"/>
      <c r="Q88" s="1"/>
      <c r="R88" s="1"/>
      <c r="S88" s="1"/>
      <c r="T88" s="1"/>
      <c r="U88" s="1201"/>
      <c r="V88" s="1201"/>
      <c r="W88" s="1201"/>
      <c r="X88" s="1201"/>
      <c r="Y88" s="1201"/>
      <c r="Z88" s="1201"/>
      <c r="AA88" s="1201"/>
    </row>
    <row r="89" spans="1:27" ht="15.95">
      <c r="A89" s="1212" t="s">
        <v>316</v>
      </c>
      <c r="B89" s="1212" t="s">
        <v>317</v>
      </c>
      <c r="C89" s="1212" t="s">
        <v>86</v>
      </c>
      <c r="D89" s="1"/>
      <c r="E89" s="1295"/>
      <c r="F89" s="1294"/>
      <c r="G89" s="1"/>
      <c r="H89" s="1"/>
      <c r="I89" s="1"/>
      <c r="J89" s="1"/>
      <c r="K89" s="1"/>
      <c r="L89" s="1"/>
      <c r="M89" s="1"/>
      <c r="N89" s="1"/>
      <c r="O89" s="1"/>
      <c r="P89" s="1"/>
      <c r="Q89" s="1"/>
      <c r="R89" s="1"/>
      <c r="S89" s="1"/>
      <c r="T89" s="1"/>
      <c r="U89" s="1201"/>
      <c r="V89" s="1201"/>
      <c r="W89" s="1201"/>
      <c r="X89" s="1201"/>
      <c r="Y89" s="1201"/>
      <c r="Z89" s="1201"/>
      <c r="AA89" s="1201"/>
    </row>
    <row r="90" spans="1:27" ht="15.95">
      <c r="A90" s="1298">
        <v>0.2</v>
      </c>
      <c r="B90" s="104">
        <v>14</v>
      </c>
      <c r="C90" s="1227">
        <f>B68*A90</f>
        <v>0</v>
      </c>
      <c r="D90" s="1"/>
      <c r="E90" s="1207"/>
      <c r="F90" s="1"/>
      <c r="G90" s="1"/>
      <c r="H90" s="1"/>
      <c r="I90" s="1"/>
      <c r="J90" s="1"/>
      <c r="K90" s="1"/>
      <c r="L90" s="1"/>
      <c r="M90" s="1"/>
      <c r="N90" s="1"/>
      <c r="O90" s="1"/>
      <c r="P90" s="1"/>
      <c r="Q90" s="1"/>
      <c r="R90" s="1"/>
      <c r="S90" s="1"/>
      <c r="T90" s="1"/>
      <c r="U90" s="1201"/>
      <c r="V90" s="1201"/>
      <c r="W90" s="1201"/>
      <c r="X90" s="1201"/>
      <c r="Y90" s="1201"/>
      <c r="Z90" s="1201"/>
      <c r="AA90" s="1201"/>
    </row>
    <row r="91" spans="1:27" ht="15.95">
      <c r="A91" s="1229" t="str">
        <f>IF(ROUND((A82+A86+A90), 2)=100%, " ", "REVISAR PORCENTAJES")</f>
        <v xml:space="preserve"> </v>
      </c>
      <c r="B91" s="1228" t="s">
        <v>318</v>
      </c>
      <c r="C91" s="8">
        <f>C90*$F$79*B90</f>
        <v>0</v>
      </c>
      <c r="D91" s="1"/>
      <c r="E91" s="1207"/>
      <c r="F91" s="1"/>
      <c r="G91" s="1"/>
      <c r="H91" s="1"/>
      <c r="I91" s="1"/>
      <c r="J91" s="1"/>
      <c r="K91" s="1"/>
      <c r="L91" s="1"/>
      <c r="M91" s="1"/>
      <c r="N91" s="1"/>
      <c r="O91" s="1"/>
      <c r="P91" s="1"/>
      <c r="Q91" s="1"/>
      <c r="R91" s="1"/>
      <c r="S91" s="1"/>
      <c r="T91" s="1"/>
      <c r="U91" s="1201"/>
      <c r="V91" s="1201"/>
      <c r="W91" s="1201"/>
      <c r="X91" s="1201"/>
      <c r="Y91" s="1201"/>
      <c r="Z91" s="1201"/>
      <c r="AA91" s="1201"/>
    </row>
    <row r="92" spans="1:27" ht="15.95">
      <c r="A92" s="1444" t="s">
        <v>321</v>
      </c>
      <c r="B92" s="1445"/>
      <c r="C92" s="1230">
        <f>C83+C87+C91</f>
        <v>0</v>
      </c>
      <c r="D92" s="1"/>
      <c r="E92" s="1207"/>
      <c r="F92" s="1"/>
      <c r="G92" s="1"/>
      <c r="H92" s="1"/>
      <c r="I92" s="1"/>
      <c r="J92" s="1"/>
      <c r="K92" s="1"/>
      <c r="L92" s="1"/>
      <c r="M92" s="1"/>
      <c r="N92" s="1"/>
      <c r="O92" s="1"/>
      <c r="P92" s="1"/>
      <c r="Q92" s="1"/>
      <c r="R92" s="1"/>
      <c r="S92" s="1"/>
      <c r="T92" s="1"/>
      <c r="U92" s="1201"/>
      <c r="V92" s="1201"/>
      <c r="W92" s="1201"/>
      <c r="X92" s="1201"/>
      <c r="Y92" s="1201"/>
      <c r="Z92" s="1201"/>
      <c r="AA92" s="1201"/>
    </row>
    <row r="93" spans="1:27" ht="17.100000000000001">
      <c r="A93" s="1429" t="s">
        <v>322</v>
      </c>
      <c r="B93" s="1430"/>
      <c r="C93" s="1209">
        <f>C77+C92</f>
        <v>0</v>
      </c>
      <c r="D93" s="1"/>
      <c r="E93" s="1207"/>
      <c r="F93" s="1"/>
      <c r="G93" s="1"/>
      <c r="H93" s="1"/>
      <c r="I93" s="1"/>
      <c r="J93" s="1"/>
      <c r="K93" s="1"/>
      <c r="L93" s="1"/>
      <c r="M93" s="1"/>
      <c r="N93" s="1"/>
      <c r="O93" s="1"/>
      <c r="P93" s="1"/>
      <c r="Q93" s="1"/>
      <c r="R93" s="1"/>
      <c r="S93" s="1"/>
      <c r="T93" s="1"/>
      <c r="U93" s="1201"/>
      <c r="V93" s="1201"/>
      <c r="W93" s="1201"/>
      <c r="X93" s="1201"/>
      <c r="Y93" s="1201"/>
      <c r="Z93" s="1201"/>
      <c r="AA93" s="1201"/>
    </row>
    <row r="94" spans="1:27" ht="15.95">
      <c r="A94" s="1"/>
      <c r="B94" s="1203"/>
      <c r="C94" s="1294"/>
      <c r="D94" s="1"/>
      <c r="E94" s="1207"/>
      <c r="F94" s="1"/>
      <c r="G94" s="1"/>
      <c r="H94" s="1"/>
      <c r="I94" s="1"/>
      <c r="J94" s="1"/>
      <c r="K94" s="1"/>
      <c r="L94" s="1"/>
      <c r="M94" s="1"/>
      <c r="N94" s="1"/>
      <c r="O94" s="1"/>
      <c r="P94" s="1"/>
      <c r="Q94" s="1"/>
      <c r="R94" s="1"/>
      <c r="S94" s="1"/>
      <c r="T94" s="1"/>
      <c r="U94" s="1201"/>
      <c r="V94" s="1201"/>
      <c r="W94" s="1201"/>
      <c r="X94" s="1201"/>
      <c r="Y94" s="1201"/>
      <c r="Z94" s="1201"/>
      <c r="AA94" s="1201"/>
    </row>
    <row r="95" spans="1:27" ht="18.95">
      <c r="A95" s="1425" t="s">
        <v>323</v>
      </c>
      <c r="B95" s="1426"/>
      <c r="C95" s="1427"/>
      <c r="D95" s="1"/>
      <c r="E95" s="1207"/>
      <c r="F95" s="1"/>
      <c r="G95" s="1"/>
      <c r="H95" s="1"/>
      <c r="I95" s="1"/>
      <c r="J95" s="1"/>
      <c r="K95" s="1"/>
      <c r="L95" s="1"/>
      <c r="M95" s="1"/>
      <c r="N95" s="1"/>
      <c r="O95" s="1"/>
      <c r="P95" s="1"/>
      <c r="Q95" s="1"/>
      <c r="R95" s="1"/>
      <c r="S95" s="1"/>
      <c r="T95" s="1"/>
      <c r="U95" s="1201"/>
      <c r="V95" s="1201"/>
      <c r="W95" s="1201"/>
      <c r="X95" s="1201"/>
      <c r="Y95" s="1201"/>
      <c r="Z95" s="1201"/>
      <c r="AA95" s="1201"/>
    </row>
    <row r="96" spans="1:27" ht="15.95">
      <c r="A96" s="1428" t="s">
        <v>324</v>
      </c>
      <c r="B96" s="1428"/>
      <c r="C96" s="1231" t="str">
        <f>IF(Mobiliti!$A$14=TRUE,"Si","No")</f>
        <v>Si</v>
      </c>
      <c r="D96" s="1"/>
      <c r="E96" s="1207"/>
      <c r="F96" s="1"/>
      <c r="G96" s="1"/>
      <c r="H96" s="1"/>
      <c r="I96" s="1"/>
      <c r="J96" s="1"/>
      <c r="K96" s="1"/>
      <c r="L96" s="1"/>
      <c r="M96" s="1"/>
      <c r="N96" s="1"/>
      <c r="O96" s="1"/>
      <c r="P96" s="1"/>
      <c r="Q96" s="1"/>
      <c r="R96" s="1"/>
      <c r="S96" s="1"/>
      <c r="T96" s="1"/>
      <c r="U96" s="1201"/>
      <c r="V96" s="1201"/>
      <c r="W96" s="1201"/>
      <c r="X96" s="1201"/>
      <c r="Y96" s="1201"/>
      <c r="Z96" s="1201"/>
      <c r="AA96" s="1201"/>
    </row>
    <row r="97" spans="1:27" ht="15.95">
      <c r="A97" s="1428" t="s">
        <v>325</v>
      </c>
      <c r="B97" s="1428"/>
      <c r="C97" s="1232">
        <f>IF(C96="Si",Mobiliti!$AI$8,0)</f>
        <v>0.05</v>
      </c>
      <c r="D97" s="1233"/>
      <c r="E97" s="1234"/>
      <c r="F97" s="1"/>
      <c r="G97" s="1"/>
      <c r="H97" s="1"/>
      <c r="I97" s="1"/>
      <c r="J97" s="1"/>
      <c r="K97" s="1"/>
      <c r="L97" s="1"/>
      <c r="M97" s="1"/>
      <c r="N97" s="1"/>
      <c r="O97" s="1"/>
      <c r="P97" s="1"/>
      <c r="Q97" s="1"/>
      <c r="R97" s="1"/>
      <c r="S97" s="1"/>
      <c r="T97" s="1"/>
      <c r="U97" s="1201"/>
      <c r="V97" s="1201"/>
      <c r="W97" s="1201"/>
      <c r="X97" s="1201"/>
      <c r="Y97" s="1201"/>
      <c r="Z97" s="1201"/>
      <c r="AA97" s="1201"/>
    </row>
    <row r="98" spans="1:27" ht="17.100000000000001">
      <c r="A98" s="1429" t="s">
        <v>326</v>
      </c>
      <c r="B98" s="1430"/>
      <c r="C98" s="1209">
        <f>IF(UPPER(TRIM(C96))="SI",Mobiliti!$AJ$574-Mobiliti!$AG$574,0)</f>
        <v>0</v>
      </c>
      <c r="D98" s="1"/>
      <c r="E98" s="1207"/>
      <c r="F98" s="1"/>
      <c r="G98" s="1"/>
      <c r="H98" s="1"/>
      <c r="I98" s="1"/>
      <c r="J98" s="1"/>
      <c r="K98" s="1"/>
      <c r="L98" s="1"/>
      <c r="M98" s="1"/>
      <c r="N98" s="1"/>
      <c r="O98" s="1"/>
      <c r="P98" s="1"/>
      <c r="Q98" s="1"/>
      <c r="R98" s="1"/>
      <c r="S98" s="1"/>
      <c r="T98" s="1"/>
      <c r="U98" s="1201"/>
      <c r="V98" s="1201"/>
      <c r="W98" s="1201"/>
      <c r="X98" s="1201"/>
      <c r="Y98" s="1201"/>
      <c r="Z98" s="1201"/>
      <c r="AA98" s="1201"/>
    </row>
    <row r="99" spans="1:27" ht="15">
      <c r="A99" s="1"/>
      <c r="B99" s="1"/>
      <c r="C99" s="1"/>
      <c r="D99" s="1"/>
      <c r="E99" s="1207"/>
      <c r="F99" s="1"/>
      <c r="G99" s="1"/>
      <c r="H99" s="1"/>
      <c r="I99" s="1"/>
      <c r="J99" s="1"/>
      <c r="K99" s="1"/>
      <c r="L99" s="1"/>
      <c r="M99" s="1"/>
      <c r="N99" s="1"/>
      <c r="O99" s="1"/>
      <c r="P99" s="1"/>
      <c r="Q99" s="1"/>
      <c r="R99" s="1"/>
      <c r="S99" s="1"/>
      <c r="T99" s="1"/>
      <c r="U99" s="1201"/>
      <c r="V99" s="1201"/>
      <c r="W99" s="1201"/>
      <c r="X99" s="1201"/>
      <c r="Y99" s="1201"/>
      <c r="Z99" s="1201"/>
      <c r="AA99" s="1201"/>
    </row>
    <row r="100" spans="1:27" ht="24">
      <c r="A100" s="1435" t="s">
        <v>327</v>
      </c>
      <c r="B100" s="1436"/>
      <c r="C100" s="1235">
        <f>C40+C48+B56+B61+C93+C98</f>
        <v>0</v>
      </c>
      <c r="D100" s="1"/>
      <c r="E100" s="1207"/>
      <c r="F100" s="1"/>
      <c r="G100" s="1"/>
      <c r="H100" s="1"/>
      <c r="I100" s="1"/>
      <c r="J100" s="1"/>
      <c r="K100" s="1"/>
      <c r="L100" s="1"/>
      <c r="M100" s="1"/>
      <c r="N100" s="1"/>
      <c r="O100" s="1"/>
      <c r="P100" s="1"/>
      <c r="Q100" s="1"/>
      <c r="R100" s="1"/>
      <c r="S100" s="1"/>
      <c r="T100" s="1"/>
      <c r="U100" s="1201"/>
      <c r="V100" s="1201"/>
      <c r="W100" s="1201"/>
      <c r="X100" s="1201"/>
      <c r="Y100" s="1201"/>
      <c r="Z100" s="1201"/>
      <c r="AA100" s="1201"/>
    </row>
    <row r="101" spans="1:27" ht="15">
      <c r="A101" s="1"/>
      <c r="B101" s="1"/>
      <c r="C101" s="1"/>
      <c r="D101" s="1"/>
      <c r="E101" s="1207"/>
      <c r="F101" s="1"/>
      <c r="G101" s="1"/>
      <c r="H101" s="1"/>
      <c r="I101" s="1"/>
      <c r="J101" s="1"/>
      <c r="K101" s="1"/>
      <c r="L101" s="1"/>
      <c r="M101" s="1"/>
      <c r="N101" s="1"/>
      <c r="O101" s="1"/>
      <c r="P101" s="1"/>
      <c r="Q101" s="1"/>
      <c r="R101" s="1"/>
      <c r="S101" s="1"/>
      <c r="T101" s="1"/>
      <c r="U101" s="1201"/>
      <c r="V101" s="1201"/>
      <c r="W101" s="1201"/>
      <c r="X101" s="1201"/>
      <c r="Y101" s="1201"/>
      <c r="Z101" s="1201"/>
      <c r="AA101" s="1201"/>
    </row>
    <row r="102" spans="1:27" ht="24">
      <c r="A102" s="1437" t="s">
        <v>328</v>
      </c>
      <c r="B102" s="1438"/>
      <c r="C102" s="1236">
        <f>B68</f>
        <v>0</v>
      </c>
      <c r="D102" s="1"/>
      <c r="E102" s="1207"/>
      <c r="F102" s="1"/>
      <c r="G102" s="1"/>
      <c r="H102" s="1"/>
      <c r="I102" s="1"/>
      <c r="J102" s="1"/>
      <c r="K102" s="1"/>
      <c r="L102" s="1"/>
      <c r="M102" s="1"/>
      <c r="N102" s="1"/>
      <c r="O102" s="1"/>
      <c r="P102" s="1"/>
      <c r="Q102" s="1"/>
      <c r="R102" s="1"/>
      <c r="S102" s="1"/>
      <c r="T102" s="1"/>
      <c r="U102" s="1201"/>
      <c r="V102" s="1201"/>
      <c r="W102" s="1201"/>
      <c r="X102" s="1201"/>
      <c r="Y102" s="1201"/>
      <c r="Z102" s="1201"/>
      <c r="AA102" s="1201"/>
    </row>
    <row r="103" spans="1:27" ht="15">
      <c r="A103" s="1"/>
      <c r="B103" s="1"/>
      <c r="C103" s="1"/>
      <c r="D103" s="1"/>
      <c r="E103" s="1207"/>
      <c r="F103" s="1"/>
      <c r="G103" s="1"/>
      <c r="H103" s="1"/>
      <c r="I103" s="1"/>
      <c r="J103" s="1"/>
      <c r="K103" s="1"/>
      <c r="L103" s="1"/>
      <c r="M103" s="1"/>
      <c r="N103" s="1"/>
      <c r="O103" s="1"/>
      <c r="P103" s="1"/>
      <c r="Q103" s="1"/>
      <c r="R103" s="1"/>
      <c r="S103" s="1"/>
      <c r="T103" s="1"/>
      <c r="U103" s="1201"/>
      <c r="V103" s="1201"/>
      <c r="W103" s="1201"/>
      <c r="X103" s="1201"/>
      <c r="Y103" s="1201"/>
      <c r="Z103" s="1201"/>
      <c r="AA103" s="1201"/>
    </row>
    <row r="104" spans="1:27" ht="18.95">
      <c r="A104" s="1431" t="s">
        <v>329</v>
      </c>
      <c r="B104" s="1431"/>
      <c r="C104" s="1431"/>
      <c r="D104" s="1"/>
      <c r="E104" s="1207"/>
      <c r="F104" s="1"/>
      <c r="G104" s="1"/>
      <c r="H104" s="1"/>
      <c r="I104" s="1"/>
      <c r="J104" s="1"/>
      <c r="K104" s="1"/>
      <c r="L104" s="1"/>
      <c r="M104" s="1"/>
      <c r="N104" s="1"/>
      <c r="O104" s="1"/>
      <c r="P104" s="1"/>
      <c r="Q104" s="1"/>
      <c r="R104" s="1"/>
      <c r="S104" s="1"/>
      <c r="T104" s="1"/>
      <c r="U104" s="1201"/>
      <c r="V104" s="1201"/>
      <c r="W104" s="1201"/>
      <c r="X104" s="1201"/>
      <c r="Y104" s="1201"/>
      <c r="Z104" s="1201"/>
      <c r="AA104" s="1201"/>
    </row>
    <row r="105" spans="1:27" ht="15">
      <c r="A105" s="1432" t="s">
        <v>330</v>
      </c>
      <c r="B105" s="1432"/>
      <c r="C105" s="105">
        <f>IFERROR(1-(C40/B40),0)</f>
        <v>0</v>
      </c>
      <c r="D105" s="1"/>
      <c r="E105" s="1207"/>
      <c r="F105" s="1"/>
      <c r="G105" s="1"/>
      <c r="H105" s="1"/>
      <c r="I105" s="1"/>
      <c r="J105" s="1"/>
      <c r="K105" s="1"/>
      <c r="L105" s="1"/>
      <c r="M105" s="1"/>
      <c r="N105" s="1"/>
      <c r="O105" s="1"/>
      <c r="P105" s="1"/>
      <c r="Q105" s="1"/>
      <c r="R105" s="1"/>
      <c r="S105" s="1"/>
      <c r="T105" s="1"/>
      <c r="U105" s="1201"/>
      <c r="V105" s="1201"/>
      <c r="W105" s="1201"/>
      <c r="X105" s="1201"/>
      <c r="Y105" s="1201"/>
      <c r="Z105" s="1201"/>
      <c r="AA105" s="1201"/>
    </row>
    <row r="106" spans="1:27" s="1" customFormat="1" ht="27" customHeight="1">
      <c r="A106" s="1433" t="s">
        <v>331</v>
      </c>
      <c r="B106" s="1433"/>
      <c r="C106" s="10">
        <f>C102-C100</f>
        <v>0</v>
      </c>
      <c r="D106" s="1199"/>
      <c r="E106" s="1207"/>
    </row>
    <row r="107" spans="1:27" s="1" customFormat="1" ht="18.95">
      <c r="A107" s="1434" t="s">
        <v>332</v>
      </c>
      <c r="B107" s="1434"/>
      <c r="C107" s="106">
        <f>IFERROR(C106/C102,0)</f>
        <v>0</v>
      </c>
      <c r="E107" s="1207"/>
    </row>
    <row r="108" spans="1:27" s="1" customFormat="1" ht="18.95">
      <c r="A108" s="1237"/>
      <c r="B108" s="4"/>
      <c r="C108" s="1294"/>
      <c r="E108" s="1207"/>
    </row>
    <row r="109" spans="1:27" s="1" customFormat="1" ht="18.95">
      <c r="A109" s="1431" t="s">
        <v>333</v>
      </c>
      <c r="B109" s="1431"/>
      <c r="C109" s="1431"/>
      <c r="E109" s="1207"/>
    </row>
    <row r="110" spans="1:27" s="1" customFormat="1" ht="27" customHeight="1">
      <c r="A110" s="1238" t="s">
        <v>334</v>
      </c>
      <c r="B110" s="1239" t="str">
        <f>IF(AND(B112&gt;0,B115&gt;0),"MIXTO",IF(B112&gt;0,"NACIONAL",IF(B115&gt;0,"IMPORTADO","SIN PRODUCTOS")))</f>
        <v>SIN PRODUCTOS</v>
      </c>
      <c r="E110" s="1207"/>
    </row>
    <row r="111" spans="1:27" s="1225" customFormat="1" ht="18.95">
      <c r="A111" s="1238" t="s">
        <v>335</v>
      </c>
      <c r="B111" s="1240" t="s">
        <v>336</v>
      </c>
      <c r="C111" s="1241" t="s">
        <v>337</v>
      </c>
      <c r="D111" s="1242" t="s">
        <v>338</v>
      </c>
      <c r="E111" s="1207"/>
      <c r="F111" s="1"/>
      <c r="G111" s="1294"/>
      <c r="H111" s="1294"/>
      <c r="I111" s="1294"/>
      <c r="J111" s="1294"/>
      <c r="K111" s="1294"/>
      <c r="L111" s="1294"/>
      <c r="M111" s="1294"/>
      <c r="N111" s="1294"/>
      <c r="O111" s="1294"/>
      <c r="P111" s="1294"/>
      <c r="Q111" s="1294"/>
      <c r="R111" s="1294"/>
      <c r="S111" s="1294"/>
      <c r="T111" s="1294"/>
      <c r="U111" s="1185"/>
      <c r="V111" s="1185"/>
      <c r="W111" s="1185"/>
      <c r="X111" s="1185"/>
      <c r="Y111" s="1185"/>
      <c r="Z111" s="1185"/>
      <c r="AA111" s="1185"/>
    </row>
    <row r="112" spans="1:27" s="1225" customFormat="1" ht="18.95">
      <c r="A112" s="1243" t="s">
        <v>339</v>
      </c>
      <c r="B112" s="1244">
        <f>IF(COUNTIF(Mobiliti!$K$15:$K$572,"*Nacional*")=0,0,IFERROR(SUMIFS(Mobiliti!$AG$15:$AG$572,Mobiliti!$K$15:$K$572,"*Nacional*"),0))</f>
        <v>0</v>
      </c>
      <c r="C112" s="1245">
        <v>0.03</v>
      </c>
      <c r="D112" s="1244">
        <f>IF(B112&lt;=0,0,B112*C112)</f>
        <v>0</v>
      </c>
      <c r="E112" s="1207"/>
      <c r="F112" s="1"/>
      <c r="G112" s="1294"/>
      <c r="H112" s="1294"/>
      <c r="I112" s="1294"/>
      <c r="J112" s="1294"/>
      <c r="K112" s="1294"/>
      <c r="L112" s="1294"/>
      <c r="M112" s="1294"/>
      <c r="N112" s="1294"/>
      <c r="O112" s="1294"/>
      <c r="P112" s="1294"/>
      <c r="Q112" s="1294"/>
      <c r="R112" s="1294"/>
      <c r="S112" s="1294"/>
      <c r="T112" s="1294"/>
      <c r="U112" s="1185"/>
      <c r="V112" s="1185"/>
      <c r="W112" s="1185"/>
      <c r="X112" s="1185"/>
      <c r="Y112" s="1185"/>
      <c r="Z112" s="1185"/>
      <c r="AA112" s="1185"/>
    </row>
    <row r="113" spans="1:27" s="1225" customFormat="1" ht="18.95">
      <c r="A113" s="1243" t="s">
        <v>340</v>
      </c>
      <c r="B113" s="1244">
        <f>IF(COUNTIF(Mobiliti!$K$15:$K$572,"*Importado*")=0,0,IFERROR(SUMIFS(Mobiliti!$AG$15:$AG$572,Mobiliti!$K$15:$K$572,"*Importado*")-SUMIFS(Mobiliti!$R$15:$R$572,Mobiliti!$K$15:$K$572,"*Importado*"),0))</f>
        <v>0</v>
      </c>
      <c r="C113" s="1245">
        <v>1.4999999999999999E-2</v>
      </c>
      <c r="D113" s="1244">
        <f>IF(B113&lt;=0,0,B113*C113)</f>
        <v>0</v>
      </c>
      <c r="E113" s="1207"/>
      <c r="F113" s="1"/>
      <c r="G113" s="1294"/>
      <c r="H113" s="1294"/>
      <c r="I113" s="1294"/>
      <c r="J113" s="1294"/>
      <c r="K113" s="1294"/>
      <c r="L113" s="1294"/>
      <c r="M113" s="1294"/>
      <c r="N113" s="1294"/>
      <c r="O113" s="1294"/>
      <c r="P113" s="1294"/>
      <c r="Q113" s="1294"/>
      <c r="R113" s="1294"/>
      <c r="S113" s="1294"/>
      <c r="T113" s="1294"/>
      <c r="U113" s="1185"/>
      <c r="V113" s="1185"/>
      <c r="W113" s="1185"/>
      <c r="X113" s="1185"/>
      <c r="Y113" s="1185"/>
      <c r="Z113" s="1185"/>
      <c r="AA113" s="1185"/>
    </row>
    <row r="114" spans="1:27" s="1225" customFormat="1" ht="18.95">
      <c r="A114" s="1243" t="s">
        <v>341</v>
      </c>
      <c r="B114" s="1246">
        <f>SUM(D112:D113)</f>
        <v>0</v>
      </c>
      <c r="C114" s="1247"/>
      <c r="D114" s="1294"/>
      <c r="E114" s="1207"/>
      <c r="F114" s="1"/>
      <c r="G114" s="1294"/>
      <c r="H114" s="1294"/>
      <c r="I114" s="1294"/>
      <c r="J114" s="1294"/>
      <c r="K114" s="1294"/>
      <c r="L114" s="1294"/>
      <c r="M114" s="1294"/>
      <c r="N114" s="1294"/>
      <c r="O114" s="1294"/>
      <c r="P114" s="1294"/>
      <c r="Q114" s="1294"/>
      <c r="R114" s="1294"/>
      <c r="S114" s="1294"/>
      <c r="T114" s="1294"/>
      <c r="U114" s="1185"/>
      <c r="V114" s="1185"/>
      <c r="W114" s="1185"/>
      <c r="X114" s="1185"/>
      <c r="Y114" s="1185"/>
      <c r="Z114" s="1185"/>
      <c r="AA114" s="1185"/>
    </row>
    <row r="115" spans="1:27" s="1225" customFormat="1" ht="18.95">
      <c r="A115" s="1243" t="s">
        <v>342</v>
      </c>
      <c r="B115" s="1244" cm="1">
        <f t="array" ref="B115">SUMPRODUCT(
(Mobiliti!$K$15:$K$572="Importado")*
IFERROR(Mobiliti!$AG$15:$AG$572,0)
)</f>
        <v>0</v>
      </c>
      <c r="C115" s="1247"/>
      <c r="D115" s="1294"/>
      <c r="E115" s="1207"/>
      <c r="F115" s="1"/>
      <c r="G115" s="1294"/>
      <c r="H115" s="1294"/>
      <c r="I115" s="1294"/>
      <c r="J115" s="1294"/>
      <c r="K115" s="1294"/>
      <c r="L115" s="1294"/>
      <c r="M115" s="1294"/>
      <c r="N115" s="1294"/>
      <c r="O115" s="1294"/>
      <c r="P115" s="1294"/>
      <c r="Q115" s="1294"/>
      <c r="R115" s="1294"/>
      <c r="S115" s="1294"/>
      <c r="T115" s="1294"/>
      <c r="U115" s="1185"/>
      <c r="V115" s="1185"/>
      <c r="W115" s="1185"/>
      <c r="X115" s="1185"/>
      <c r="Y115" s="1185"/>
      <c r="Z115" s="1185"/>
      <c r="AA115" s="1185"/>
    </row>
    <row r="116" spans="1:27" s="1225" customFormat="1" ht="18.95">
      <c r="A116" s="1243" t="s">
        <v>343</v>
      </c>
      <c r="B116" s="1248">
        <f>IFERROR(B113/B115,0)</f>
        <v>0</v>
      </c>
      <c r="C116" s="1247"/>
      <c r="D116" s="1294"/>
      <c r="E116" s="1207"/>
      <c r="F116" s="1"/>
      <c r="G116" s="1294"/>
      <c r="H116" s="1294"/>
      <c r="I116" s="1294"/>
      <c r="J116" s="1294"/>
      <c r="K116" s="1294"/>
      <c r="L116" s="1294"/>
      <c r="M116" s="1294"/>
      <c r="N116" s="1294"/>
      <c r="O116" s="1294"/>
      <c r="P116" s="1294"/>
      <c r="Q116" s="1294"/>
      <c r="R116" s="1294"/>
      <c r="S116" s="1294"/>
      <c r="T116" s="1294"/>
      <c r="U116" s="1185"/>
      <c r="V116" s="1185"/>
      <c r="W116" s="1185"/>
      <c r="X116" s="1185"/>
      <c r="Y116" s="1185"/>
      <c r="Z116" s="1185"/>
      <c r="AA116" s="1185"/>
    </row>
    <row r="117" spans="1:27" ht="15">
      <c r="A117" s="1247"/>
      <c r="B117" s="1247"/>
      <c r="C117" s="1247"/>
      <c r="D117" s="1"/>
      <c r="E117" s="1207"/>
      <c r="F117" s="1"/>
      <c r="G117" s="1"/>
      <c r="H117" s="1"/>
      <c r="I117" s="1"/>
      <c r="J117" s="1"/>
      <c r="K117" s="1"/>
      <c r="L117" s="1"/>
      <c r="M117" s="1"/>
      <c r="N117" s="1"/>
      <c r="O117" s="1"/>
      <c r="P117" s="1"/>
      <c r="Q117" s="1"/>
      <c r="R117" s="1"/>
      <c r="S117" s="1"/>
      <c r="T117" s="1"/>
      <c r="U117" s="1201"/>
      <c r="V117" s="1201"/>
      <c r="W117" s="1201"/>
      <c r="X117" s="1201"/>
      <c r="Y117" s="1201"/>
      <c r="Z117" s="1201"/>
      <c r="AA117" s="1201"/>
    </row>
    <row r="118" spans="1:27" ht="15">
      <c r="A118" s="1247"/>
      <c r="B118" s="1247"/>
      <c r="C118" s="1247"/>
      <c r="D118" s="1"/>
      <c r="E118" s="1207"/>
      <c r="F118" s="1"/>
      <c r="G118" s="1"/>
      <c r="H118" s="1"/>
      <c r="I118" s="1"/>
      <c r="J118" s="1"/>
      <c r="K118" s="1"/>
      <c r="L118" s="1"/>
      <c r="M118" s="1"/>
      <c r="N118" s="1"/>
      <c r="O118" s="1"/>
      <c r="P118" s="1"/>
      <c r="Q118" s="1"/>
      <c r="R118" s="1"/>
      <c r="S118" s="1"/>
      <c r="T118" s="1"/>
      <c r="U118" s="1201"/>
      <c r="V118" s="1201"/>
      <c r="W118" s="1201"/>
      <c r="X118" s="1201"/>
      <c r="Y118" s="1201"/>
      <c r="Z118" s="1201"/>
      <c r="AA118" s="1201"/>
    </row>
    <row r="119" spans="1:27" ht="15">
      <c r="A119" s="1247"/>
      <c r="B119" s="1247"/>
      <c r="C119" s="1247"/>
      <c r="D119" s="1"/>
      <c r="E119" s="1207"/>
      <c r="F119" s="1"/>
      <c r="G119" s="1"/>
      <c r="H119" s="1"/>
      <c r="I119" s="1"/>
      <c r="J119" s="1"/>
      <c r="K119" s="1"/>
      <c r="L119" s="1"/>
      <c r="M119" s="1"/>
      <c r="N119" s="1"/>
      <c r="O119" s="1"/>
      <c r="P119" s="1"/>
      <c r="Q119" s="1"/>
      <c r="R119" s="1"/>
      <c r="S119" s="1"/>
      <c r="T119" s="1"/>
      <c r="U119" s="1201"/>
      <c r="V119" s="1201"/>
      <c r="W119" s="1201"/>
      <c r="X119" s="1201"/>
      <c r="Y119" s="1201"/>
      <c r="Z119" s="1201"/>
      <c r="AA119" s="1201"/>
    </row>
    <row r="120" spans="1:27" s="1251" customFormat="1" ht="14.25" customHeight="1">
      <c r="A120" s="1249"/>
      <c r="B120" s="1247"/>
      <c r="C120" s="1247"/>
      <c r="D120" s="1250"/>
      <c r="E120" s="1207"/>
      <c r="F120" s="1"/>
      <c r="G120" s="1250"/>
      <c r="H120" s="1250"/>
      <c r="I120" s="1250"/>
      <c r="J120" s="1250"/>
      <c r="K120" s="1250"/>
      <c r="L120" s="1250"/>
      <c r="M120" s="1250"/>
      <c r="N120" s="1250"/>
      <c r="O120" s="1250"/>
      <c r="P120" s="1250"/>
      <c r="Q120" s="1250"/>
      <c r="R120" s="1250"/>
      <c r="S120" s="1250"/>
      <c r="T120" s="1250"/>
    </row>
    <row r="121" spans="1:27" s="1251" customFormat="1" ht="14.25" customHeight="1">
      <c r="D121" s="1250"/>
      <c r="E121" s="1207"/>
      <c r="F121" s="1"/>
      <c r="G121" s="1250"/>
      <c r="H121" s="1250"/>
      <c r="I121" s="1250"/>
      <c r="J121" s="1250"/>
      <c r="K121" s="1250"/>
      <c r="L121" s="1250"/>
      <c r="M121" s="1250"/>
      <c r="N121" s="1250"/>
      <c r="O121" s="1250"/>
      <c r="P121" s="1250"/>
      <c r="Q121" s="1250"/>
      <c r="R121" s="1250"/>
      <c r="S121" s="1250"/>
      <c r="T121" s="1250"/>
    </row>
    <row r="122" spans="1:27" s="1251" customFormat="1" ht="14.25" customHeight="1">
      <c r="A122" s="1252"/>
      <c r="B122" s="1252"/>
      <c r="C122" s="1252"/>
      <c r="D122" s="1250"/>
      <c r="E122" s="1295"/>
      <c r="F122" s="1294"/>
      <c r="G122" s="1250"/>
      <c r="H122" s="1250"/>
      <c r="I122" s="1250"/>
      <c r="J122" s="1250"/>
      <c r="K122" s="1250"/>
      <c r="L122" s="1250"/>
      <c r="M122" s="1250"/>
      <c r="N122" s="1250"/>
      <c r="O122" s="1250"/>
      <c r="P122" s="1250"/>
      <c r="Q122" s="1250"/>
      <c r="R122" s="1250"/>
      <c r="S122" s="1250"/>
      <c r="T122" s="1250"/>
    </row>
    <row r="123" spans="1:27" s="1251" customFormat="1" ht="35.25" customHeight="1">
      <c r="A123" s="1253"/>
      <c r="B123" s="1253"/>
      <c r="D123" s="1250"/>
      <c r="E123" s="1295"/>
      <c r="F123" s="1294"/>
      <c r="G123" s="1250"/>
      <c r="H123" s="1250"/>
      <c r="I123" s="1250"/>
      <c r="J123" s="1250"/>
      <c r="K123" s="1250"/>
      <c r="L123" s="1250"/>
      <c r="M123" s="1250"/>
      <c r="N123" s="1250"/>
      <c r="O123" s="1250"/>
      <c r="P123" s="1250"/>
      <c r="Q123" s="1250"/>
      <c r="R123" s="1250"/>
      <c r="S123" s="1250"/>
      <c r="T123" s="1250"/>
    </row>
    <row r="124" spans="1:27" s="1251" customFormat="1" ht="15.75" customHeight="1">
      <c r="A124" s="1254"/>
      <c r="D124" s="1250"/>
      <c r="E124" s="1295"/>
      <c r="F124" s="1294"/>
      <c r="G124" s="1250"/>
      <c r="H124" s="1250"/>
      <c r="I124" s="1250"/>
      <c r="J124" s="1250"/>
      <c r="K124" s="1250"/>
      <c r="L124" s="1250"/>
      <c r="M124" s="1250"/>
      <c r="N124" s="1250"/>
      <c r="O124" s="1250"/>
      <c r="P124" s="1250"/>
      <c r="Q124" s="1250"/>
      <c r="R124" s="1250"/>
      <c r="S124" s="1250"/>
      <c r="T124" s="1250"/>
    </row>
    <row r="125" spans="1:27" s="1251" customFormat="1" ht="15.95">
      <c r="A125" s="1253"/>
      <c r="B125" s="1253"/>
      <c r="D125" s="1250"/>
      <c r="E125" s="1255"/>
      <c r="F125" s="1294"/>
      <c r="G125" s="1250"/>
      <c r="H125" s="1250"/>
      <c r="I125" s="1250"/>
      <c r="J125" s="1250"/>
      <c r="K125" s="1250"/>
      <c r="L125" s="1250"/>
      <c r="M125" s="1250"/>
      <c r="N125" s="1250"/>
      <c r="O125" s="1250"/>
      <c r="P125" s="1250"/>
      <c r="Q125" s="1250"/>
      <c r="R125" s="1250"/>
      <c r="S125" s="1250"/>
      <c r="T125" s="1250"/>
    </row>
    <row r="126" spans="1:27" s="1251" customFormat="1" ht="15.95">
      <c r="A126" s="1254"/>
      <c r="D126" s="1250"/>
      <c r="E126" s="1300"/>
      <c r="F126" s="1294"/>
      <c r="G126" s="1250"/>
      <c r="H126" s="1250"/>
      <c r="I126" s="1250"/>
      <c r="J126" s="1250"/>
      <c r="K126" s="1250"/>
      <c r="L126" s="1250"/>
      <c r="M126" s="1250"/>
      <c r="N126" s="1250"/>
      <c r="O126" s="1250"/>
      <c r="P126" s="1250"/>
      <c r="Q126" s="1250"/>
      <c r="R126" s="1250"/>
      <c r="S126" s="1250"/>
      <c r="T126" s="1250"/>
    </row>
    <row r="127" spans="1:27" s="1251" customFormat="1" ht="15.75" customHeight="1">
      <c r="A127" s="1253"/>
      <c r="B127" s="1253"/>
      <c r="D127" s="1250"/>
      <c r="E127" s="1295"/>
      <c r="F127" s="1294"/>
      <c r="G127" s="1250"/>
      <c r="H127" s="1250"/>
      <c r="I127" s="1250"/>
      <c r="J127" s="1250"/>
      <c r="K127" s="1250"/>
      <c r="L127" s="1250"/>
      <c r="M127" s="1250"/>
      <c r="N127" s="1250"/>
      <c r="O127" s="1250"/>
      <c r="P127" s="1250"/>
      <c r="Q127" s="1250"/>
      <c r="R127" s="1250"/>
      <c r="S127" s="1250"/>
      <c r="T127" s="1250"/>
    </row>
    <row r="128" spans="1:27" s="1251" customFormat="1" ht="15.75" customHeight="1">
      <c r="A128" s="1254"/>
      <c r="D128" s="1250"/>
      <c r="E128" s="1207"/>
      <c r="F128" s="1"/>
      <c r="G128" s="1250"/>
      <c r="H128" s="1250"/>
      <c r="I128" s="1250"/>
      <c r="J128" s="1250"/>
      <c r="K128" s="1250"/>
      <c r="L128" s="1250"/>
      <c r="M128" s="1250"/>
      <c r="N128" s="1250"/>
      <c r="O128" s="1250"/>
      <c r="P128" s="1250"/>
      <c r="Q128" s="1250"/>
      <c r="R128" s="1250"/>
      <c r="S128" s="1250"/>
      <c r="T128" s="1250"/>
    </row>
    <row r="129" spans="1:20" s="1251" customFormat="1" ht="15">
      <c r="D129" s="1250"/>
      <c r="E129" s="1207"/>
      <c r="F129" s="1"/>
      <c r="G129" s="1250"/>
      <c r="H129" s="1250"/>
      <c r="I129" s="1250"/>
      <c r="J129" s="1250"/>
      <c r="K129" s="1250"/>
      <c r="L129" s="1250"/>
      <c r="M129" s="1250"/>
      <c r="N129" s="1250"/>
      <c r="O129" s="1250"/>
      <c r="P129" s="1250"/>
      <c r="Q129" s="1250"/>
      <c r="R129" s="1250"/>
      <c r="S129" s="1250"/>
      <c r="T129" s="1250"/>
    </row>
    <row r="130" spans="1:20" s="1251" customFormat="1" ht="15">
      <c r="A130" s="1256"/>
      <c r="B130" s="1256"/>
      <c r="D130" s="1250"/>
      <c r="E130" s="1207"/>
      <c r="F130" s="1"/>
      <c r="G130" s="1250"/>
      <c r="H130" s="1250"/>
      <c r="I130" s="1250"/>
      <c r="J130" s="1250"/>
      <c r="K130" s="1250"/>
      <c r="L130" s="1250"/>
      <c r="M130" s="1250"/>
      <c r="N130" s="1250"/>
      <c r="O130" s="1250"/>
      <c r="P130" s="1250"/>
      <c r="Q130" s="1250"/>
      <c r="R130" s="1250"/>
      <c r="S130" s="1250"/>
      <c r="T130" s="1250"/>
    </row>
    <row r="131" spans="1:20" s="1251" customFormat="1">
      <c r="A131" s="1253"/>
      <c r="B131" s="1253"/>
      <c r="D131" s="1250"/>
      <c r="E131" s="1257"/>
      <c r="F131" s="1250"/>
      <c r="G131" s="1250"/>
      <c r="H131" s="1250"/>
      <c r="I131" s="1250"/>
      <c r="J131" s="1250"/>
      <c r="K131" s="1250"/>
      <c r="L131" s="1250"/>
      <c r="M131" s="1250"/>
      <c r="N131" s="1250"/>
      <c r="O131" s="1250"/>
      <c r="P131" s="1250"/>
      <c r="Q131" s="1250"/>
      <c r="R131" s="1250"/>
      <c r="S131" s="1250"/>
      <c r="T131" s="1250"/>
    </row>
    <row r="132" spans="1:20" s="1251" customFormat="1">
      <c r="A132" s="1254"/>
      <c r="D132" s="1250"/>
      <c r="E132" s="1257"/>
      <c r="F132" s="1250"/>
      <c r="G132" s="1250"/>
      <c r="H132" s="1250"/>
      <c r="I132" s="1250"/>
      <c r="J132" s="1250"/>
      <c r="K132" s="1250"/>
      <c r="L132" s="1250"/>
      <c r="M132" s="1250"/>
      <c r="N132" s="1250"/>
      <c r="O132" s="1250"/>
      <c r="P132" s="1250"/>
      <c r="Q132" s="1250"/>
      <c r="R132" s="1250"/>
      <c r="S132" s="1250"/>
      <c r="T132" s="1250"/>
    </row>
    <row r="133" spans="1:20" s="1251" customFormat="1">
      <c r="A133" s="1253"/>
      <c r="B133" s="1253"/>
      <c r="D133" s="1250"/>
      <c r="E133" s="1257"/>
      <c r="F133" s="1250"/>
      <c r="G133" s="1250"/>
      <c r="H133" s="1250"/>
      <c r="I133" s="1250"/>
      <c r="J133" s="1250"/>
      <c r="K133" s="1250"/>
      <c r="L133" s="1250"/>
      <c r="M133" s="1250"/>
      <c r="N133" s="1250"/>
      <c r="O133" s="1250"/>
      <c r="P133" s="1250"/>
      <c r="Q133" s="1250"/>
      <c r="R133" s="1250"/>
      <c r="S133" s="1250"/>
      <c r="T133" s="1250"/>
    </row>
    <row r="134" spans="1:20" s="1251" customFormat="1">
      <c r="A134" s="1254"/>
      <c r="D134" s="1250"/>
      <c r="E134" s="1257"/>
      <c r="F134" s="1250"/>
      <c r="G134" s="1250"/>
      <c r="H134" s="1250"/>
      <c r="I134" s="1250"/>
      <c r="J134" s="1250"/>
      <c r="K134" s="1250"/>
      <c r="L134" s="1250"/>
      <c r="M134" s="1250"/>
      <c r="N134" s="1250"/>
      <c r="O134" s="1250"/>
      <c r="P134" s="1250"/>
      <c r="Q134" s="1250"/>
      <c r="R134" s="1250"/>
      <c r="S134" s="1250"/>
      <c r="T134" s="1250"/>
    </row>
    <row r="135" spans="1:20" s="1251" customFormat="1">
      <c r="A135" s="1253"/>
      <c r="B135" s="1253"/>
      <c r="D135" s="1250"/>
      <c r="E135" s="1257"/>
      <c r="F135" s="1250"/>
      <c r="G135" s="1250"/>
      <c r="H135" s="1250"/>
      <c r="I135" s="1250"/>
      <c r="J135" s="1250"/>
      <c r="K135" s="1250"/>
      <c r="L135" s="1250"/>
      <c r="M135" s="1250"/>
      <c r="N135" s="1250"/>
      <c r="O135" s="1250"/>
      <c r="P135" s="1250"/>
      <c r="Q135" s="1250"/>
      <c r="R135" s="1250"/>
      <c r="S135" s="1250"/>
      <c r="T135" s="1250"/>
    </row>
    <row r="136" spans="1:20" s="1251" customFormat="1" ht="15.75" customHeight="1">
      <c r="A136" s="1254"/>
      <c r="D136" s="1250"/>
      <c r="E136" s="1257"/>
      <c r="F136" s="1250"/>
      <c r="G136" s="1250"/>
      <c r="H136" s="1250"/>
      <c r="I136" s="1250"/>
      <c r="J136" s="1250"/>
      <c r="K136" s="1250"/>
      <c r="L136" s="1250"/>
      <c r="M136" s="1250"/>
      <c r="N136" s="1250"/>
      <c r="O136" s="1250"/>
      <c r="P136" s="1250"/>
      <c r="Q136" s="1250"/>
      <c r="R136" s="1250"/>
      <c r="S136" s="1250"/>
      <c r="T136" s="1250"/>
    </row>
    <row r="137" spans="1:20" s="1251" customFormat="1">
      <c r="A137" s="1258"/>
      <c r="B137" s="1258"/>
      <c r="C137" s="1258"/>
      <c r="D137" s="1250"/>
      <c r="E137" s="1257"/>
      <c r="F137" s="1250"/>
      <c r="G137" s="1250"/>
      <c r="H137" s="1250"/>
      <c r="I137" s="1250"/>
      <c r="J137" s="1250"/>
      <c r="K137" s="1250"/>
      <c r="L137" s="1250"/>
      <c r="M137" s="1250"/>
      <c r="N137" s="1250"/>
      <c r="O137" s="1250"/>
      <c r="P137" s="1250"/>
      <c r="Q137" s="1250"/>
      <c r="R137" s="1250"/>
      <c r="S137" s="1250"/>
      <c r="T137" s="1250"/>
    </row>
    <row r="138" spans="1:20" s="1251" customFormat="1" ht="15.95">
      <c r="A138" s="1185"/>
      <c r="B138" s="1185"/>
      <c r="C138" s="1185"/>
      <c r="D138" s="1250"/>
      <c r="E138" s="1257"/>
      <c r="F138" s="1250"/>
      <c r="G138" s="1250"/>
      <c r="H138" s="1250"/>
      <c r="I138" s="1250"/>
      <c r="J138" s="1250"/>
      <c r="K138" s="1250"/>
      <c r="L138" s="1250"/>
      <c r="M138" s="1250"/>
      <c r="N138" s="1250"/>
      <c r="O138" s="1250"/>
      <c r="P138" s="1250"/>
      <c r="Q138" s="1250"/>
      <c r="R138" s="1250"/>
      <c r="S138" s="1250"/>
      <c r="T138" s="1250"/>
    </row>
    <row r="139" spans="1:20" s="1251" customFormat="1" ht="15.95">
      <c r="A139" s="1185"/>
      <c r="B139" s="1185"/>
      <c r="C139" s="1185"/>
      <c r="D139" s="1250"/>
      <c r="E139" s="1257"/>
      <c r="F139" s="1250"/>
      <c r="G139" s="1250"/>
      <c r="H139" s="1250"/>
      <c r="I139" s="1250"/>
      <c r="J139" s="1250"/>
      <c r="K139" s="1250"/>
      <c r="L139" s="1250"/>
      <c r="M139" s="1250"/>
      <c r="N139" s="1250"/>
      <c r="O139" s="1250"/>
      <c r="P139" s="1250"/>
      <c r="Q139" s="1250"/>
      <c r="R139" s="1250"/>
      <c r="S139" s="1250"/>
      <c r="T139" s="1250"/>
    </row>
    <row r="140" spans="1:20" s="1251" customFormat="1" ht="15.95">
      <c r="A140" s="1185"/>
      <c r="B140" s="1185"/>
      <c r="C140" s="1185"/>
      <c r="D140" s="1250"/>
      <c r="E140" s="1257"/>
      <c r="F140" s="1250"/>
      <c r="G140" s="1250"/>
      <c r="H140" s="1250"/>
      <c r="I140" s="1250"/>
      <c r="J140" s="1250"/>
      <c r="K140" s="1250"/>
      <c r="L140" s="1250"/>
      <c r="M140" s="1250"/>
      <c r="N140" s="1250"/>
      <c r="O140" s="1250"/>
      <c r="P140" s="1250"/>
      <c r="Q140" s="1250"/>
      <c r="R140" s="1250"/>
      <c r="S140" s="1250"/>
      <c r="T140" s="1250"/>
    </row>
    <row r="141" spans="1:20" s="1251" customFormat="1" ht="15.95">
      <c r="A141" s="1185"/>
      <c r="B141" s="1185"/>
      <c r="C141" s="1185"/>
      <c r="D141" s="1250"/>
      <c r="E141" s="1257"/>
      <c r="F141" s="1250"/>
      <c r="G141" s="1250"/>
      <c r="H141" s="1250"/>
      <c r="I141" s="1250"/>
      <c r="J141" s="1250"/>
      <c r="K141" s="1250"/>
      <c r="L141" s="1250"/>
      <c r="M141" s="1250"/>
      <c r="N141" s="1250"/>
      <c r="O141" s="1250"/>
      <c r="P141" s="1250"/>
      <c r="Q141" s="1250"/>
      <c r="R141" s="1250"/>
      <c r="S141" s="1250"/>
      <c r="T141" s="1250"/>
    </row>
    <row r="142" spans="1:20" s="1251" customFormat="1" ht="15.95">
      <c r="A142" s="1185"/>
      <c r="B142" s="1185"/>
      <c r="C142" s="1185"/>
      <c r="D142" s="1250"/>
      <c r="E142" s="1257"/>
      <c r="F142" s="1250"/>
      <c r="G142" s="1250"/>
      <c r="H142" s="1250"/>
      <c r="I142" s="1250"/>
      <c r="J142" s="1250"/>
      <c r="K142" s="1250"/>
      <c r="L142" s="1250"/>
      <c r="M142" s="1250"/>
      <c r="N142" s="1250"/>
      <c r="O142" s="1250"/>
      <c r="P142" s="1250"/>
      <c r="Q142" s="1250"/>
      <c r="R142" s="1250"/>
      <c r="S142" s="1250"/>
      <c r="T142" s="1250"/>
    </row>
    <row r="143" spans="1:20" s="1251" customFormat="1" ht="15.95">
      <c r="A143" s="1185"/>
      <c r="B143" s="1185"/>
      <c r="C143" s="1185"/>
      <c r="D143" s="1250"/>
      <c r="E143" s="1257"/>
      <c r="F143" s="1250"/>
      <c r="G143" s="1250"/>
      <c r="H143" s="1250"/>
      <c r="I143" s="1250"/>
      <c r="J143" s="1250"/>
      <c r="K143" s="1250"/>
      <c r="L143" s="1250"/>
      <c r="M143" s="1250"/>
      <c r="N143" s="1250"/>
      <c r="O143" s="1250"/>
      <c r="P143" s="1250"/>
      <c r="Q143" s="1250"/>
      <c r="R143" s="1250"/>
      <c r="S143" s="1250"/>
      <c r="T143" s="1250"/>
    </row>
    <row r="144" spans="1:20" s="1258" customFormat="1" ht="15.95">
      <c r="A144" s="1185"/>
      <c r="B144" s="1185"/>
      <c r="C144" s="1185"/>
      <c r="D144" s="1259"/>
      <c r="E144" s="1257"/>
      <c r="F144" s="1250"/>
      <c r="G144" s="1259"/>
      <c r="H144" s="1259"/>
      <c r="I144" s="1259"/>
      <c r="J144" s="1259"/>
      <c r="K144" s="1259"/>
      <c r="L144" s="1259"/>
      <c r="M144" s="1259"/>
      <c r="N144" s="1259"/>
      <c r="O144" s="1259"/>
      <c r="P144" s="1259"/>
      <c r="Q144" s="1259"/>
      <c r="R144" s="1259"/>
      <c r="S144" s="1259"/>
      <c r="T144" s="1259"/>
    </row>
    <row r="145" spans="1:20" s="1185" customFormat="1" ht="15.95">
      <c r="D145" s="1294"/>
      <c r="E145" s="1257"/>
      <c r="F145" s="1250"/>
      <c r="G145" s="1294"/>
      <c r="H145" s="1294"/>
      <c r="I145" s="1294"/>
      <c r="J145" s="1294"/>
      <c r="K145" s="1294"/>
      <c r="L145" s="1294"/>
      <c r="M145" s="1294"/>
      <c r="N145" s="1294"/>
      <c r="O145" s="1294"/>
      <c r="P145" s="1294"/>
      <c r="Q145" s="1294"/>
      <c r="R145" s="1294"/>
      <c r="S145" s="1294"/>
      <c r="T145" s="1294"/>
    </row>
    <row r="146" spans="1:20" s="1185" customFormat="1" ht="15.95">
      <c r="D146" s="1250"/>
      <c r="E146" s="1257"/>
      <c r="F146" s="1250"/>
      <c r="G146" s="1294"/>
      <c r="H146" s="1294"/>
      <c r="I146" s="1294"/>
      <c r="J146" s="1294"/>
      <c r="K146" s="1294"/>
      <c r="L146" s="1294"/>
      <c r="M146" s="1294"/>
      <c r="N146" s="1294"/>
      <c r="O146" s="1294"/>
      <c r="P146" s="1294"/>
      <c r="Q146" s="1294"/>
      <c r="R146" s="1294"/>
      <c r="S146" s="1294"/>
      <c r="T146" s="1294"/>
    </row>
    <row r="147" spans="1:20" s="1185" customFormat="1" ht="15.95">
      <c r="D147" s="1294"/>
      <c r="E147" s="1257"/>
      <c r="F147" s="1250"/>
      <c r="G147" s="1294"/>
      <c r="H147" s="1294"/>
      <c r="I147" s="1294"/>
      <c r="J147" s="1294"/>
      <c r="K147" s="1294"/>
      <c r="L147" s="1294"/>
      <c r="M147" s="1294"/>
      <c r="N147" s="1294"/>
      <c r="O147" s="1294"/>
      <c r="P147" s="1294"/>
      <c r="Q147" s="1294"/>
      <c r="R147" s="1294"/>
      <c r="S147" s="1294"/>
      <c r="T147" s="1294"/>
    </row>
    <row r="148" spans="1:20" s="1185" customFormat="1" ht="15.95">
      <c r="D148" s="1294"/>
      <c r="E148" s="1257"/>
      <c r="F148" s="1250"/>
      <c r="G148" s="1294"/>
      <c r="H148" s="1294"/>
      <c r="I148" s="1294"/>
      <c r="J148" s="1294"/>
      <c r="K148" s="1294"/>
      <c r="L148" s="1294"/>
      <c r="M148" s="1294"/>
      <c r="N148" s="1294"/>
      <c r="O148" s="1294"/>
      <c r="P148" s="1294"/>
      <c r="Q148" s="1294"/>
      <c r="R148" s="1294"/>
      <c r="S148" s="1294"/>
      <c r="T148" s="1294"/>
    </row>
    <row r="149" spans="1:20" s="1185" customFormat="1" ht="15.95">
      <c r="D149" s="1294"/>
      <c r="E149" s="1257"/>
      <c r="F149" s="1250"/>
      <c r="G149" s="1294"/>
      <c r="H149" s="1294"/>
      <c r="I149" s="1294"/>
      <c r="J149" s="1294"/>
      <c r="K149" s="1294"/>
      <c r="L149" s="1294"/>
      <c r="M149" s="1294"/>
      <c r="N149" s="1294"/>
      <c r="O149" s="1294"/>
      <c r="P149" s="1294"/>
      <c r="Q149" s="1294"/>
      <c r="R149" s="1294"/>
      <c r="S149" s="1294"/>
      <c r="T149" s="1294"/>
    </row>
    <row r="150" spans="1:20" s="1185" customFormat="1" ht="15.95">
      <c r="A150" s="1201"/>
      <c r="B150" s="1201"/>
      <c r="C150" s="1201"/>
      <c r="D150" s="1294"/>
      <c r="E150" s="1257"/>
      <c r="F150" s="1250"/>
      <c r="G150" s="1294"/>
      <c r="H150" s="1294"/>
      <c r="I150" s="1294"/>
      <c r="J150" s="1294"/>
      <c r="K150" s="1294"/>
      <c r="L150" s="1294"/>
      <c r="M150" s="1294"/>
      <c r="N150" s="1294"/>
      <c r="O150" s="1294"/>
      <c r="P150" s="1294"/>
      <c r="Q150" s="1294"/>
      <c r="R150" s="1294"/>
      <c r="S150" s="1294"/>
      <c r="T150" s="1294"/>
    </row>
    <row r="151" spans="1:20" s="1185" customFormat="1" ht="15.95">
      <c r="A151" s="1201"/>
      <c r="B151" s="1201"/>
      <c r="C151" s="1201"/>
      <c r="D151" s="1294"/>
      <c r="E151" s="1257"/>
      <c r="F151" s="1250"/>
      <c r="G151" s="1294"/>
      <c r="H151" s="1294"/>
      <c r="I151" s="1294"/>
      <c r="J151" s="1294"/>
      <c r="K151" s="1294"/>
      <c r="L151" s="1294"/>
      <c r="M151" s="1294"/>
      <c r="N151" s="1294"/>
      <c r="O151" s="1294"/>
      <c r="P151" s="1294"/>
      <c r="Q151" s="1294"/>
      <c r="R151" s="1294"/>
      <c r="S151" s="1294"/>
      <c r="T151" s="1294"/>
    </row>
    <row r="152" spans="1:20" s="1185" customFormat="1" ht="15.95">
      <c r="A152" s="1201"/>
      <c r="B152" s="1201"/>
      <c r="C152" s="1201"/>
      <c r="D152" s="1294"/>
      <c r="E152" s="1257"/>
      <c r="F152" s="1250"/>
      <c r="G152" s="1294"/>
      <c r="H152" s="1294"/>
      <c r="I152" s="1294"/>
      <c r="J152" s="1294"/>
      <c r="K152" s="1294"/>
      <c r="L152" s="1294"/>
      <c r="M152" s="1294"/>
      <c r="N152" s="1294"/>
      <c r="O152" s="1294"/>
      <c r="P152" s="1294"/>
      <c r="Q152" s="1294"/>
      <c r="R152" s="1294"/>
      <c r="S152" s="1294"/>
      <c r="T152" s="1294"/>
    </row>
    <row r="153" spans="1:20" s="1185" customFormat="1" ht="15.95">
      <c r="A153" s="1201"/>
      <c r="B153" s="1201"/>
      <c r="C153" s="1201"/>
      <c r="D153" s="1294"/>
      <c r="E153" s="1257"/>
      <c r="F153" s="1250"/>
      <c r="G153" s="1294"/>
      <c r="H153" s="1294"/>
      <c r="I153" s="1294"/>
      <c r="J153" s="1294"/>
      <c r="K153" s="1294"/>
      <c r="L153" s="1294"/>
      <c r="M153" s="1294"/>
      <c r="N153" s="1294"/>
      <c r="O153" s="1294"/>
      <c r="P153" s="1294"/>
      <c r="Q153" s="1294"/>
      <c r="R153" s="1294"/>
      <c r="S153" s="1294"/>
      <c r="T153" s="1294"/>
    </row>
    <row r="154" spans="1:20" s="1185" customFormat="1" ht="15.95">
      <c r="A154" s="1201"/>
      <c r="B154" s="1201"/>
      <c r="C154" s="1201"/>
      <c r="D154" s="1294"/>
      <c r="E154" s="1257"/>
      <c r="F154" s="1250"/>
      <c r="G154" s="1294"/>
      <c r="H154" s="1294"/>
      <c r="I154" s="1294"/>
      <c r="J154" s="1294"/>
      <c r="K154" s="1294"/>
      <c r="L154" s="1294"/>
      <c r="M154" s="1294"/>
      <c r="N154" s="1294"/>
      <c r="O154" s="1294"/>
      <c r="P154" s="1294"/>
      <c r="Q154" s="1294"/>
      <c r="R154" s="1294"/>
      <c r="S154" s="1294"/>
      <c r="T154" s="1294"/>
    </row>
    <row r="155" spans="1:20" s="1185" customFormat="1" ht="15.95">
      <c r="A155" s="1201"/>
      <c r="B155" s="1201"/>
      <c r="C155" s="1201"/>
      <c r="D155" s="1294"/>
      <c r="E155" s="1260"/>
      <c r="F155" s="1259"/>
      <c r="G155" s="1294"/>
      <c r="H155" s="1294"/>
      <c r="I155" s="1294"/>
      <c r="J155" s="1294"/>
      <c r="K155" s="1294"/>
      <c r="L155" s="1294"/>
      <c r="M155" s="1294"/>
      <c r="N155" s="1294"/>
      <c r="O155" s="1294"/>
      <c r="P155" s="1294"/>
      <c r="Q155" s="1294"/>
      <c r="R155" s="1294"/>
      <c r="S155" s="1294"/>
      <c r="T155" s="1294"/>
    </row>
    <row r="156" spans="1:20" s="1185" customFormat="1" ht="15.95">
      <c r="A156" s="1201"/>
      <c r="B156" s="1201"/>
      <c r="C156" s="1201"/>
      <c r="D156" s="1294"/>
      <c r="E156" s="1261"/>
      <c r="F156" s="1294"/>
      <c r="G156" s="1294"/>
      <c r="H156" s="1294"/>
      <c r="I156" s="1294"/>
      <c r="J156" s="1294"/>
      <c r="K156" s="1294"/>
      <c r="L156" s="1294"/>
      <c r="M156" s="1294"/>
      <c r="N156" s="1294"/>
      <c r="O156" s="1294"/>
      <c r="P156" s="1294"/>
      <c r="Q156" s="1294"/>
      <c r="R156" s="1294"/>
      <c r="S156" s="1294"/>
      <c r="T156" s="1294"/>
    </row>
    <row r="157" spans="1:20" s="1201" customFormat="1" ht="15.95">
      <c r="D157" s="1"/>
      <c r="E157" s="1295"/>
      <c r="F157" s="1294"/>
      <c r="G157" s="1"/>
      <c r="H157" s="1"/>
      <c r="I157" s="1"/>
      <c r="J157" s="1"/>
      <c r="K157" s="1"/>
      <c r="L157" s="1"/>
      <c r="M157" s="1"/>
      <c r="N157" s="1"/>
      <c r="O157" s="1"/>
      <c r="P157" s="1"/>
      <c r="Q157" s="1"/>
      <c r="R157" s="1"/>
      <c r="S157" s="1"/>
      <c r="T157" s="1"/>
    </row>
    <row r="158" spans="1:20" s="1201" customFormat="1" ht="15.95">
      <c r="D158" s="1"/>
      <c r="E158" s="1295"/>
      <c r="F158" s="1294"/>
      <c r="G158" s="1"/>
      <c r="H158" s="1"/>
      <c r="I158" s="1"/>
      <c r="J158" s="1"/>
      <c r="K158" s="1"/>
      <c r="L158" s="1"/>
      <c r="M158" s="1"/>
      <c r="N158" s="1"/>
      <c r="O158" s="1"/>
      <c r="P158" s="1"/>
      <c r="Q158" s="1"/>
      <c r="R158" s="1"/>
      <c r="S158" s="1"/>
      <c r="T158" s="1"/>
    </row>
    <row r="159" spans="1:20" s="1201" customFormat="1" ht="15.95">
      <c r="D159" s="1"/>
      <c r="E159" s="1295"/>
      <c r="F159" s="1294"/>
      <c r="G159" s="1"/>
      <c r="H159" s="1"/>
      <c r="I159" s="1"/>
      <c r="J159" s="1"/>
      <c r="K159" s="1"/>
      <c r="L159" s="1"/>
      <c r="M159" s="1"/>
      <c r="N159" s="1"/>
      <c r="O159" s="1"/>
      <c r="P159" s="1"/>
      <c r="Q159" s="1"/>
      <c r="R159" s="1"/>
      <c r="S159" s="1"/>
      <c r="T159" s="1"/>
    </row>
    <row r="160" spans="1:20" s="1201" customFormat="1" ht="15.95">
      <c r="D160" s="1"/>
      <c r="E160" s="1295"/>
      <c r="F160" s="1294"/>
      <c r="G160" s="1"/>
      <c r="H160" s="1"/>
      <c r="I160" s="1"/>
      <c r="J160" s="1"/>
      <c r="K160" s="1"/>
      <c r="L160" s="1"/>
      <c r="M160" s="1"/>
      <c r="N160" s="1"/>
      <c r="O160" s="1"/>
      <c r="P160" s="1"/>
      <c r="Q160" s="1"/>
      <c r="R160" s="1"/>
      <c r="S160" s="1"/>
      <c r="T160" s="1"/>
    </row>
    <row r="161" spans="4:20" s="1201" customFormat="1" ht="15.95">
      <c r="D161" s="1"/>
      <c r="E161" s="1295"/>
      <c r="F161" s="1294"/>
      <c r="G161" s="1"/>
      <c r="H161" s="1"/>
      <c r="I161" s="1"/>
      <c r="J161" s="1"/>
      <c r="K161" s="1"/>
      <c r="L161" s="1"/>
      <c r="M161" s="1"/>
      <c r="N161" s="1"/>
      <c r="O161" s="1"/>
      <c r="P161" s="1"/>
      <c r="Q161" s="1"/>
      <c r="R161" s="1"/>
      <c r="S161" s="1"/>
      <c r="T161" s="1"/>
    </row>
    <row r="162" spans="4:20" s="1201" customFormat="1" ht="15.95">
      <c r="D162" s="1"/>
      <c r="E162" s="1295"/>
      <c r="F162" s="1294"/>
      <c r="G162" s="1"/>
      <c r="H162" s="1"/>
      <c r="I162" s="1"/>
      <c r="J162" s="1"/>
      <c r="K162" s="1"/>
      <c r="L162" s="1"/>
      <c r="M162" s="1"/>
      <c r="N162" s="1"/>
      <c r="O162" s="1"/>
      <c r="P162" s="1"/>
      <c r="Q162" s="1"/>
      <c r="R162" s="1"/>
      <c r="S162" s="1"/>
      <c r="T162" s="1"/>
    </row>
    <row r="163" spans="4:20" s="1201" customFormat="1" ht="15.95">
      <c r="D163" s="1"/>
      <c r="E163" s="1295"/>
      <c r="F163" s="1294"/>
      <c r="G163" s="1"/>
      <c r="H163" s="1"/>
      <c r="I163" s="1"/>
      <c r="J163" s="1"/>
      <c r="K163" s="1"/>
      <c r="L163" s="1"/>
      <c r="M163" s="1"/>
      <c r="N163" s="1"/>
      <c r="O163" s="1"/>
      <c r="P163" s="1"/>
      <c r="Q163" s="1"/>
      <c r="R163" s="1"/>
      <c r="S163" s="1"/>
      <c r="T163" s="1"/>
    </row>
    <row r="164" spans="4:20" s="1201" customFormat="1" ht="15.95">
      <c r="D164" s="1"/>
      <c r="E164" s="1295"/>
      <c r="F164" s="1294"/>
      <c r="G164" s="1"/>
      <c r="H164" s="1"/>
      <c r="I164" s="1"/>
      <c r="J164" s="1"/>
      <c r="K164" s="1"/>
      <c r="L164" s="1"/>
      <c r="M164" s="1"/>
      <c r="N164" s="1"/>
      <c r="O164" s="1"/>
      <c r="P164" s="1"/>
      <c r="Q164" s="1"/>
      <c r="R164" s="1"/>
      <c r="S164" s="1"/>
      <c r="T164" s="1"/>
    </row>
    <row r="165" spans="4:20" s="1201" customFormat="1" ht="15.95">
      <c r="D165" s="1"/>
      <c r="E165" s="1295"/>
      <c r="F165" s="1294"/>
      <c r="G165" s="1"/>
      <c r="H165" s="1"/>
      <c r="I165" s="1"/>
      <c r="J165" s="1"/>
      <c r="K165" s="1"/>
      <c r="L165" s="1"/>
      <c r="M165" s="1"/>
      <c r="N165" s="1"/>
      <c r="O165" s="1"/>
      <c r="P165" s="1"/>
      <c r="Q165" s="1"/>
      <c r="R165" s="1"/>
      <c r="S165" s="1"/>
      <c r="T165" s="1"/>
    </row>
    <row r="166" spans="4:20" s="1201" customFormat="1" ht="15.95">
      <c r="D166" s="1"/>
      <c r="E166" s="1295"/>
      <c r="F166" s="1294"/>
      <c r="G166" s="1"/>
      <c r="H166" s="1"/>
      <c r="I166" s="1"/>
      <c r="J166" s="1"/>
      <c r="K166" s="1"/>
      <c r="L166" s="1"/>
      <c r="M166" s="1"/>
      <c r="N166" s="1"/>
      <c r="O166" s="1"/>
      <c r="P166" s="1"/>
      <c r="Q166" s="1"/>
      <c r="R166" s="1"/>
      <c r="S166" s="1"/>
      <c r="T166" s="1"/>
    </row>
    <row r="167" spans="4:20" s="1201" customFormat="1" ht="15.95">
      <c r="D167" s="1"/>
      <c r="E167" s="1295"/>
      <c r="F167" s="1294"/>
      <c r="G167" s="1"/>
      <c r="H167" s="1"/>
      <c r="I167" s="1"/>
      <c r="J167" s="1"/>
      <c r="K167" s="1"/>
      <c r="L167" s="1"/>
      <c r="M167" s="1"/>
      <c r="N167" s="1"/>
      <c r="O167" s="1"/>
      <c r="P167" s="1"/>
      <c r="Q167" s="1"/>
      <c r="R167" s="1"/>
      <c r="S167" s="1"/>
      <c r="T167" s="1"/>
    </row>
    <row r="168" spans="4:20" s="1201" customFormat="1" ht="15">
      <c r="D168" s="1"/>
      <c r="E168" s="1207"/>
      <c r="F168" s="1"/>
      <c r="G168" s="1"/>
      <c r="H168" s="1"/>
      <c r="I168" s="1"/>
      <c r="J168" s="1"/>
      <c r="K168" s="1"/>
      <c r="L168" s="1"/>
      <c r="M168" s="1"/>
      <c r="N168" s="1"/>
      <c r="O168" s="1"/>
      <c r="P168" s="1"/>
      <c r="Q168" s="1"/>
      <c r="R168" s="1"/>
      <c r="S168" s="1"/>
      <c r="T168" s="1"/>
    </row>
    <row r="169" spans="4:20" s="1201" customFormat="1" ht="15">
      <c r="D169" s="1"/>
      <c r="E169" s="1207"/>
      <c r="F169" s="1"/>
      <c r="G169" s="1"/>
      <c r="H169" s="1"/>
      <c r="I169" s="1"/>
      <c r="J169" s="1"/>
      <c r="K169" s="1"/>
      <c r="L169" s="1"/>
      <c r="M169" s="1"/>
      <c r="N169" s="1"/>
      <c r="O169" s="1"/>
      <c r="P169" s="1"/>
      <c r="Q169" s="1"/>
      <c r="R169" s="1"/>
      <c r="S169" s="1"/>
      <c r="T169" s="1"/>
    </row>
    <row r="170" spans="4:20" s="1201" customFormat="1" ht="15">
      <c r="D170" s="1"/>
      <c r="E170" s="1207"/>
      <c r="F170" s="1"/>
      <c r="G170" s="1"/>
      <c r="H170" s="1"/>
      <c r="I170" s="1"/>
      <c r="J170" s="1"/>
      <c r="K170" s="1"/>
      <c r="L170" s="1"/>
      <c r="M170" s="1"/>
      <c r="N170" s="1"/>
      <c r="O170" s="1"/>
      <c r="P170" s="1"/>
      <c r="Q170" s="1"/>
      <c r="R170" s="1"/>
      <c r="S170" s="1"/>
      <c r="T170" s="1"/>
    </row>
    <row r="171" spans="4:20" s="1201" customFormat="1" ht="15">
      <c r="D171" s="1"/>
      <c r="E171" s="1207"/>
      <c r="F171" s="1"/>
      <c r="G171" s="1"/>
      <c r="H171" s="1"/>
      <c r="I171" s="1"/>
      <c r="J171" s="1"/>
      <c r="K171" s="1"/>
      <c r="L171" s="1"/>
      <c r="M171" s="1"/>
      <c r="N171" s="1"/>
      <c r="O171" s="1"/>
      <c r="P171" s="1"/>
      <c r="Q171" s="1"/>
      <c r="R171" s="1"/>
      <c r="S171" s="1"/>
      <c r="T171" s="1"/>
    </row>
    <row r="172" spans="4:20" s="1201" customFormat="1" ht="15">
      <c r="D172" s="1"/>
      <c r="E172" s="1207"/>
      <c r="F172" s="1"/>
      <c r="G172" s="1"/>
      <c r="H172" s="1"/>
      <c r="I172" s="1"/>
      <c r="J172" s="1"/>
      <c r="K172" s="1"/>
      <c r="L172" s="1"/>
      <c r="M172" s="1"/>
      <c r="N172" s="1"/>
      <c r="O172" s="1"/>
      <c r="P172" s="1"/>
      <c r="Q172" s="1"/>
      <c r="R172" s="1"/>
      <c r="S172" s="1"/>
      <c r="T172" s="1"/>
    </row>
    <row r="173" spans="4:20" s="1201" customFormat="1" ht="15">
      <c r="D173" s="1"/>
      <c r="E173" s="1207"/>
      <c r="F173" s="1"/>
      <c r="G173" s="1"/>
      <c r="H173" s="1"/>
      <c r="I173" s="1"/>
      <c r="J173" s="1"/>
      <c r="K173" s="1"/>
      <c r="L173" s="1"/>
      <c r="M173" s="1"/>
      <c r="N173" s="1"/>
      <c r="O173" s="1"/>
      <c r="P173" s="1"/>
      <c r="Q173" s="1"/>
      <c r="R173" s="1"/>
      <c r="S173" s="1"/>
      <c r="T173" s="1"/>
    </row>
    <row r="174" spans="4:20" s="1201" customFormat="1" ht="15">
      <c r="D174" s="1"/>
      <c r="E174" s="1207"/>
      <c r="F174" s="1"/>
      <c r="G174" s="1"/>
      <c r="H174" s="1"/>
      <c r="I174" s="1"/>
      <c r="J174" s="1"/>
      <c r="K174" s="1"/>
      <c r="L174" s="1"/>
      <c r="M174" s="1"/>
      <c r="N174" s="1"/>
      <c r="O174" s="1"/>
      <c r="P174" s="1"/>
      <c r="Q174" s="1"/>
      <c r="R174" s="1"/>
      <c r="S174" s="1"/>
      <c r="T174" s="1"/>
    </row>
    <row r="175" spans="4:20" s="1201" customFormat="1" ht="15">
      <c r="D175" s="1"/>
      <c r="E175" s="1207"/>
      <c r="F175" s="1"/>
      <c r="G175" s="1"/>
      <c r="H175" s="1"/>
      <c r="I175" s="1"/>
      <c r="J175" s="1"/>
      <c r="K175" s="1"/>
      <c r="L175" s="1"/>
      <c r="M175" s="1"/>
      <c r="N175" s="1"/>
      <c r="O175" s="1"/>
      <c r="P175" s="1"/>
      <c r="Q175" s="1"/>
      <c r="R175" s="1"/>
      <c r="S175" s="1"/>
      <c r="T175" s="1"/>
    </row>
    <row r="176" spans="4:20" s="1201" customFormat="1" ht="15">
      <c r="D176" s="1"/>
      <c r="E176" s="1207"/>
      <c r="F176" s="1"/>
      <c r="G176" s="1"/>
      <c r="H176" s="1"/>
      <c r="I176" s="1"/>
      <c r="J176" s="1"/>
      <c r="K176" s="1"/>
      <c r="L176" s="1"/>
      <c r="M176" s="1"/>
      <c r="N176" s="1"/>
      <c r="O176" s="1"/>
      <c r="P176" s="1"/>
      <c r="Q176" s="1"/>
      <c r="R176" s="1"/>
      <c r="S176" s="1"/>
      <c r="T176" s="1"/>
    </row>
    <row r="177" spans="4:20" s="1201" customFormat="1" ht="15">
      <c r="D177" s="1"/>
      <c r="E177" s="1207"/>
      <c r="F177" s="1"/>
      <c r="G177" s="1"/>
      <c r="H177" s="1"/>
      <c r="I177" s="1"/>
      <c r="J177" s="1"/>
      <c r="K177" s="1"/>
      <c r="L177" s="1"/>
      <c r="M177" s="1"/>
      <c r="N177" s="1"/>
      <c r="O177" s="1"/>
      <c r="P177" s="1"/>
      <c r="Q177" s="1"/>
      <c r="R177" s="1"/>
      <c r="S177" s="1"/>
      <c r="T177" s="1"/>
    </row>
    <row r="178" spans="4:20" s="1201" customFormat="1" ht="15">
      <c r="D178" s="1"/>
      <c r="E178" s="1207"/>
      <c r="F178" s="1"/>
      <c r="G178" s="1"/>
      <c r="H178" s="1"/>
      <c r="I178" s="1"/>
      <c r="J178" s="1"/>
      <c r="K178" s="1"/>
      <c r="L178" s="1"/>
      <c r="M178" s="1"/>
      <c r="N178" s="1"/>
      <c r="O178" s="1"/>
      <c r="P178" s="1"/>
      <c r="Q178" s="1"/>
      <c r="R178" s="1"/>
      <c r="S178" s="1"/>
      <c r="T178" s="1"/>
    </row>
    <row r="179" spans="4:20" s="1201" customFormat="1" ht="15">
      <c r="D179" s="1"/>
      <c r="E179" s="1207"/>
      <c r="F179" s="1"/>
      <c r="G179" s="1"/>
      <c r="H179" s="1"/>
      <c r="I179" s="1"/>
      <c r="J179" s="1"/>
      <c r="K179" s="1"/>
      <c r="L179" s="1"/>
      <c r="M179" s="1"/>
      <c r="N179" s="1"/>
      <c r="O179" s="1"/>
      <c r="P179" s="1"/>
      <c r="Q179" s="1"/>
      <c r="R179" s="1"/>
      <c r="S179" s="1"/>
      <c r="T179" s="1"/>
    </row>
    <row r="180" spans="4:20" s="1201" customFormat="1" ht="15">
      <c r="D180" s="1"/>
      <c r="E180" s="1207"/>
      <c r="F180" s="1"/>
      <c r="G180" s="1"/>
      <c r="H180" s="1"/>
      <c r="I180" s="1"/>
      <c r="J180" s="1"/>
      <c r="K180" s="1"/>
      <c r="L180" s="1"/>
      <c r="M180" s="1"/>
      <c r="N180" s="1"/>
      <c r="O180" s="1"/>
      <c r="P180" s="1"/>
      <c r="Q180" s="1"/>
      <c r="R180" s="1"/>
      <c r="S180" s="1"/>
      <c r="T180" s="1"/>
    </row>
    <row r="181" spans="4:20" s="1201" customFormat="1" ht="15">
      <c r="D181" s="1"/>
      <c r="E181" s="1207"/>
      <c r="F181" s="1"/>
      <c r="G181" s="1"/>
      <c r="H181" s="1"/>
      <c r="I181" s="1"/>
      <c r="J181" s="1"/>
      <c r="K181" s="1"/>
      <c r="L181" s="1"/>
      <c r="M181" s="1"/>
      <c r="N181" s="1"/>
      <c r="O181" s="1"/>
      <c r="P181" s="1"/>
      <c r="Q181" s="1"/>
      <c r="R181" s="1"/>
      <c r="S181" s="1"/>
      <c r="T181" s="1"/>
    </row>
    <row r="182" spans="4:20" s="1201" customFormat="1" ht="15">
      <c r="D182" s="1"/>
      <c r="E182" s="1207"/>
      <c r="F182" s="1"/>
      <c r="G182" s="1"/>
      <c r="H182" s="1"/>
      <c r="I182" s="1"/>
      <c r="J182" s="1"/>
      <c r="K182" s="1"/>
      <c r="L182" s="1"/>
      <c r="M182" s="1"/>
      <c r="N182" s="1"/>
      <c r="O182" s="1"/>
      <c r="P182" s="1"/>
      <c r="Q182" s="1"/>
      <c r="R182" s="1"/>
      <c r="S182" s="1"/>
      <c r="T182" s="1"/>
    </row>
    <row r="183" spans="4:20" s="1201" customFormat="1" ht="15">
      <c r="D183" s="1"/>
      <c r="E183" s="1207"/>
      <c r="F183" s="1"/>
      <c r="G183" s="1"/>
      <c r="H183" s="1"/>
      <c r="I183" s="1"/>
      <c r="J183" s="1"/>
      <c r="K183" s="1"/>
      <c r="L183" s="1"/>
      <c r="M183" s="1"/>
      <c r="N183" s="1"/>
      <c r="O183" s="1"/>
      <c r="P183" s="1"/>
      <c r="Q183" s="1"/>
      <c r="R183" s="1"/>
      <c r="S183" s="1"/>
      <c r="T183" s="1"/>
    </row>
    <row r="184" spans="4:20" s="1201" customFormat="1" ht="15">
      <c r="D184" s="1"/>
      <c r="E184" s="1207"/>
      <c r="F184" s="1"/>
      <c r="G184" s="1"/>
      <c r="H184" s="1"/>
      <c r="I184" s="1"/>
      <c r="J184" s="1"/>
      <c r="K184" s="1"/>
      <c r="L184" s="1"/>
      <c r="M184" s="1"/>
      <c r="N184" s="1"/>
      <c r="O184" s="1"/>
      <c r="P184" s="1"/>
      <c r="Q184" s="1"/>
      <c r="R184" s="1"/>
      <c r="S184" s="1"/>
      <c r="T184" s="1"/>
    </row>
    <row r="185" spans="4:20" s="1201" customFormat="1" ht="15">
      <c r="D185" s="1"/>
      <c r="E185" s="1207"/>
      <c r="F185" s="1"/>
      <c r="G185" s="1"/>
      <c r="H185" s="1"/>
      <c r="I185" s="1"/>
      <c r="J185" s="1"/>
      <c r="K185" s="1"/>
      <c r="L185" s="1"/>
      <c r="M185" s="1"/>
      <c r="N185" s="1"/>
      <c r="O185" s="1"/>
      <c r="P185" s="1"/>
      <c r="Q185" s="1"/>
      <c r="R185" s="1"/>
      <c r="S185" s="1"/>
      <c r="T185" s="1"/>
    </row>
    <row r="186" spans="4:20" s="1201" customFormat="1" ht="15">
      <c r="D186" s="1"/>
      <c r="E186" s="1207"/>
      <c r="F186" s="1"/>
      <c r="G186" s="1"/>
      <c r="H186" s="1"/>
      <c r="I186" s="1"/>
      <c r="J186" s="1"/>
      <c r="K186" s="1"/>
      <c r="L186" s="1"/>
      <c r="M186" s="1"/>
      <c r="N186" s="1"/>
      <c r="O186" s="1"/>
      <c r="P186" s="1"/>
      <c r="Q186" s="1"/>
      <c r="R186" s="1"/>
      <c r="S186" s="1"/>
      <c r="T186" s="1"/>
    </row>
    <row r="187" spans="4:20" s="1201" customFormat="1" ht="15">
      <c r="D187" s="1"/>
      <c r="E187" s="1207"/>
      <c r="F187" s="1"/>
      <c r="G187" s="1"/>
      <c r="H187" s="1"/>
      <c r="I187" s="1"/>
      <c r="J187" s="1"/>
      <c r="K187" s="1"/>
      <c r="L187" s="1"/>
      <c r="M187" s="1"/>
      <c r="N187" s="1"/>
      <c r="O187" s="1"/>
      <c r="P187" s="1"/>
      <c r="Q187" s="1"/>
      <c r="R187" s="1"/>
      <c r="S187" s="1"/>
      <c r="T187" s="1"/>
    </row>
    <row r="188" spans="4:20" s="1201" customFormat="1" ht="15">
      <c r="D188" s="1"/>
      <c r="E188" s="1207"/>
      <c r="F188" s="1"/>
      <c r="G188" s="1"/>
      <c r="H188" s="1"/>
      <c r="I188" s="1"/>
      <c r="J188" s="1"/>
      <c r="K188" s="1"/>
      <c r="L188" s="1"/>
      <c r="M188" s="1"/>
      <c r="N188" s="1"/>
      <c r="O188" s="1"/>
      <c r="P188" s="1"/>
      <c r="Q188" s="1"/>
      <c r="R188" s="1"/>
      <c r="S188" s="1"/>
      <c r="T188" s="1"/>
    </row>
    <row r="189" spans="4:20" s="1201" customFormat="1" ht="15">
      <c r="D189" s="1"/>
      <c r="E189" s="1207"/>
      <c r="F189" s="1"/>
      <c r="G189" s="1"/>
      <c r="H189" s="1"/>
      <c r="I189" s="1"/>
      <c r="J189" s="1"/>
      <c r="K189" s="1"/>
      <c r="L189" s="1"/>
      <c r="M189" s="1"/>
      <c r="N189" s="1"/>
      <c r="O189" s="1"/>
      <c r="P189" s="1"/>
      <c r="Q189" s="1"/>
      <c r="R189" s="1"/>
      <c r="S189" s="1"/>
      <c r="T189" s="1"/>
    </row>
    <row r="190" spans="4:20" s="1201" customFormat="1" ht="15">
      <c r="D190" s="1"/>
      <c r="E190" s="1207"/>
      <c r="F190" s="1"/>
      <c r="G190" s="1"/>
      <c r="H190" s="1"/>
      <c r="I190" s="1"/>
      <c r="J190" s="1"/>
      <c r="K190" s="1"/>
      <c r="L190" s="1"/>
      <c r="M190" s="1"/>
      <c r="N190" s="1"/>
      <c r="O190" s="1"/>
      <c r="P190" s="1"/>
      <c r="Q190" s="1"/>
      <c r="R190" s="1"/>
      <c r="S190" s="1"/>
      <c r="T190" s="1"/>
    </row>
    <row r="191" spans="4:20" s="1201" customFormat="1" ht="15">
      <c r="D191" s="1"/>
      <c r="E191" s="1207"/>
      <c r="F191" s="1"/>
      <c r="G191" s="1"/>
      <c r="H191" s="1"/>
      <c r="I191" s="1"/>
      <c r="J191" s="1"/>
      <c r="K191" s="1"/>
      <c r="L191" s="1"/>
      <c r="M191" s="1"/>
      <c r="N191" s="1"/>
      <c r="O191" s="1"/>
      <c r="P191" s="1"/>
      <c r="Q191" s="1"/>
      <c r="R191" s="1"/>
      <c r="S191" s="1"/>
      <c r="T191" s="1"/>
    </row>
    <row r="192" spans="4:20" s="1201" customFormat="1" ht="15">
      <c r="D192" s="1"/>
      <c r="E192" s="1207"/>
      <c r="F192" s="1"/>
      <c r="G192" s="1"/>
      <c r="H192" s="1"/>
      <c r="I192" s="1"/>
      <c r="J192" s="1"/>
      <c r="K192" s="1"/>
      <c r="L192" s="1"/>
      <c r="M192" s="1"/>
      <c r="N192" s="1"/>
      <c r="O192" s="1"/>
      <c r="P192" s="1"/>
      <c r="Q192" s="1"/>
      <c r="R192" s="1"/>
      <c r="S192" s="1"/>
      <c r="T192" s="1"/>
    </row>
    <row r="193" spans="4:20" s="1201" customFormat="1" ht="15">
      <c r="D193" s="1"/>
      <c r="E193" s="1207"/>
      <c r="F193" s="1"/>
      <c r="G193" s="1"/>
      <c r="H193" s="1"/>
      <c r="I193" s="1"/>
      <c r="J193" s="1"/>
      <c r="K193" s="1"/>
      <c r="L193" s="1"/>
      <c r="M193" s="1"/>
      <c r="N193" s="1"/>
      <c r="O193" s="1"/>
      <c r="P193" s="1"/>
      <c r="Q193" s="1"/>
      <c r="R193" s="1"/>
      <c r="S193" s="1"/>
      <c r="T193" s="1"/>
    </row>
    <row r="194" spans="4:20" s="1201" customFormat="1" ht="15">
      <c r="D194" s="1"/>
      <c r="E194" s="1207"/>
      <c r="F194" s="1"/>
      <c r="G194" s="1"/>
      <c r="H194" s="1"/>
      <c r="I194" s="1"/>
      <c r="J194" s="1"/>
      <c r="K194" s="1"/>
      <c r="L194" s="1"/>
      <c r="M194" s="1"/>
      <c r="N194" s="1"/>
      <c r="O194" s="1"/>
      <c r="P194" s="1"/>
      <c r="Q194" s="1"/>
      <c r="R194" s="1"/>
      <c r="S194" s="1"/>
      <c r="T194" s="1"/>
    </row>
    <row r="195" spans="4:20" s="1201" customFormat="1" ht="15">
      <c r="D195" s="1"/>
      <c r="E195" s="1207"/>
      <c r="F195" s="1"/>
      <c r="G195" s="1"/>
      <c r="H195" s="1"/>
      <c r="I195" s="1"/>
      <c r="J195" s="1"/>
      <c r="K195" s="1"/>
      <c r="L195" s="1"/>
      <c r="M195" s="1"/>
      <c r="N195" s="1"/>
      <c r="O195" s="1"/>
      <c r="P195" s="1"/>
      <c r="Q195" s="1"/>
      <c r="R195" s="1"/>
      <c r="S195" s="1"/>
      <c r="T195" s="1"/>
    </row>
    <row r="196" spans="4:20" s="1201" customFormat="1" ht="15">
      <c r="D196" s="1"/>
      <c r="E196" s="1207"/>
      <c r="F196" s="1"/>
      <c r="G196" s="1"/>
      <c r="H196" s="1"/>
      <c r="I196" s="1"/>
      <c r="J196" s="1"/>
      <c r="K196" s="1"/>
      <c r="L196" s="1"/>
      <c r="M196" s="1"/>
      <c r="N196" s="1"/>
      <c r="O196" s="1"/>
      <c r="P196" s="1"/>
      <c r="Q196" s="1"/>
      <c r="R196" s="1"/>
      <c r="S196" s="1"/>
      <c r="T196" s="1"/>
    </row>
    <row r="197" spans="4:20" s="1201" customFormat="1" ht="15">
      <c r="D197" s="1"/>
      <c r="E197" s="1207"/>
      <c r="F197" s="1"/>
      <c r="G197" s="1"/>
      <c r="H197" s="1"/>
      <c r="I197" s="1"/>
      <c r="J197" s="1"/>
      <c r="K197" s="1"/>
      <c r="L197" s="1"/>
      <c r="M197" s="1"/>
      <c r="N197" s="1"/>
      <c r="O197" s="1"/>
      <c r="P197" s="1"/>
      <c r="Q197" s="1"/>
      <c r="R197" s="1"/>
      <c r="S197" s="1"/>
      <c r="T197" s="1"/>
    </row>
    <row r="198" spans="4:20" s="1201" customFormat="1" ht="15">
      <c r="D198" s="1"/>
      <c r="E198" s="1207"/>
      <c r="F198" s="1"/>
      <c r="G198" s="1"/>
      <c r="H198" s="1"/>
      <c r="I198" s="1"/>
      <c r="J198" s="1"/>
      <c r="K198" s="1"/>
      <c r="L198" s="1"/>
      <c r="M198" s="1"/>
      <c r="N198" s="1"/>
      <c r="O198" s="1"/>
      <c r="P198" s="1"/>
      <c r="Q198" s="1"/>
      <c r="R198" s="1"/>
      <c r="S198" s="1"/>
      <c r="T198" s="1"/>
    </row>
    <row r="199" spans="4:20" s="1201" customFormat="1" ht="15">
      <c r="D199" s="1"/>
      <c r="E199" s="1207"/>
      <c r="F199" s="1"/>
      <c r="G199" s="1"/>
      <c r="H199" s="1"/>
      <c r="I199" s="1"/>
      <c r="J199" s="1"/>
      <c r="K199" s="1"/>
      <c r="L199" s="1"/>
      <c r="M199" s="1"/>
      <c r="N199" s="1"/>
      <c r="O199" s="1"/>
      <c r="P199" s="1"/>
      <c r="Q199" s="1"/>
      <c r="R199" s="1"/>
      <c r="S199" s="1"/>
      <c r="T199" s="1"/>
    </row>
    <row r="200" spans="4:20" s="1201" customFormat="1" ht="15">
      <c r="D200" s="1"/>
      <c r="E200" s="1207"/>
      <c r="F200" s="1"/>
      <c r="G200" s="1"/>
      <c r="H200" s="1"/>
      <c r="I200" s="1"/>
      <c r="J200" s="1"/>
      <c r="K200" s="1"/>
      <c r="L200" s="1"/>
      <c r="M200" s="1"/>
      <c r="N200" s="1"/>
      <c r="O200" s="1"/>
      <c r="P200" s="1"/>
      <c r="Q200" s="1"/>
      <c r="R200" s="1"/>
      <c r="S200" s="1"/>
      <c r="T200" s="1"/>
    </row>
    <row r="201" spans="4:20" s="1201" customFormat="1" ht="15">
      <c r="D201" s="1"/>
      <c r="E201" s="1207"/>
      <c r="F201" s="1"/>
      <c r="G201" s="1"/>
      <c r="H201" s="1"/>
      <c r="I201" s="1"/>
      <c r="J201" s="1"/>
      <c r="K201" s="1"/>
      <c r="L201" s="1"/>
      <c r="M201" s="1"/>
      <c r="N201" s="1"/>
      <c r="O201" s="1"/>
      <c r="P201" s="1"/>
      <c r="Q201" s="1"/>
      <c r="R201" s="1"/>
      <c r="S201" s="1"/>
      <c r="T201" s="1"/>
    </row>
    <row r="202" spans="4:20" s="1201" customFormat="1" ht="15">
      <c r="D202" s="1"/>
      <c r="E202" s="1207"/>
      <c r="F202" s="1"/>
      <c r="G202" s="1"/>
      <c r="H202" s="1"/>
      <c r="I202" s="1"/>
      <c r="J202" s="1"/>
      <c r="K202" s="1"/>
      <c r="L202" s="1"/>
      <c r="M202" s="1"/>
      <c r="N202" s="1"/>
      <c r="O202" s="1"/>
      <c r="P202" s="1"/>
      <c r="Q202" s="1"/>
      <c r="R202" s="1"/>
      <c r="S202" s="1"/>
      <c r="T202" s="1"/>
    </row>
    <row r="203" spans="4:20" s="1201" customFormat="1" ht="15">
      <c r="D203" s="1"/>
      <c r="E203" s="1207"/>
      <c r="F203" s="1"/>
      <c r="G203" s="1"/>
      <c r="H203" s="1"/>
      <c r="I203" s="1"/>
      <c r="J203" s="1"/>
      <c r="K203" s="1"/>
      <c r="L203" s="1"/>
      <c r="M203" s="1"/>
      <c r="N203" s="1"/>
      <c r="O203" s="1"/>
      <c r="P203" s="1"/>
      <c r="Q203" s="1"/>
      <c r="R203" s="1"/>
      <c r="S203" s="1"/>
      <c r="T203" s="1"/>
    </row>
    <row r="204" spans="4:20" s="1201" customFormat="1" ht="15">
      <c r="D204" s="1"/>
      <c r="E204" s="1207"/>
      <c r="F204" s="1"/>
      <c r="G204" s="1"/>
      <c r="H204" s="1"/>
      <c r="I204" s="1"/>
      <c r="J204" s="1"/>
      <c r="K204" s="1"/>
      <c r="L204" s="1"/>
      <c r="M204" s="1"/>
      <c r="N204" s="1"/>
      <c r="O204" s="1"/>
      <c r="P204" s="1"/>
      <c r="Q204" s="1"/>
      <c r="R204" s="1"/>
      <c r="S204" s="1"/>
      <c r="T204" s="1"/>
    </row>
    <row r="205" spans="4:20" s="1201" customFormat="1" ht="15">
      <c r="D205" s="1"/>
      <c r="E205" s="1207"/>
      <c r="F205" s="1"/>
      <c r="G205" s="1"/>
      <c r="H205" s="1"/>
      <c r="I205" s="1"/>
      <c r="J205" s="1"/>
      <c r="K205" s="1"/>
      <c r="L205" s="1"/>
      <c r="M205" s="1"/>
      <c r="N205" s="1"/>
      <c r="O205" s="1"/>
      <c r="P205" s="1"/>
      <c r="Q205" s="1"/>
      <c r="R205" s="1"/>
      <c r="S205" s="1"/>
      <c r="T205" s="1"/>
    </row>
    <row r="206" spans="4:20" s="1201" customFormat="1" ht="15">
      <c r="D206" s="1"/>
      <c r="E206" s="1207"/>
      <c r="F206" s="1"/>
      <c r="G206" s="1"/>
      <c r="H206" s="1"/>
      <c r="I206" s="1"/>
      <c r="J206" s="1"/>
      <c r="K206" s="1"/>
      <c r="L206" s="1"/>
      <c r="M206" s="1"/>
      <c r="N206" s="1"/>
      <c r="O206" s="1"/>
      <c r="P206" s="1"/>
      <c r="Q206" s="1"/>
      <c r="R206" s="1"/>
      <c r="S206" s="1"/>
      <c r="T206" s="1"/>
    </row>
    <row r="207" spans="4:20" s="1201" customFormat="1" ht="15">
      <c r="D207" s="1"/>
      <c r="E207" s="1207"/>
      <c r="F207" s="1"/>
      <c r="G207" s="1"/>
      <c r="H207" s="1"/>
      <c r="I207" s="1"/>
      <c r="J207" s="1"/>
      <c r="K207" s="1"/>
      <c r="L207" s="1"/>
      <c r="M207" s="1"/>
      <c r="N207" s="1"/>
      <c r="O207" s="1"/>
      <c r="P207" s="1"/>
      <c r="Q207" s="1"/>
      <c r="R207" s="1"/>
      <c r="S207" s="1"/>
      <c r="T207" s="1"/>
    </row>
    <row r="208" spans="4:20" s="1201" customFormat="1" ht="15">
      <c r="D208" s="1"/>
      <c r="E208" s="1207"/>
      <c r="F208" s="1"/>
      <c r="G208" s="1"/>
      <c r="H208" s="1"/>
      <c r="I208" s="1"/>
      <c r="J208" s="1"/>
      <c r="K208" s="1"/>
      <c r="L208" s="1"/>
      <c r="M208" s="1"/>
      <c r="N208" s="1"/>
      <c r="O208" s="1"/>
      <c r="P208" s="1"/>
      <c r="Q208" s="1"/>
      <c r="R208" s="1"/>
      <c r="S208" s="1"/>
      <c r="T208" s="1"/>
    </row>
    <row r="209" spans="4:20" s="1201" customFormat="1" ht="15">
      <c r="D209" s="1"/>
      <c r="E209" s="1207"/>
      <c r="F209" s="1"/>
      <c r="G209" s="1"/>
      <c r="H209" s="1"/>
      <c r="I209" s="1"/>
      <c r="J209" s="1"/>
      <c r="K209" s="1"/>
      <c r="L209" s="1"/>
      <c r="M209" s="1"/>
      <c r="N209" s="1"/>
      <c r="O209" s="1"/>
      <c r="P209" s="1"/>
      <c r="Q209" s="1"/>
      <c r="R209" s="1"/>
      <c r="S209" s="1"/>
      <c r="T209" s="1"/>
    </row>
    <row r="210" spans="4:20" s="1201" customFormat="1" ht="15">
      <c r="D210" s="1"/>
      <c r="E210" s="1207"/>
      <c r="F210" s="1"/>
      <c r="G210" s="1"/>
      <c r="H210" s="1"/>
      <c r="I210" s="1"/>
      <c r="J210" s="1"/>
      <c r="K210" s="1"/>
      <c r="L210" s="1"/>
      <c r="M210" s="1"/>
      <c r="N210" s="1"/>
      <c r="O210" s="1"/>
      <c r="P210" s="1"/>
      <c r="Q210" s="1"/>
      <c r="R210" s="1"/>
      <c r="S210" s="1"/>
      <c r="T210" s="1"/>
    </row>
    <row r="211" spans="4:20" s="1201" customFormat="1" ht="15">
      <c r="D211" s="1"/>
      <c r="E211" s="1207"/>
      <c r="F211" s="1"/>
      <c r="G211" s="1"/>
      <c r="H211" s="1"/>
      <c r="I211" s="1"/>
      <c r="J211" s="1"/>
      <c r="K211" s="1"/>
      <c r="L211" s="1"/>
      <c r="M211" s="1"/>
      <c r="N211" s="1"/>
      <c r="O211" s="1"/>
      <c r="P211" s="1"/>
      <c r="Q211" s="1"/>
      <c r="R211" s="1"/>
      <c r="S211" s="1"/>
      <c r="T211" s="1"/>
    </row>
    <row r="212" spans="4:20" s="1201" customFormat="1" ht="15">
      <c r="D212" s="1"/>
      <c r="E212" s="1207"/>
      <c r="F212" s="1"/>
      <c r="G212" s="1"/>
      <c r="H212" s="1"/>
      <c r="I212" s="1"/>
      <c r="J212" s="1"/>
      <c r="K212" s="1"/>
      <c r="L212" s="1"/>
      <c r="M212" s="1"/>
      <c r="N212" s="1"/>
      <c r="O212" s="1"/>
      <c r="P212" s="1"/>
      <c r="Q212" s="1"/>
      <c r="R212" s="1"/>
      <c r="S212" s="1"/>
      <c r="T212" s="1"/>
    </row>
    <row r="213" spans="4:20" s="1201" customFormat="1" ht="15">
      <c r="D213" s="1"/>
      <c r="E213" s="1207"/>
      <c r="F213" s="1"/>
      <c r="G213" s="1"/>
      <c r="H213" s="1"/>
      <c r="I213" s="1"/>
      <c r="J213" s="1"/>
      <c r="K213" s="1"/>
      <c r="L213" s="1"/>
      <c r="M213" s="1"/>
      <c r="N213" s="1"/>
      <c r="O213" s="1"/>
      <c r="P213" s="1"/>
      <c r="Q213" s="1"/>
      <c r="R213" s="1"/>
      <c r="S213" s="1"/>
      <c r="T213" s="1"/>
    </row>
    <row r="214" spans="4:20" s="1201" customFormat="1" ht="15">
      <c r="D214" s="1"/>
      <c r="E214" s="1207"/>
      <c r="F214" s="1"/>
      <c r="G214" s="1"/>
      <c r="H214" s="1"/>
      <c r="I214" s="1"/>
      <c r="J214" s="1"/>
      <c r="K214" s="1"/>
      <c r="L214" s="1"/>
      <c r="M214" s="1"/>
      <c r="N214" s="1"/>
      <c r="O214" s="1"/>
      <c r="P214" s="1"/>
      <c r="Q214" s="1"/>
      <c r="R214" s="1"/>
      <c r="S214" s="1"/>
      <c r="T214" s="1"/>
    </row>
    <row r="215" spans="4:20" s="1201" customFormat="1" ht="15">
      <c r="D215" s="1"/>
      <c r="E215" s="1207"/>
      <c r="F215" s="1"/>
      <c r="G215" s="1"/>
      <c r="H215" s="1"/>
      <c r="I215" s="1"/>
      <c r="J215" s="1"/>
      <c r="K215" s="1"/>
      <c r="L215" s="1"/>
      <c r="M215" s="1"/>
      <c r="N215" s="1"/>
      <c r="O215" s="1"/>
      <c r="P215" s="1"/>
      <c r="Q215" s="1"/>
      <c r="R215" s="1"/>
      <c r="S215" s="1"/>
      <c r="T215" s="1"/>
    </row>
    <row r="216" spans="4:20" s="1201" customFormat="1" ht="15">
      <c r="D216" s="1"/>
      <c r="E216" s="1207"/>
      <c r="F216" s="1"/>
      <c r="G216" s="1"/>
      <c r="H216" s="1"/>
      <c r="I216" s="1"/>
      <c r="J216" s="1"/>
      <c r="K216" s="1"/>
      <c r="L216" s="1"/>
      <c r="M216" s="1"/>
      <c r="N216" s="1"/>
      <c r="O216" s="1"/>
      <c r="P216" s="1"/>
      <c r="Q216" s="1"/>
      <c r="R216" s="1"/>
      <c r="S216" s="1"/>
      <c r="T216" s="1"/>
    </row>
    <row r="217" spans="4:20" s="1201" customFormat="1" ht="15">
      <c r="D217" s="1"/>
      <c r="E217" s="1207"/>
      <c r="F217" s="1"/>
      <c r="G217" s="1"/>
      <c r="H217" s="1"/>
      <c r="I217" s="1"/>
      <c r="J217" s="1"/>
      <c r="K217" s="1"/>
      <c r="L217" s="1"/>
      <c r="M217" s="1"/>
      <c r="N217" s="1"/>
      <c r="O217" s="1"/>
      <c r="P217" s="1"/>
      <c r="Q217" s="1"/>
      <c r="R217" s="1"/>
      <c r="S217" s="1"/>
      <c r="T217" s="1"/>
    </row>
    <row r="218" spans="4:20" s="1201" customFormat="1" ht="15">
      <c r="D218" s="1"/>
      <c r="E218" s="1207"/>
      <c r="F218" s="1"/>
      <c r="G218" s="1"/>
      <c r="H218" s="1"/>
      <c r="I218" s="1"/>
      <c r="J218" s="1"/>
      <c r="K218" s="1"/>
      <c r="L218" s="1"/>
      <c r="M218" s="1"/>
      <c r="N218" s="1"/>
      <c r="O218" s="1"/>
      <c r="P218" s="1"/>
      <c r="Q218" s="1"/>
      <c r="R218" s="1"/>
      <c r="S218" s="1"/>
      <c r="T218" s="1"/>
    </row>
    <row r="219" spans="4:20" s="1201" customFormat="1" ht="15">
      <c r="D219" s="1"/>
      <c r="E219" s="1207"/>
      <c r="F219" s="1"/>
      <c r="G219" s="1"/>
      <c r="H219" s="1"/>
      <c r="I219" s="1"/>
      <c r="J219" s="1"/>
      <c r="K219" s="1"/>
      <c r="L219" s="1"/>
      <c r="M219" s="1"/>
      <c r="N219" s="1"/>
      <c r="O219" s="1"/>
      <c r="P219" s="1"/>
      <c r="Q219" s="1"/>
      <c r="R219" s="1"/>
      <c r="S219" s="1"/>
      <c r="T219" s="1"/>
    </row>
    <row r="220" spans="4:20" s="1201" customFormat="1" ht="15">
      <c r="D220" s="1"/>
      <c r="E220" s="1207"/>
      <c r="F220" s="1"/>
      <c r="G220" s="1"/>
      <c r="H220" s="1"/>
      <c r="I220" s="1"/>
      <c r="J220" s="1"/>
      <c r="K220" s="1"/>
      <c r="L220" s="1"/>
      <c r="M220" s="1"/>
      <c r="N220" s="1"/>
      <c r="O220" s="1"/>
      <c r="P220" s="1"/>
      <c r="Q220" s="1"/>
      <c r="R220" s="1"/>
      <c r="S220" s="1"/>
      <c r="T220" s="1"/>
    </row>
    <row r="221" spans="4:20" s="1201" customFormat="1" ht="15">
      <c r="D221" s="1"/>
      <c r="E221" s="1207"/>
      <c r="F221" s="1"/>
      <c r="G221" s="1"/>
      <c r="H221" s="1"/>
      <c r="I221" s="1"/>
      <c r="J221" s="1"/>
      <c r="K221" s="1"/>
      <c r="L221" s="1"/>
      <c r="M221" s="1"/>
      <c r="N221" s="1"/>
      <c r="O221" s="1"/>
      <c r="P221" s="1"/>
      <c r="Q221" s="1"/>
      <c r="R221" s="1"/>
      <c r="S221" s="1"/>
      <c r="T221" s="1"/>
    </row>
    <row r="222" spans="4:20" s="1201" customFormat="1" ht="15">
      <c r="D222" s="1"/>
      <c r="E222" s="1207"/>
      <c r="F222" s="1"/>
      <c r="G222" s="1"/>
      <c r="H222" s="1"/>
      <c r="I222" s="1"/>
      <c r="J222" s="1"/>
      <c r="K222" s="1"/>
      <c r="L222" s="1"/>
      <c r="M222" s="1"/>
      <c r="N222" s="1"/>
      <c r="O222" s="1"/>
      <c r="P222" s="1"/>
      <c r="Q222" s="1"/>
      <c r="R222" s="1"/>
      <c r="S222" s="1"/>
      <c r="T222" s="1"/>
    </row>
    <row r="223" spans="4:20" s="1201" customFormat="1" ht="15">
      <c r="D223" s="1"/>
      <c r="E223" s="1207"/>
      <c r="F223" s="1"/>
      <c r="G223" s="1"/>
      <c r="H223" s="1"/>
      <c r="I223" s="1"/>
      <c r="J223" s="1"/>
      <c r="K223" s="1"/>
      <c r="L223" s="1"/>
      <c r="M223" s="1"/>
      <c r="N223" s="1"/>
      <c r="O223" s="1"/>
      <c r="P223" s="1"/>
      <c r="Q223" s="1"/>
      <c r="R223" s="1"/>
      <c r="S223" s="1"/>
      <c r="T223" s="1"/>
    </row>
    <row r="224" spans="4:20" s="1201" customFormat="1" ht="15">
      <c r="D224" s="1"/>
      <c r="E224" s="1207"/>
      <c r="F224" s="1"/>
      <c r="G224" s="1"/>
      <c r="H224" s="1"/>
      <c r="I224" s="1"/>
      <c r="J224" s="1"/>
      <c r="K224" s="1"/>
      <c r="L224" s="1"/>
      <c r="M224" s="1"/>
      <c r="N224" s="1"/>
      <c r="O224" s="1"/>
      <c r="P224" s="1"/>
      <c r="Q224" s="1"/>
      <c r="R224" s="1"/>
      <c r="S224" s="1"/>
      <c r="T224" s="1"/>
    </row>
    <row r="225" spans="4:20" s="1201" customFormat="1" ht="15">
      <c r="D225" s="1"/>
      <c r="E225" s="1207"/>
      <c r="F225" s="1"/>
      <c r="G225" s="1"/>
      <c r="H225" s="1"/>
      <c r="I225" s="1"/>
      <c r="J225" s="1"/>
      <c r="K225" s="1"/>
      <c r="L225" s="1"/>
      <c r="M225" s="1"/>
      <c r="N225" s="1"/>
      <c r="O225" s="1"/>
      <c r="P225" s="1"/>
      <c r="Q225" s="1"/>
      <c r="R225" s="1"/>
      <c r="S225" s="1"/>
      <c r="T225" s="1"/>
    </row>
    <row r="226" spans="4:20" s="1201" customFormat="1" ht="15">
      <c r="D226" s="1"/>
      <c r="E226" s="1207"/>
      <c r="F226" s="1"/>
      <c r="G226" s="1"/>
      <c r="H226" s="1"/>
      <c r="I226" s="1"/>
      <c r="J226" s="1"/>
      <c r="K226" s="1"/>
      <c r="L226" s="1"/>
      <c r="M226" s="1"/>
      <c r="N226" s="1"/>
      <c r="O226" s="1"/>
      <c r="P226" s="1"/>
      <c r="Q226" s="1"/>
      <c r="R226" s="1"/>
      <c r="S226" s="1"/>
      <c r="T226" s="1"/>
    </row>
    <row r="227" spans="4:20" s="1201" customFormat="1" ht="15">
      <c r="D227" s="1"/>
      <c r="E227" s="1207"/>
      <c r="F227" s="1"/>
      <c r="G227" s="1"/>
      <c r="H227" s="1"/>
      <c r="I227" s="1"/>
      <c r="J227" s="1"/>
      <c r="K227" s="1"/>
      <c r="L227" s="1"/>
      <c r="M227" s="1"/>
      <c r="N227" s="1"/>
      <c r="O227" s="1"/>
      <c r="P227" s="1"/>
      <c r="Q227" s="1"/>
      <c r="R227" s="1"/>
      <c r="S227" s="1"/>
      <c r="T227" s="1"/>
    </row>
    <row r="228" spans="4:20" s="1201" customFormat="1" ht="15">
      <c r="D228" s="1"/>
      <c r="E228" s="1207"/>
      <c r="F228" s="1"/>
      <c r="G228" s="1"/>
      <c r="H228" s="1"/>
      <c r="I228" s="1"/>
      <c r="J228" s="1"/>
      <c r="K228" s="1"/>
      <c r="L228" s="1"/>
      <c r="M228" s="1"/>
      <c r="N228" s="1"/>
      <c r="O228" s="1"/>
      <c r="P228" s="1"/>
      <c r="Q228" s="1"/>
      <c r="R228" s="1"/>
      <c r="S228" s="1"/>
      <c r="T228" s="1"/>
    </row>
    <row r="229" spans="4:20" s="1201" customFormat="1" ht="15">
      <c r="D229" s="1"/>
      <c r="E229" s="1207"/>
      <c r="F229" s="1"/>
      <c r="G229" s="1"/>
      <c r="H229" s="1"/>
      <c r="I229" s="1"/>
      <c r="J229" s="1"/>
      <c r="K229" s="1"/>
      <c r="L229" s="1"/>
      <c r="M229" s="1"/>
      <c r="N229" s="1"/>
      <c r="O229" s="1"/>
      <c r="P229" s="1"/>
      <c r="Q229" s="1"/>
      <c r="R229" s="1"/>
      <c r="S229" s="1"/>
      <c r="T229" s="1"/>
    </row>
    <row r="230" spans="4:20" s="1201" customFormat="1" ht="15">
      <c r="D230" s="1"/>
      <c r="E230" s="1207"/>
      <c r="F230" s="1"/>
      <c r="G230" s="1"/>
      <c r="H230" s="1"/>
      <c r="I230" s="1"/>
      <c r="J230" s="1"/>
      <c r="K230" s="1"/>
      <c r="L230" s="1"/>
      <c r="M230" s="1"/>
      <c r="N230" s="1"/>
      <c r="O230" s="1"/>
      <c r="P230" s="1"/>
      <c r="Q230" s="1"/>
      <c r="R230" s="1"/>
      <c r="S230" s="1"/>
      <c r="T230" s="1"/>
    </row>
    <row r="231" spans="4:20" s="1201" customFormat="1" ht="15">
      <c r="D231" s="1"/>
      <c r="E231" s="1207"/>
      <c r="F231" s="1"/>
      <c r="G231" s="1"/>
      <c r="H231" s="1"/>
      <c r="I231" s="1"/>
      <c r="J231" s="1"/>
      <c r="K231" s="1"/>
      <c r="L231" s="1"/>
      <c r="M231" s="1"/>
      <c r="N231" s="1"/>
      <c r="O231" s="1"/>
      <c r="P231" s="1"/>
      <c r="Q231" s="1"/>
      <c r="R231" s="1"/>
      <c r="S231" s="1"/>
      <c r="T231" s="1"/>
    </row>
    <row r="232" spans="4:20" s="1201" customFormat="1" ht="15">
      <c r="D232" s="1"/>
      <c r="E232" s="1207"/>
      <c r="F232" s="1"/>
      <c r="G232" s="1"/>
      <c r="H232" s="1"/>
      <c r="I232" s="1"/>
      <c r="J232" s="1"/>
      <c r="K232" s="1"/>
      <c r="L232" s="1"/>
      <c r="M232" s="1"/>
      <c r="N232" s="1"/>
      <c r="O232" s="1"/>
      <c r="P232" s="1"/>
      <c r="Q232" s="1"/>
      <c r="R232" s="1"/>
      <c r="S232" s="1"/>
      <c r="T232" s="1"/>
    </row>
    <row r="233" spans="4:20" s="1201" customFormat="1" ht="15">
      <c r="D233" s="1"/>
      <c r="E233" s="1207"/>
      <c r="F233" s="1"/>
      <c r="G233" s="1"/>
      <c r="H233" s="1"/>
      <c r="I233" s="1"/>
      <c r="J233" s="1"/>
      <c r="K233" s="1"/>
      <c r="L233" s="1"/>
      <c r="M233" s="1"/>
      <c r="N233" s="1"/>
      <c r="O233" s="1"/>
      <c r="P233" s="1"/>
      <c r="Q233" s="1"/>
      <c r="R233" s="1"/>
      <c r="S233" s="1"/>
      <c r="T233" s="1"/>
    </row>
    <row r="234" spans="4:20" s="1201" customFormat="1" ht="15">
      <c r="D234" s="1"/>
      <c r="E234" s="1207"/>
      <c r="F234" s="1"/>
      <c r="G234" s="1"/>
      <c r="H234" s="1"/>
      <c r="I234" s="1"/>
      <c r="J234" s="1"/>
      <c r="K234" s="1"/>
      <c r="L234" s="1"/>
      <c r="M234" s="1"/>
      <c r="N234" s="1"/>
      <c r="O234" s="1"/>
      <c r="P234" s="1"/>
      <c r="Q234" s="1"/>
      <c r="R234" s="1"/>
      <c r="S234" s="1"/>
      <c r="T234" s="1"/>
    </row>
    <row r="235" spans="4:20" s="1201" customFormat="1" ht="15">
      <c r="D235" s="1"/>
      <c r="E235" s="1207"/>
      <c r="F235" s="1"/>
      <c r="G235" s="1"/>
      <c r="H235" s="1"/>
      <c r="I235" s="1"/>
      <c r="J235" s="1"/>
      <c r="K235" s="1"/>
      <c r="L235" s="1"/>
      <c r="M235" s="1"/>
      <c r="N235" s="1"/>
      <c r="O235" s="1"/>
      <c r="P235" s="1"/>
      <c r="Q235" s="1"/>
      <c r="R235" s="1"/>
      <c r="S235" s="1"/>
      <c r="T235" s="1"/>
    </row>
    <row r="236" spans="4:20" s="1201" customFormat="1" ht="15">
      <c r="D236" s="1"/>
      <c r="E236" s="1207"/>
      <c r="F236" s="1"/>
      <c r="G236" s="1"/>
      <c r="H236" s="1"/>
      <c r="I236" s="1"/>
      <c r="J236" s="1"/>
      <c r="K236" s="1"/>
      <c r="L236" s="1"/>
      <c r="M236" s="1"/>
      <c r="N236" s="1"/>
      <c r="O236" s="1"/>
      <c r="P236" s="1"/>
      <c r="Q236" s="1"/>
      <c r="R236" s="1"/>
      <c r="S236" s="1"/>
      <c r="T236" s="1"/>
    </row>
    <row r="237" spans="4:20" s="1201" customFormat="1" ht="15">
      <c r="D237" s="1"/>
      <c r="E237" s="1207"/>
      <c r="F237" s="1"/>
      <c r="G237" s="1"/>
      <c r="H237" s="1"/>
      <c r="I237" s="1"/>
      <c r="J237" s="1"/>
      <c r="K237" s="1"/>
      <c r="L237" s="1"/>
      <c r="M237" s="1"/>
      <c r="N237" s="1"/>
      <c r="O237" s="1"/>
      <c r="P237" s="1"/>
      <c r="Q237" s="1"/>
      <c r="R237" s="1"/>
      <c r="S237" s="1"/>
      <c r="T237" s="1"/>
    </row>
    <row r="238" spans="4:20" s="1201" customFormat="1" ht="15">
      <c r="D238" s="1"/>
      <c r="E238" s="1207"/>
      <c r="F238" s="1"/>
      <c r="G238" s="1"/>
      <c r="H238" s="1"/>
      <c r="I238" s="1"/>
      <c r="J238" s="1"/>
      <c r="K238" s="1"/>
      <c r="L238" s="1"/>
      <c r="M238" s="1"/>
      <c r="N238" s="1"/>
      <c r="O238" s="1"/>
      <c r="P238" s="1"/>
      <c r="Q238" s="1"/>
      <c r="R238" s="1"/>
      <c r="S238" s="1"/>
      <c r="T238" s="1"/>
    </row>
    <row r="239" spans="4:20" s="1201" customFormat="1" ht="15">
      <c r="D239" s="1"/>
      <c r="E239" s="1207"/>
      <c r="F239" s="1"/>
      <c r="G239" s="1"/>
      <c r="H239" s="1"/>
      <c r="I239" s="1"/>
      <c r="J239" s="1"/>
      <c r="K239" s="1"/>
      <c r="L239" s="1"/>
      <c r="M239" s="1"/>
      <c r="N239" s="1"/>
      <c r="O239" s="1"/>
      <c r="P239" s="1"/>
      <c r="Q239" s="1"/>
      <c r="R239" s="1"/>
      <c r="S239" s="1"/>
      <c r="T239" s="1"/>
    </row>
    <row r="240" spans="4:20" s="1201" customFormat="1" ht="15">
      <c r="D240" s="1"/>
      <c r="E240" s="1207"/>
      <c r="F240" s="1"/>
      <c r="G240" s="1"/>
      <c r="H240" s="1"/>
      <c r="I240" s="1"/>
      <c r="J240" s="1"/>
      <c r="K240" s="1"/>
      <c r="L240" s="1"/>
      <c r="M240" s="1"/>
      <c r="N240" s="1"/>
      <c r="O240" s="1"/>
      <c r="P240" s="1"/>
      <c r="Q240" s="1"/>
      <c r="R240" s="1"/>
      <c r="S240" s="1"/>
      <c r="T240" s="1"/>
    </row>
    <row r="241" spans="1:20" s="1201" customFormat="1" ht="15">
      <c r="D241" s="1"/>
      <c r="E241" s="1207"/>
      <c r="F241" s="1"/>
      <c r="G241" s="1"/>
      <c r="H241" s="1"/>
      <c r="I241" s="1"/>
      <c r="J241" s="1"/>
      <c r="K241" s="1"/>
      <c r="L241" s="1"/>
      <c r="M241" s="1"/>
      <c r="N241" s="1"/>
      <c r="O241" s="1"/>
      <c r="P241" s="1"/>
      <c r="Q241" s="1"/>
      <c r="R241" s="1"/>
      <c r="S241" s="1"/>
      <c r="T241" s="1"/>
    </row>
    <row r="242" spans="1:20" s="1201" customFormat="1" ht="15">
      <c r="D242" s="1"/>
      <c r="E242" s="1207"/>
      <c r="F242" s="1"/>
      <c r="G242" s="1"/>
      <c r="H242" s="1"/>
      <c r="I242" s="1"/>
      <c r="J242" s="1"/>
      <c r="K242" s="1"/>
      <c r="L242" s="1"/>
      <c r="M242" s="1"/>
      <c r="N242" s="1"/>
      <c r="O242" s="1"/>
      <c r="P242" s="1"/>
      <c r="Q242" s="1"/>
      <c r="R242" s="1"/>
      <c r="S242" s="1"/>
      <c r="T242" s="1"/>
    </row>
    <row r="243" spans="1:20" s="1201" customFormat="1" ht="15">
      <c r="D243" s="1"/>
      <c r="E243" s="1207"/>
      <c r="F243" s="1"/>
      <c r="G243" s="1"/>
      <c r="H243" s="1"/>
      <c r="I243" s="1"/>
      <c r="J243" s="1"/>
      <c r="K243" s="1"/>
      <c r="L243" s="1"/>
      <c r="M243" s="1"/>
      <c r="N243" s="1"/>
      <c r="O243" s="1"/>
      <c r="P243" s="1"/>
      <c r="Q243" s="1"/>
      <c r="R243" s="1"/>
      <c r="S243" s="1"/>
      <c r="T243" s="1"/>
    </row>
    <row r="244" spans="1:20" s="1201" customFormat="1" ht="15">
      <c r="D244" s="1"/>
      <c r="E244" s="1207"/>
      <c r="F244" s="1"/>
      <c r="G244" s="1"/>
      <c r="H244" s="1"/>
      <c r="I244" s="1"/>
      <c r="J244" s="1"/>
      <c r="K244" s="1"/>
      <c r="L244" s="1"/>
      <c r="M244" s="1"/>
      <c r="N244" s="1"/>
      <c r="O244" s="1"/>
      <c r="P244" s="1"/>
      <c r="Q244" s="1"/>
      <c r="R244" s="1"/>
      <c r="S244" s="1"/>
      <c r="T244" s="1"/>
    </row>
    <row r="245" spans="1:20" s="1201" customFormat="1" ht="15">
      <c r="D245" s="1"/>
      <c r="E245" s="1207"/>
      <c r="F245" s="1"/>
      <c r="G245" s="1"/>
      <c r="H245" s="1"/>
      <c r="I245" s="1"/>
      <c r="J245" s="1"/>
      <c r="K245" s="1"/>
      <c r="L245" s="1"/>
      <c r="M245" s="1"/>
      <c r="N245" s="1"/>
      <c r="O245" s="1"/>
      <c r="P245" s="1"/>
      <c r="Q245" s="1"/>
      <c r="R245" s="1"/>
      <c r="S245" s="1"/>
      <c r="T245" s="1"/>
    </row>
    <row r="246" spans="1:20" s="1201" customFormat="1" ht="15">
      <c r="D246" s="1"/>
      <c r="E246" s="1207"/>
      <c r="F246" s="1"/>
      <c r="G246" s="1"/>
      <c r="H246" s="1"/>
      <c r="I246" s="1"/>
      <c r="J246" s="1"/>
      <c r="K246" s="1"/>
      <c r="L246" s="1"/>
      <c r="M246" s="1"/>
      <c r="N246" s="1"/>
      <c r="O246" s="1"/>
      <c r="P246" s="1"/>
      <c r="Q246" s="1"/>
      <c r="R246" s="1"/>
      <c r="S246" s="1"/>
      <c r="T246" s="1"/>
    </row>
    <row r="247" spans="1:20" s="1201" customFormat="1" ht="15">
      <c r="D247" s="1"/>
      <c r="E247" s="1207"/>
      <c r="F247" s="1"/>
      <c r="G247" s="1"/>
      <c r="H247" s="1"/>
      <c r="I247" s="1"/>
      <c r="J247" s="1"/>
      <c r="K247" s="1"/>
      <c r="L247" s="1"/>
      <c r="M247" s="1"/>
      <c r="N247" s="1"/>
      <c r="O247" s="1"/>
      <c r="P247" s="1"/>
      <c r="Q247" s="1"/>
      <c r="R247" s="1"/>
      <c r="S247" s="1"/>
      <c r="T247" s="1"/>
    </row>
    <row r="248" spans="1:20" s="1201" customFormat="1" ht="15">
      <c r="D248" s="1"/>
      <c r="E248" s="1207"/>
      <c r="F248" s="1"/>
      <c r="G248" s="1"/>
      <c r="H248" s="1"/>
      <c r="I248" s="1"/>
      <c r="J248" s="1"/>
      <c r="K248" s="1"/>
      <c r="L248" s="1"/>
      <c r="M248" s="1"/>
      <c r="N248" s="1"/>
      <c r="O248" s="1"/>
      <c r="P248" s="1"/>
      <c r="Q248" s="1"/>
      <c r="R248" s="1"/>
      <c r="S248" s="1"/>
      <c r="T248" s="1"/>
    </row>
    <row r="249" spans="1:20" s="1201" customFormat="1" ht="15">
      <c r="D249" s="1"/>
      <c r="E249" s="1207"/>
      <c r="F249" s="1"/>
      <c r="G249" s="1"/>
      <c r="H249" s="1"/>
      <c r="I249" s="1"/>
      <c r="J249" s="1"/>
      <c r="K249" s="1"/>
      <c r="L249" s="1"/>
      <c r="M249" s="1"/>
      <c r="N249" s="1"/>
      <c r="O249" s="1"/>
      <c r="P249" s="1"/>
      <c r="Q249" s="1"/>
      <c r="R249" s="1"/>
      <c r="S249" s="1"/>
      <c r="T249" s="1"/>
    </row>
    <row r="250" spans="1:20" s="1201" customFormat="1" ht="15">
      <c r="D250" s="1"/>
      <c r="E250" s="1207"/>
      <c r="F250" s="1"/>
      <c r="G250" s="1"/>
      <c r="H250" s="1"/>
      <c r="I250" s="1"/>
      <c r="J250" s="1"/>
      <c r="K250" s="1"/>
      <c r="L250" s="1"/>
      <c r="M250" s="1"/>
      <c r="N250" s="1"/>
      <c r="O250" s="1"/>
      <c r="P250" s="1"/>
      <c r="Q250" s="1"/>
      <c r="R250" s="1"/>
      <c r="S250" s="1"/>
      <c r="T250" s="1"/>
    </row>
    <row r="251" spans="1:20" s="1201" customFormat="1" ht="15">
      <c r="A251" s="1202"/>
      <c r="B251" s="1202"/>
      <c r="C251" s="1202"/>
      <c r="D251" s="1"/>
      <c r="E251" s="1207"/>
      <c r="F251" s="1"/>
      <c r="G251" s="1"/>
      <c r="H251" s="1"/>
      <c r="I251" s="1"/>
      <c r="J251" s="1"/>
      <c r="K251" s="1"/>
      <c r="L251" s="1"/>
      <c r="M251" s="1"/>
      <c r="N251" s="1"/>
      <c r="O251" s="1"/>
      <c r="P251" s="1"/>
      <c r="Q251" s="1"/>
      <c r="R251" s="1"/>
      <c r="S251" s="1"/>
      <c r="T251" s="1"/>
    </row>
    <row r="252" spans="1:20" s="1201" customFormat="1" ht="15">
      <c r="A252" s="1202"/>
      <c r="B252" s="1202"/>
      <c r="C252" s="1202"/>
      <c r="D252" s="1"/>
      <c r="E252" s="1207"/>
      <c r="F252" s="1"/>
      <c r="G252" s="1"/>
      <c r="H252" s="1"/>
      <c r="I252" s="1"/>
      <c r="J252" s="1"/>
      <c r="K252" s="1"/>
      <c r="L252" s="1"/>
      <c r="M252" s="1"/>
      <c r="N252" s="1"/>
      <c r="O252" s="1"/>
      <c r="P252" s="1"/>
      <c r="Q252" s="1"/>
      <c r="R252" s="1"/>
      <c r="S252" s="1"/>
      <c r="T252" s="1"/>
    </row>
    <row r="253" spans="1:20" s="1201" customFormat="1" ht="15">
      <c r="A253" s="1202"/>
      <c r="B253" s="1202"/>
      <c r="C253" s="1202"/>
      <c r="D253" s="1"/>
      <c r="E253" s="1207"/>
      <c r="F253" s="1"/>
      <c r="G253" s="1"/>
      <c r="H253" s="1"/>
      <c r="I253" s="1"/>
      <c r="J253" s="1"/>
      <c r="K253" s="1"/>
      <c r="L253" s="1"/>
      <c r="M253" s="1"/>
      <c r="N253" s="1"/>
      <c r="O253" s="1"/>
      <c r="P253" s="1"/>
      <c r="Q253" s="1"/>
      <c r="R253" s="1"/>
      <c r="S253" s="1"/>
      <c r="T253" s="1"/>
    </row>
    <row r="254" spans="1:20" s="1201" customFormat="1" ht="15">
      <c r="A254" s="1202"/>
      <c r="B254" s="1202"/>
      <c r="C254" s="1202"/>
      <c r="D254" s="1"/>
      <c r="E254" s="1207"/>
      <c r="F254" s="1"/>
      <c r="G254" s="1"/>
      <c r="H254" s="1"/>
      <c r="I254" s="1"/>
      <c r="J254" s="1"/>
      <c r="K254" s="1"/>
      <c r="L254" s="1"/>
      <c r="M254" s="1"/>
      <c r="N254" s="1"/>
      <c r="O254" s="1"/>
      <c r="P254" s="1"/>
      <c r="Q254" s="1"/>
      <c r="R254" s="1"/>
      <c r="S254" s="1"/>
      <c r="T254" s="1"/>
    </row>
    <row r="255" spans="1:20" s="1201" customFormat="1" ht="15">
      <c r="A255" s="1202"/>
      <c r="B255" s="1202"/>
      <c r="C255" s="1202"/>
      <c r="D255" s="1"/>
      <c r="E255" s="1207"/>
      <c r="F255" s="1"/>
      <c r="G255" s="1"/>
      <c r="H255" s="1"/>
      <c r="I255" s="1"/>
      <c r="J255" s="1"/>
      <c r="K255" s="1"/>
      <c r="L255" s="1"/>
      <c r="M255" s="1"/>
      <c r="N255" s="1"/>
      <c r="O255" s="1"/>
      <c r="P255" s="1"/>
      <c r="Q255" s="1"/>
      <c r="R255" s="1"/>
      <c r="S255" s="1"/>
      <c r="T255" s="1"/>
    </row>
    <row r="256" spans="1:20" s="1201" customFormat="1" ht="15">
      <c r="A256" s="1202"/>
      <c r="B256" s="1202"/>
      <c r="C256" s="1202"/>
      <c r="E256" s="1207"/>
      <c r="F256" s="1"/>
    </row>
    <row r="257" spans="1:6" s="1201" customFormat="1" ht="15">
      <c r="A257" s="1202"/>
      <c r="B257" s="1202"/>
      <c r="C257" s="1202"/>
      <c r="E257" s="1207"/>
      <c r="F257" s="1"/>
    </row>
    <row r="258" spans="1:6" ht="15">
      <c r="E258" s="1207"/>
      <c r="F258" s="1"/>
    </row>
    <row r="259" spans="1:6" ht="15">
      <c r="E259" s="1207"/>
      <c r="F259" s="1"/>
    </row>
    <row r="260" spans="1:6" ht="15">
      <c r="E260" s="1207"/>
      <c r="F260" s="1"/>
    </row>
    <row r="261" spans="1:6" ht="15">
      <c r="E261" s="1207"/>
      <c r="F261" s="1"/>
    </row>
    <row r="262" spans="1:6" ht="15">
      <c r="E262" s="1207"/>
      <c r="F262" s="1"/>
    </row>
    <row r="263" spans="1:6" ht="15">
      <c r="E263" s="1207"/>
      <c r="F263" s="1"/>
    </row>
    <row r="264" spans="1:6" ht="15">
      <c r="E264" s="1207"/>
      <c r="F264" s="1"/>
    </row>
    <row r="265" spans="1:6" ht="15">
      <c r="E265" s="1207"/>
      <c r="F265" s="1"/>
    </row>
    <row r="266" spans="1:6" ht="15">
      <c r="E266" s="1207"/>
      <c r="F266" s="1"/>
    </row>
    <row r="267" spans="1:6">
      <c r="E267" s="1262"/>
      <c r="F267" s="1201"/>
    </row>
    <row r="268" spans="1:6">
      <c r="E268" s="1262"/>
      <c r="F268" s="1201"/>
    </row>
  </sheetData>
  <sheetProtection algorithmName="SHA-512" hashValue="uOqSHZL0//xlzSOdoBs1qgf1jwS5M1mDy50prXMNUWAnFh58U/gOlaulrkEZN5lQnjCasVycf6G8WBo8zpHEKA==" saltValue="b3T4o64p4v4jFTaK24hi9g==" spinCount="100000" sheet="1" selectLockedCells="1"/>
  <mergeCells count="37">
    <mergeCell ref="A1:B2"/>
    <mergeCell ref="A77:B77"/>
    <mergeCell ref="A43:B43"/>
    <mergeCell ref="A44:B44"/>
    <mergeCell ref="A45:B45"/>
    <mergeCell ref="A46:B46"/>
    <mergeCell ref="A47:B47"/>
    <mergeCell ref="A50:C50"/>
    <mergeCell ref="B60:C60"/>
    <mergeCell ref="A59:C59"/>
    <mergeCell ref="A66:C66"/>
    <mergeCell ref="A4:C4"/>
    <mergeCell ref="A42:C42"/>
    <mergeCell ref="A48:B48"/>
    <mergeCell ref="A93:B93"/>
    <mergeCell ref="B51:C51"/>
    <mergeCell ref="A80:C80"/>
    <mergeCell ref="A84:C84"/>
    <mergeCell ref="A88:C88"/>
    <mergeCell ref="A92:B92"/>
    <mergeCell ref="A72:C72"/>
    <mergeCell ref="A73:C73"/>
    <mergeCell ref="A74:B74"/>
    <mergeCell ref="A75:B75"/>
    <mergeCell ref="A76:B76"/>
    <mergeCell ref="A79:C79"/>
    <mergeCell ref="A95:C95"/>
    <mergeCell ref="A96:B96"/>
    <mergeCell ref="A97:B97"/>
    <mergeCell ref="A98:B98"/>
    <mergeCell ref="A109:C109"/>
    <mergeCell ref="A105:B105"/>
    <mergeCell ref="A106:B106"/>
    <mergeCell ref="A107:B107"/>
    <mergeCell ref="A100:B100"/>
    <mergeCell ref="A104:C104"/>
    <mergeCell ref="A102:B102"/>
  </mergeCells>
  <conditionalFormatting sqref="A91">
    <cfRule type="containsText" dxfId="17" priority="4" operator="containsText" text="Revisar">
      <formula>NOT(ISERROR(SEARCH("Revisar",A91)))</formula>
    </cfRule>
  </conditionalFormatting>
  <conditionalFormatting sqref="B61 C64">
    <cfRule type="containsText" dxfId="16" priority="10" operator="containsText" text="Debe ser = ó &gt; que el ">
      <formula>NOT(ISERROR(SEARCH("Debe ser = ó &gt; que el ",B61)))</formula>
    </cfRule>
  </conditionalFormatting>
  <conditionalFormatting sqref="C61:C63">
    <cfRule type="containsText" dxfId="15" priority="7" operator="containsText" text="Debe ser">
      <formula>NOT(ISERROR(SEARCH("Debe ser",C61)))</formula>
    </cfRule>
  </conditionalFormatting>
  <conditionalFormatting sqref="C70">
    <cfRule type="containsText" dxfId="14" priority="14" operator="containsText" text="REVISA TU COTIZACIÓN">
      <formula>NOT(ISERROR(SEARCH("REVISA TU COTIZACIÓN",C70)))</formula>
    </cfRule>
  </conditionalFormatting>
  <dataValidations count="1">
    <dataValidation type="list" allowBlank="1" showInputMessage="1" showErrorMessage="1" sqref="C74" xr:uid="{C7CDDA94-28EE-304D-B16B-84AAC3DAA3CA}">
      <formula1>$F$75:$F$76</formula1>
    </dataValidation>
  </dataValidations>
  <pageMargins left="0" right="0" top="0" bottom="0"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R91"/>
  <sheetViews>
    <sheetView topLeftCell="E1" zoomScale="138" workbookViewId="0">
      <selection activeCell="B57" sqref="B57"/>
    </sheetView>
  </sheetViews>
  <sheetFormatPr defaultColWidth="11.42578125" defaultRowHeight="15"/>
  <cols>
    <col min="1" max="1" width="26.85546875" customWidth="1"/>
    <col min="2" max="2" width="41.42578125" customWidth="1"/>
    <col min="3" max="3" width="26.140625" customWidth="1"/>
    <col min="4" max="4" width="21.7109375" bestFit="1" customWidth="1"/>
    <col min="5" max="5" width="16.28515625" customWidth="1"/>
    <col min="6" max="6" width="11.7109375" bestFit="1" customWidth="1"/>
    <col min="9" max="9" width="23.140625" hidden="1" customWidth="1"/>
    <col min="10" max="10" width="13.140625" hidden="1" customWidth="1"/>
    <col min="11" max="11" width="38" hidden="1" customWidth="1"/>
    <col min="12" max="12" width="0" hidden="1" customWidth="1"/>
    <col min="13" max="13" width="24.85546875" customWidth="1"/>
    <col min="14" max="14" width="38.140625" bestFit="1" customWidth="1"/>
    <col min="15" max="16" width="11.7109375" bestFit="1" customWidth="1"/>
    <col min="17" max="17" width="23.28515625" bestFit="1" customWidth="1"/>
    <col min="18" max="18" width="12.140625" bestFit="1" customWidth="1"/>
  </cols>
  <sheetData>
    <row r="1" spans="1:18" ht="15" customHeight="1">
      <c r="A1" s="1477" t="s">
        <v>344</v>
      </c>
      <c r="B1" s="1478"/>
      <c r="C1" s="1478"/>
      <c r="D1" s="1478"/>
      <c r="E1" s="1478"/>
      <c r="F1" s="1478"/>
      <c r="G1" s="1479"/>
      <c r="I1" s="1458" t="s">
        <v>345</v>
      </c>
      <c r="J1" s="1459"/>
      <c r="K1" s="1475"/>
      <c r="M1" s="1458" t="s">
        <v>346</v>
      </c>
      <c r="N1" s="1459"/>
    </row>
    <row r="2" spans="1:18">
      <c r="A2" s="1480"/>
      <c r="B2" s="1481"/>
      <c r="C2" s="1481"/>
      <c r="D2" s="1481"/>
      <c r="E2" s="1481"/>
      <c r="F2" s="1481"/>
      <c r="G2" s="1482"/>
      <c r="I2" s="1460"/>
      <c r="J2" s="1461"/>
      <c r="K2" s="1476"/>
      <c r="M2" s="1460"/>
      <c r="N2" s="1461"/>
    </row>
    <row r="3" spans="1:18">
      <c r="A3" s="1480"/>
      <c r="B3" s="1481"/>
      <c r="C3" s="1481"/>
      <c r="D3" s="1481"/>
      <c r="E3" s="1481"/>
      <c r="F3" s="1481"/>
      <c r="G3" s="1482"/>
      <c r="I3" s="1460"/>
      <c r="J3" s="1461"/>
      <c r="K3" s="1476"/>
      <c r="M3" s="1460"/>
      <c r="N3" s="1461"/>
    </row>
    <row r="4" spans="1:18">
      <c r="A4" s="1480"/>
      <c r="B4" s="1481"/>
      <c r="C4" s="1481"/>
      <c r="D4" s="1481"/>
      <c r="E4" s="1481"/>
      <c r="F4" s="1481"/>
      <c r="G4" s="1482"/>
      <c r="I4" s="1460"/>
      <c r="J4" s="1461"/>
      <c r="K4" s="1476"/>
      <c r="M4" s="1460"/>
      <c r="N4" s="1461"/>
    </row>
    <row r="5" spans="1:18" ht="27" thickBot="1">
      <c r="A5" s="1038" t="e" vm="2">
        <v>#VALUE!</v>
      </c>
      <c r="B5" s="1035" t="s">
        <v>347</v>
      </c>
      <c r="C5" s="1039" t="e" vm="3">
        <v>#VALUE!</v>
      </c>
      <c r="D5" s="1462">
        <v>58000</v>
      </c>
      <c r="E5" s="1462"/>
      <c r="F5" s="1462"/>
      <c r="G5" s="1062" t="s">
        <v>348</v>
      </c>
      <c r="I5" s="1142" t="s">
        <v>349</v>
      </c>
      <c r="J5" s="1143" t="s">
        <v>350</v>
      </c>
      <c r="K5" s="1144" t="s">
        <v>351</v>
      </c>
      <c r="M5" s="1147" t="s">
        <v>349</v>
      </c>
      <c r="N5" s="1148" t="s">
        <v>351</v>
      </c>
    </row>
    <row r="6" spans="1:18" ht="20.100000000000001" thickBot="1">
      <c r="A6" s="1136" t="s">
        <v>352</v>
      </c>
      <c r="B6" s="1137"/>
      <c r="C6" s="1137"/>
      <c r="D6" s="1036"/>
      <c r="E6" s="1036"/>
      <c r="F6" s="1036"/>
      <c r="G6" s="1037"/>
      <c r="I6" s="1267" t="s">
        <v>353</v>
      </c>
      <c r="J6" s="1301">
        <v>0.2</v>
      </c>
      <c r="K6" s="1302">
        <f ca="1">IF(Mobiliti!$P$4=TRUE,((J6/$J$21)*Mobiliti!$S$10)/Mobiliti!$P$6,(J6/$J$21)*Mobiliti!$S$10)</f>
        <v>0</v>
      </c>
      <c r="M6" s="1267" t="s">
        <v>353</v>
      </c>
      <c r="N6" s="1145">
        <f ca="1">IF(Mobiliti!$P$4=TRUE,(56/Mobiliti!$P$6),56)</f>
        <v>3.2961341055704669</v>
      </c>
      <c r="Q6" s="1303" t="s">
        <v>353</v>
      </c>
      <c r="R6">
        <v>1</v>
      </c>
    </row>
    <row r="7" spans="1:18" ht="27" thickBot="1">
      <c r="A7" s="1038" t="e" vm="2">
        <v>#VALUE!</v>
      </c>
      <c r="B7" s="1035" t="s">
        <v>347</v>
      </c>
      <c r="C7" s="1039" t="e" vm="4">
        <v>#VALUE!</v>
      </c>
      <c r="D7" s="1462">
        <v>40000</v>
      </c>
      <c r="E7" s="1462"/>
      <c r="F7" s="1462"/>
      <c r="G7" s="1062" t="s">
        <v>354</v>
      </c>
      <c r="I7" s="1267" t="s">
        <v>355</v>
      </c>
      <c r="J7" s="1301">
        <v>0.2</v>
      </c>
      <c r="K7" s="1302">
        <f ca="1">IF(Mobiliti!$P$4=TRUE,((J7/$J$21)*Mobiliti!$S$10)/Mobiliti!$P$6,(J7/$J$21)*Mobiliti!$S$10)</f>
        <v>0</v>
      </c>
      <c r="M7" s="1267" t="s">
        <v>355</v>
      </c>
      <c r="N7" s="1145">
        <f ca="1">IF(Mobiliti!$P$4=TRUE,(210/Mobiliti!$P$6),210)</f>
        <v>12.360502895889251</v>
      </c>
      <c r="Q7" s="1268" t="s">
        <v>355</v>
      </c>
      <c r="R7">
        <v>2</v>
      </c>
    </row>
    <row r="8" spans="1:18" ht="20.100000000000001" thickBot="1">
      <c r="A8" s="1136" t="s">
        <v>356</v>
      </c>
      <c r="B8" s="1137"/>
      <c r="C8" s="1137"/>
      <c r="D8" s="1036"/>
      <c r="E8" s="1036"/>
      <c r="F8" s="1036"/>
      <c r="G8" s="1037"/>
      <c r="I8" s="1267" t="s">
        <v>357</v>
      </c>
      <c r="J8" s="1301">
        <v>0.25</v>
      </c>
      <c r="K8" s="1302">
        <f ca="1">IF(Mobiliti!$P$4=TRUE,((J8/$J$21)*Mobiliti!$S$10)/Mobiliti!$P$6,(J8/$J$21)*Mobiliti!$S$10)</f>
        <v>0</v>
      </c>
      <c r="M8" s="1267" t="s">
        <v>357</v>
      </c>
      <c r="N8" s="1145">
        <f ca="1">IF(Mobiliti!$P$4=TRUE,(980/Mobiliti!$P$6),980)</f>
        <v>57.682346847483167</v>
      </c>
      <c r="Q8" s="1303" t="s">
        <v>357</v>
      </c>
      <c r="R8">
        <v>2</v>
      </c>
    </row>
    <row r="9" spans="1:18" ht="27" thickBot="1">
      <c r="A9" s="1038" t="e" vm="2">
        <v>#VALUE!</v>
      </c>
      <c r="B9" s="1035" t="s">
        <v>347</v>
      </c>
      <c r="C9" s="1039" t="e" vm="5">
        <v>#VALUE!</v>
      </c>
      <c r="D9" s="1462">
        <v>120000</v>
      </c>
      <c r="E9" s="1462"/>
      <c r="F9" s="1462"/>
      <c r="G9" s="1062" t="s">
        <v>348</v>
      </c>
      <c r="I9" s="1267" t="s">
        <v>358</v>
      </c>
      <c r="J9" s="1301">
        <v>0.3</v>
      </c>
      <c r="K9" s="1302">
        <f ca="1">IF(Mobiliti!$P$4=TRUE,((J9/$J$21)*Mobiliti!$S$10)/Mobiliti!$P$6,(J9/$J$21)*Mobiliti!$S$10)</f>
        <v>0</v>
      </c>
      <c r="M9" s="1267" t="s">
        <v>358</v>
      </c>
      <c r="N9" s="1145">
        <f ca="1">IF(Mobiliti!$P$4=TRUE,(231/Mobiliti!$P$6),231)</f>
        <v>13.596553185478175</v>
      </c>
      <c r="Q9" s="1268" t="s">
        <v>358</v>
      </c>
      <c r="R9">
        <v>2</v>
      </c>
    </row>
    <row r="10" spans="1:18" ht="20.100000000000001" thickBot="1">
      <c r="A10" s="1136" t="s">
        <v>352</v>
      </c>
      <c r="B10" s="1137"/>
      <c r="C10" s="1137"/>
      <c r="D10" s="1036"/>
      <c r="E10" s="1036"/>
      <c r="F10" s="1036"/>
      <c r="G10" s="1037"/>
      <c r="I10" s="1267" t="s">
        <v>359</v>
      </c>
      <c r="J10" s="1301">
        <v>0.4</v>
      </c>
      <c r="K10" s="1302">
        <f ca="1">IF(Mobiliti!$P$4=TRUE,((J10/$J$21)*Mobiliti!$S$10)/Mobiliti!$P$6,(J10/$J$21)*Mobiliti!$S$10)</f>
        <v>0</v>
      </c>
      <c r="M10" s="1267" t="s">
        <v>359</v>
      </c>
      <c r="N10" s="1145">
        <f ca="1">IF(Mobiliti!$P$4=TRUE,(995/Mobiliti!$P$6),995)</f>
        <v>58.56523991147526</v>
      </c>
      <c r="Q10" s="1303" t="s">
        <v>359</v>
      </c>
      <c r="R10">
        <v>2</v>
      </c>
    </row>
    <row r="11" spans="1:18" ht="27" thickBot="1">
      <c r="A11" s="1038" t="e" vm="2">
        <v>#VALUE!</v>
      </c>
      <c r="B11" s="1035" t="s">
        <v>347</v>
      </c>
      <c r="C11" s="1039" t="e" vm="6">
        <v>#VALUE!</v>
      </c>
      <c r="D11" s="1462">
        <v>135000</v>
      </c>
      <c r="E11" s="1462"/>
      <c r="F11" s="1462"/>
      <c r="G11" s="1062" t="s">
        <v>360</v>
      </c>
      <c r="I11" s="1267" t="s">
        <v>361</v>
      </c>
      <c r="J11" s="1301">
        <v>0.4</v>
      </c>
      <c r="K11" s="1302">
        <f ca="1">IF(Mobiliti!$P$4=TRUE,((J11/$J$21)*Mobiliti!$S$10)/Mobiliti!$P$6,(J11/$J$21)*Mobiliti!$S$10)</f>
        <v>0</v>
      </c>
      <c r="M11" s="1267" t="s">
        <v>361</v>
      </c>
      <c r="N11" s="1145">
        <f ca="1">IF(Mobiliti!$P$4=TRUE,(325/Mobiliti!$P$6),325)</f>
        <v>19.129349719828603</v>
      </c>
      <c r="Q11" s="1268" t="s">
        <v>361</v>
      </c>
      <c r="R11">
        <v>2</v>
      </c>
    </row>
    <row r="12" spans="1:18" ht="20.100000000000001" thickBot="1">
      <c r="A12" s="1136" t="s">
        <v>362</v>
      </c>
      <c r="B12" s="1137"/>
      <c r="C12" s="1137"/>
      <c r="D12" s="1036"/>
      <c r="E12" s="1036"/>
      <c r="F12" s="1036"/>
      <c r="G12" s="1037"/>
      <c r="I12" s="1267" t="s">
        <v>363</v>
      </c>
      <c r="J12" s="1301">
        <v>0.15</v>
      </c>
      <c r="K12" s="1302">
        <f ca="1">IF(Mobiliti!$P$4=TRUE,((J12/$J$21)*Mobiliti!$S$10)/Mobiliti!$P$6,(J12/$J$21)*Mobiliti!$S$10)</f>
        <v>0</v>
      </c>
      <c r="M12" s="1267" t="s">
        <v>363</v>
      </c>
      <c r="N12" s="1145">
        <f ca="1">IF(Mobiliti!$P$4=TRUE,(198/Mobiliti!$P$6),198)</f>
        <v>11.654188444695579</v>
      </c>
      <c r="Q12" s="1303" t="s">
        <v>363</v>
      </c>
      <c r="R12">
        <v>2</v>
      </c>
    </row>
    <row r="13" spans="1:18" ht="27" thickBot="1">
      <c r="A13" s="1038" t="e" vm="2">
        <v>#VALUE!</v>
      </c>
      <c r="B13" s="1035" t="s">
        <v>347</v>
      </c>
      <c r="C13" s="1039" t="e" vm="7">
        <v>#VALUE!</v>
      </c>
      <c r="D13" s="1462">
        <v>32000</v>
      </c>
      <c r="E13" s="1462"/>
      <c r="F13" s="1462"/>
      <c r="G13" s="1062" t="s">
        <v>354</v>
      </c>
      <c r="I13" s="1267" t="s">
        <v>364</v>
      </c>
      <c r="J13" s="1301">
        <v>0.4</v>
      </c>
      <c r="K13" s="1302">
        <f ca="1">IF(Mobiliti!$P$4=TRUE,((J13/$J$21)*Mobiliti!$S$10)/Mobiliti!$P$6,(J13/$J$21)*Mobiliti!$S$10)</f>
        <v>0</v>
      </c>
      <c r="M13" s="1267" t="s">
        <v>364</v>
      </c>
      <c r="N13" s="1145">
        <f ca="1">IF(Mobiliti!$P$4=TRUE,(1790/Mobiliti!$P$6),1790)</f>
        <v>105.35857230305599</v>
      </c>
      <c r="Q13" s="1268" t="s">
        <v>364</v>
      </c>
      <c r="R13">
        <v>2</v>
      </c>
    </row>
    <row r="14" spans="1:18" ht="20.100000000000001" thickBot="1">
      <c r="A14" s="1136" t="s">
        <v>365</v>
      </c>
      <c r="B14" s="1137"/>
      <c r="C14" s="1137"/>
      <c r="D14" s="1036"/>
      <c r="E14" s="1036"/>
      <c r="F14" s="1036"/>
      <c r="G14" s="1037"/>
      <c r="I14" s="1267" t="s">
        <v>366</v>
      </c>
      <c r="J14" s="1301">
        <v>0.05</v>
      </c>
      <c r="K14" s="1302">
        <f ca="1">IF(Mobiliti!$P$4=TRUE,((J14/$J$21)*Mobiliti!$S$10)/Mobiliti!$P$6,(J14/$J$21)*Mobiliti!$S$10)</f>
        <v>0</v>
      </c>
      <c r="M14" s="1267" t="s">
        <v>366</v>
      </c>
      <c r="N14" s="1145">
        <f ca="1">IF(Mobiliti!$P$4=TRUE,(180/Mobiliti!$P$6),180)</f>
        <v>10.594716767905071</v>
      </c>
      <c r="Q14" s="1303" t="s">
        <v>366</v>
      </c>
      <c r="R14">
        <v>2</v>
      </c>
    </row>
    <row r="15" spans="1:18" ht="27" thickBot="1">
      <c r="A15" s="1038" t="e" vm="2">
        <v>#VALUE!</v>
      </c>
      <c r="B15" s="1035" t="s">
        <v>347</v>
      </c>
      <c r="C15" s="1039" t="e" vm="8">
        <v>#VALUE!</v>
      </c>
      <c r="D15" s="1462">
        <v>35000</v>
      </c>
      <c r="E15" s="1462"/>
      <c r="F15" s="1462"/>
      <c r="G15" s="1062" t="s">
        <v>354</v>
      </c>
      <c r="I15" s="1267" t="s">
        <v>367</v>
      </c>
      <c r="J15" s="1301">
        <v>0.25</v>
      </c>
      <c r="K15" s="1302">
        <f ca="1">IF(Mobiliti!$P$4=TRUE,((J15/$J$21)*Mobiliti!$S$10)/Mobiliti!$P$6,(J15/$J$21)*Mobiliti!$S$10)</f>
        <v>0</v>
      </c>
      <c r="M15" s="1267" t="s">
        <v>367</v>
      </c>
      <c r="N15" s="1145">
        <f ca="1">IF(Mobiliti!$P$4=TRUE,(250/Mobiliti!$P$6),250)</f>
        <v>14.714884399868156</v>
      </c>
      <c r="Q15" s="1268" t="s">
        <v>367</v>
      </c>
      <c r="R15">
        <v>2</v>
      </c>
    </row>
    <row r="16" spans="1:18" ht="20.100000000000001" thickBot="1">
      <c r="A16" s="1136" t="s">
        <v>356</v>
      </c>
      <c r="B16" s="1137"/>
      <c r="C16" s="1137"/>
      <c r="D16" s="1036"/>
      <c r="E16" s="1036"/>
      <c r="F16" s="1036"/>
      <c r="G16" s="1037"/>
      <c r="I16" s="1267"/>
      <c r="J16" s="1301"/>
      <c r="K16" s="1304"/>
      <c r="M16" s="1267" t="s">
        <v>368</v>
      </c>
      <c r="N16" s="1145">
        <f ca="1">IF(Mobiliti!$P$4=TRUE,(350/Mobiliti!$P$6),350)</f>
        <v>20.600838159815417</v>
      </c>
      <c r="Q16" s="1268" t="s">
        <v>368</v>
      </c>
      <c r="R16">
        <v>2</v>
      </c>
    </row>
    <row r="17" spans="1:18" ht="26.1">
      <c r="A17" s="1038" t="e" vm="2">
        <v>#VALUE!</v>
      </c>
      <c r="B17" s="1035" t="s">
        <v>347</v>
      </c>
      <c r="C17" s="1039" t="e" vm="2">
        <v>#VALUE!</v>
      </c>
      <c r="D17" s="1462">
        <v>6000</v>
      </c>
      <c r="E17" s="1462"/>
      <c r="F17" s="1462"/>
      <c r="G17" s="1062" t="s">
        <v>369</v>
      </c>
      <c r="I17" s="1267"/>
      <c r="J17" s="1301"/>
      <c r="K17" s="1304"/>
      <c r="M17" s="1267" t="s">
        <v>370</v>
      </c>
      <c r="N17" s="1145">
        <f ca="1">IF(Mobiliti!$P$4=TRUE,(995/Mobiliti!$P$6),995)</f>
        <v>58.56523991147526</v>
      </c>
      <c r="Q17" s="1268" t="s">
        <v>370</v>
      </c>
      <c r="R17">
        <v>2</v>
      </c>
    </row>
    <row r="18" spans="1:18" ht="18.95">
      <c r="A18" s="1136" t="s">
        <v>365</v>
      </c>
      <c r="B18" s="1137"/>
      <c r="C18" s="1137"/>
      <c r="D18" s="1036"/>
      <c r="E18" s="1036"/>
      <c r="F18" s="1036"/>
      <c r="G18" s="1037"/>
      <c r="I18" s="1267"/>
      <c r="J18" s="1301"/>
      <c r="K18" s="1304"/>
      <c r="M18" s="1267"/>
      <c r="N18" s="1146"/>
    </row>
    <row r="19" spans="1:18" ht="20.100000000000001" thickBot="1">
      <c r="A19" s="1463" t="s">
        <v>371</v>
      </c>
      <c r="B19" s="1464"/>
      <c r="C19" s="1464"/>
      <c r="D19" s="1465">
        <f>Mobiliti!H574</f>
        <v>0</v>
      </c>
      <c r="E19" s="1465"/>
      <c r="F19" s="1465"/>
      <c r="G19" s="1466"/>
      <c r="I19" s="1305"/>
      <c r="J19" s="1306"/>
      <c r="K19" s="1307"/>
      <c r="M19" s="1149"/>
      <c r="N19" s="1150"/>
    </row>
    <row r="20" spans="1:18">
      <c r="D20" s="1467" t="s">
        <v>372</v>
      </c>
      <c r="E20" s="1468"/>
      <c r="F20" s="1471" t="e">
        <f>D11/D19</f>
        <v>#DIV/0!</v>
      </c>
      <c r="G20" s="1472"/>
    </row>
    <row r="21" spans="1:18" ht="15.95" thickBot="1">
      <c r="D21" s="1469"/>
      <c r="E21" s="1470"/>
      <c r="F21" s="1473"/>
      <c r="G21" s="1474"/>
      <c r="I21" s="1040" t="s">
        <v>373</v>
      </c>
      <c r="J21">
        <f>SUM(J6:J20)</f>
        <v>2.5999999999999996</v>
      </c>
    </row>
    <row r="23" spans="1:18" hidden="1">
      <c r="G23" s="1050"/>
      <c r="K23" s="1041"/>
    </row>
    <row r="24" spans="1:18" hidden="1">
      <c r="A24" s="1046" t="s">
        <v>374</v>
      </c>
      <c r="B24" s="1047"/>
    </row>
    <row r="25" spans="1:18" hidden="1">
      <c r="I25" s="1052" t="s">
        <v>99</v>
      </c>
      <c r="J25" s="1052" t="s">
        <v>375</v>
      </c>
      <c r="M25" s="1052" t="s">
        <v>99</v>
      </c>
      <c r="N25" s="1052" t="s">
        <v>375</v>
      </c>
    </row>
    <row r="26" spans="1:18" hidden="1">
      <c r="A26" s="1052" t="s">
        <v>376</v>
      </c>
      <c r="I26" t="s">
        <v>369</v>
      </c>
      <c r="J26">
        <v>1</v>
      </c>
      <c r="M26" t="s">
        <v>369</v>
      </c>
      <c r="N26">
        <v>1.1000000000000001</v>
      </c>
    </row>
    <row r="27" spans="1:18" hidden="1">
      <c r="A27" t="s">
        <v>369</v>
      </c>
      <c r="B27" s="1157" t="e" cm="1">
        <f t="array" ref="B27:D27">_xlfn.XLOOKUP(A27,Taba_Region,Tabla_Costos/$D$19)</f>
        <v>#DIV/0!</v>
      </c>
      <c r="C27" t="e">
        <v>#DIV/0!</v>
      </c>
      <c r="D27" t="e">
        <v>#DIV/0!</v>
      </c>
      <c r="I27" t="s">
        <v>348</v>
      </c>
      <c r="J27">
        <v>1.6</v>
      </c>
      <c r="M27" t="s">
        <v>348</v>
      </c>
      <c r="N27">
        <v>1.1000000000000001</v>
      </c>
    </row>
    <row r="28" spans="1:18" hidden="1">
      <c r="A28" t="s">
        <v>348</v>
      </c>
      <c r="B28" s="1157" t="e" cm="1">
        <f t="array" ref="B28:D28">_xlfn.XLOOKUP(A28,Taba_Region,Tabla_Costos/$D$19)</f>
        <v>#DIV/0!</v>
      </c>
      <c r="C28" t="e">
        <v>#DIV/0!</v>
      </c>
      <c r="D28" t="e">
        <v>#DIV/0!</v>
      </c>
      <c r="I28" t="s">
        <v>354</v>
      </c>
      <c r="J28">
        <v>1.2</v>
      </c>
      <c r="M28" t="s">
        <v>354</v>
      </c>
      <c r="N28">
        <v>1.1000000000000001</v>
      </c>
    </row>
    <row r="29" spans="1:18" hidden="1">
      <c r="A29" t="s">
        <v>354</v>
      </c>
      <c r="B29" s="1157" t="e" cm="1">
        <f t="array" ref="B29:D29">_xlfn.XLOOKUP(A29,Taba_Region,Tabla_Costos/$D$19)</f>
        <v>#DIV/0!</v>
      </c>
      <c r="C29" t="e">
        <v>#DIV/0!</v>
      </c>
      <c r="D29" t="e">
        <v>#DIV/0!</v>
      </c>
      <c r="E29" s="1457" t="s">
        <v>377</v>
      </c>
      <c r="F29" s="1457"/>
      <c r="G29" s="1457"/>
      <c r="I29" t="s">
        <v>360</v>
      </c>
      <c r="J29">
        <v>2</v>
      </c>
      <c r="M29" t="s">
        <v>360</v>
      </c>
      <c r="N29">
        <v>0.1</v>
      </c>
    </row>
    <row r="30" spans="1:18" hidden="1">
      <c r="A30" t="s">
        <v>360</v>
      </c>
      <c r="B30" s="1157" t="e" cm="1">
        <f t="array" ref="B30:D30">_xlfn.XLOOKUP(A30,Taba_Region,Tabla_Costos/$D$19)</f>
        <v>#DIV/0!</v>
      </c>
      <c r="C30" t="e">
        <v>#DIV/0!</v>
      </c>
      <c r="D30" t="e">
        <v>#DIV/0!</v>
      </c>
      <c r="E30" s="1457"/>
      <c r="F30" s="1457"/>
      <c r="G30" s="1457"/>
    </row>
    <row r="31" spans="1:18" hidden="1">
      <c r="E31" s="1457"/>
      <c r="F31" s="1457"/>
      <c r="G31" s="1457"/>
    </row>
    <row r="32" spans="1:18" hidden="1">
      <c r="A32" t="s">
        <v>378</v>
      </c>
      <c r="E32" s="1457"/>
      <c r="F32" s="1457"/>
      <c r="G32" s="1457"/>
    </row>
    <row r="33" spans="1:6" hidden="1">
      <c r="A33" t="s">
        <v>119</v>
      </c>
    </row>
    <row r="34" spans="1:6" hidden="1">
      <c r="A34" t="s">
        <v>379</v>
      </c>
    </row>
    <row r="35" spans="1:6" hidden="1"/>
    <row r="36" spans="1:6" hidden="1"/>
    <row r="37" spans="1:6" hidden="1"/>
    <row r="38" spans="1:6" hidden="1"/>
    <row r="39" spans="1:6" hidden="1"/>
    <row r="40" spans="1:6" hidden="1"/>
    <row r="41" spans="1:6" hidden="1"/>
    <row r="42" spans="1:6" hidden="1"/>
    <row r="43" spans="1:6" hidden="1"/>
    <row r="45" spans="1:6">
      <c r="A45" t="s">
        <v>380</v>
      </c>
      <c r="B45" t="s">
        <v>381</v>
      </c>
      <c r="D45" t="s">
        <v>382</v>
      </c>
      <c r="E45" t="s">
        <v>383</v>
      </c>
      <c r="F45" t="s">
        <v>384</v>
      </c>
    </row>
    <row r="46" spans="1:6">
      <c r="A46" t="s">
        <v>385</v>
      </c>
      <c r="B46" s="1162">
        <v>0.08</v>
      </c>
      <c r="D46" s="1164">
        <v>0</v>
      </c>
      <c r="E46" s="1164">
        <v>250000</v>
      </c>
      <c r="F46">
        <v>1.3</v>
      </c>
    </row>
    <row r="47" spans="1:6">
      <c r="A47" t="s">
        <v>386</v>
      </c>
      <c r="B47" s="1162">
        <v>0.06</v>
      </c>
      <c r="D47" s="1164">
        <v>250001</v>
      </c>
      <c r="E47" s="1164">
        <v>500000</v>
      </c>
      <c r="F47">
        <v>1.1499999999999999</v>
      </c>
    </row>
    <row r="48" spans="1:6">
      <c r="A48" t="s">
        <v>39</v>
      </c>
      <c r="B48" s="1162">
        <v>0.15</v>
      </c>
      <c r="D48" s="1164">
        <v>500001</v>
      </c>
      <c r="E48" s="1164">
        <v>1000000</v>
      </c>
      <c r="F48">
        <v>1</v>
      </c>
    </row>
    <row r="49" spans="1:13">
      <c r="A49" t="s">
        <v>387</v>
      </c>
      <c r="B49" s="1162">
        <v>0.2</v>
      </c>
      <c r="D49" s="1164">
        <v>1000001</v>
      </c>
      <c r="E49" s="1164">
        <v>3000000</v>
      </c>
      <c r="F49">
        <v>0.9</v>
      </c>
    </row>
    <row r="50" spans="1:13">
      <c r="A50" t="s">
        <v>388</v>
      </c>
      <c r="B50" s="1162">
        <v>0.3</v>
      </c>
      <c r="D50" s="1164">
        <v>3000001</v>
      </c>
      <c r="E50" s="1164">
        <v>50000000</v>
      </c>
      <c r="F50">
        <v>0.7</v>
      </c>
    </row>
    <row r="51" spans="1:13">
      <c r="A51" t="s">
        <v>389</v>
      </c>
      <c r="B51" s="1162">
        <v>0.35</v>
      </c>
    </row>
    <row r="52" spans="1:13">
      <c r="A52" t="s">
        <v>390</v>
      </c>
      <c r="B52" s="1162">
        <v>0.3</v>
      </c>
    </row>
    <row r="53" spans="1:13">
      <c r="A53" t="s">
        <v>391</v>
      </c>
      <c r="B53" s="1162">
        <v>0.12</v>
      </c>
    </row>
    <row r="54" spans="1:13">
      <c r="A54" t="s">
        <v>392</v>
      </c>
      <c r="B54" s="1162">
        <v>0.12</v>
      </c>
    </row>
    <row r="55" spans="1:13">
      <c r="A55" t="s">
        <v>393</v>
      </c>
      <c r="B55" s="1162">
        <v>0.1</v>
      </c>
    </row>
    <row r="56" spans="1:13">
      <c r="A56" t="s">
        <v>394</v>
      </c>
      <c r="B56" s="1162">
        <v>0.35</v>
      </c>
    </row>
    <row r="59" spans="1:13">
      <c r="A59" s="1167" t="s">
        <v>395</v>
      </c>
    </row>
    <row r="60" spans="1:13">
      <c r="A60" s="1052" t="s">
        <v>396</v>
      </c>
      <c r="B60" s="1052" t="s">
        <v>397</v>
      </c>
      <c r="D60" t="s">
        <v>398</v>
      </c>
      <c r="E60" t="s">
        <v>399</v>
      </c>
    </row>
    <row r="61" spans="1:13">
      <c r="A61" t="s">
        <v>400</v>
      </c>
      <c r="B61" s="1157" cm="1">
        <f t="array" ref="B61">SUMPRODUCT((Mobiliti!$K$15:$K$572="Importado")*Mobiliti!$J$15:$J$572*Mobiliti!$H$15:$H$572)</f>
        <v>0</v>
      </c>
      <c r="D61" t="s">
        <v>401</v>
      </c>
      <c r="E61" s="732" t="e">
        <f>MIN(1,B67/(B62*B71+B63*B74))</f>
        <v>#DIV/0!</v>
      </c>
      <c r="M61" t="s">
        <v>402</v>
      </c>
    </row>
    <row r="62" spans="1:13">
      <c r="A62" t="s">
        <v>403</v>
      </c>
      <c r="B62">
        <f>IF($B$67=0,0,INDEX($P$71:$P$91,MATCH(MIN($R$71:$R$91),$R$71:$R$91,0)))</f>
        <v>0</v>
      </c>
      <c r="D62" t="s">
        <v>404</v>
      </c>
      <c r="E62" s="1157" t="e">
        <f>IF(E60="CONTENEDOR COMPLETO",B64,B64*E61)</f>
        <v>#DIV/0!</v>
      </c>
      <c r="M62" t="s">
        <v>399</v>
      </c>
    </row>
    <row r="63" spans="1:13">
      <c r="A63" t="s">
        <v>405</v>
      </c>
      <c r="B63">
        <f>IF($B$67=0,0,INDEX($M$71:$M$91,MATCH(MIN($R$71:$R$91),$R$71:$R$91,0)))</f>
        <v>0</v>
      </c>
      <c r="D63" t="s">
        <v>406</v>
      </c>
      <c r="E63" s="2"/>
      <c r="M63" t="s">
        <v>407</v>
      </c>
    </row>
    <row r="64" spans="1:13">
      <c r="A64" t="s">
        <v>408</v>
      </c>
      <c r="B64" s="1157">
        <f>IF($B$67=0,0,MIN($R$71:$R$91))</f>
        <v>0</v>
      </c>
    </row>
    <row r="65" spans="1:18">
      <c r="A65" t="s">
        <v>409</v>
      </c>
      <c r="B65" s="744">
        <f>$B$77</f>
        <v>0.16</v>
      </c>
    </row>
    <row r="66" spans="1:18">
      <c r="A66" s="1052" t="s">
        <v>292</v>
      </c>
      <c r="B66" s="1168" t="e">
        <f>MIN(E68,MAX(E67,IF(E60="MANUAL",E63,IF(E60="PRORRATEADO",(B61*B65+E62+B78)/B61,(B61*B65+B64+B78)/B61))))</f>
        <v>#DIV/0!</v>
      </c>
    </row>
    <row r="67" spans="1:18">
      <c r="A67" t="s">
        <v>410</v>
      </c>
      <c r="B67">
        <f>SUMIFS(Mobiliti!$Q$15:$Q$572,Mobiliti!$K$15:$K$572,"Importado")</f>
        <v>0</v>
      </c>
      <c r="C67" t="s">
        <v>411</v>
      </c>
      <c r="D67" t="s">
        <v>412</v>
      </c>
      <c r="E67" s="744">
        <v>0.7</v>
      </c>
    </row>
    <row r="68" spans="1:18">
      <c r="A68" t="s">
        <v>413</v>
      </c>
      <c r="B68" s="1171" t="str">
        <f>IF($B$67=0,"SIN IMPORTACIÓN",IF(AND($B$62&gt;0,$B$63&gt;0),$B$62&amp;" x 20' + "&amp;$B$63&amp;" x 40HC",IF($B$63&gt;0,$B$63&amp;" x 40HC",$B$62&amp;" x 20'"))&amp;" | Ocupación: "&amp;TEXT($B$67/($B$62*$B$71+$B$63*$B$74),"0.0%"))</f>
        <v>SIN IMPORTACIÓN</v>
      </c>
      <c r="D68" t="s">
        <v>414</v>
      </c>
      <c r="E68" s="744">
        <v>1.1000000000000001</v>
      </c>
    </row>
    <row r="70" spans="1:18">
      <c r="A70" s="1052" t="s">
        <v>415</v>
      </c>
      <c r="M70" t="s">
        <v>416</v>
      </c>
      <c r="N70" t="s">
        <v>417</v>
      </c>
      <c r="O70" t="s">
        <v>418</v>
      </c>
      <c r="P70" t="s">
        <v>419</v>
      </c>
      <c r="Q70" t="s">
        <v>420</v>
      </c>
      <c r="R70" t="s">
        <v>287</v>
      </c>
    </row>
    <row r="71" spans="1:18">
      <c r="A71" t="s">
        <v>421</v>
      </c>
      <c r="B71" s="1169">
        <v>28</v>
      </c>
      <c r="M71">
        <f>ROW()-71</f>
        <v>0</v>
      </c>
      <c r="N71">
        <f>M71*$B$74</f>
        <v>0</v>
      </c>
      <c r="O71">
        <f>MAX(0,$B$67-N71)</f>
        <v>0</v>
      </c>
      <c r="P71">
        <f>IF($B$67=0,0,ROUNDUP(O71/$B$71,0))</f>
        <v>0</v>
      </c>
      <c r="Q71">
        <f>N71+(P71*$B$71)</f>
        <v>0</v>
      </c>
      <c r="R71" s="1157">
        <f>IF($B$67=0,0,IF(Q71&gt;=$B$67,M71*$B$75*(1+$B$76)+P71*$B$72*(1+$B$73),10^99))</f>
        <v>0</v>
      </c>
    </row>
    <row r="72" spans="1:18">
      <c r="A72" t="s">
        <v>422</v>
      </c>
      <c r="B72" s="1176">
        <v>20800</v>
      </c>
      <c r="M72">
        <f t="shared" ref="M72:M91" si="0">ROW()-71</f>
        <v>1</v>
      </c>
      <c r="N72">
        <f>M72*$B$74</f>
        <v>65</v>
      </c>
      <c r="O72">
        <f t="shared" ref="O72:O91" si="1">MAX(0,$B$67-N72)</f>
        <v>0</v>
      </c>
      <c r="P72">
        <f t="shared" ref="P72:P91" si="2">IF($B$67=0,0,ROUNDUP(O72/$B$71,0))</f>
        <v>0</v>
      </c>
      <c r="Q72">
        <f t="shared" ref="Q72:Q91" si="3">N72+(P72*$B$71)</f>
        <v>65</v>
      </c>
      <c r="R72" s="1157">
        <f t="shared" ref="R72:R91" si="4">IF($B$67=0,0,IF(Q72&gt;=$B$67,M72*$B$75*(1+$B$76)+P72*$B$72*(1+$B$73),10^99))</f>
        <v>0</v>
      </c>
    </row>
    <row r="73" spans="1:18">
      <c r="A73" t="s">
        <v>423</v>
      </c>
      <c r="B73" s="2">
        <v>0.16</v>
      </c>
      <c r="M73">
        <f t="shared" si="0"/>
        <v>2</v>
      </c>
      <c r="N73">
        <f t="shared" ref="N73:N91" si="5">M73*$B$74</f>
        <v>130</v>
      </c>
      <c r="O73">
        <f t="shared" si="1"/>
        <v>0</v>
      </c>
      <c r="P73">
        <f t="shared" si="2"/>
        <v>0</v>
      </c>
      <c r="Q73">
        <f t="shared" si="3"/>
        <v>130</v>
      </c>
      <c r="R73" s="1157">
        <f t="shared" si="4"/>
        <v>0</v>
      </c>
    </row>
    <row r="74" spans="1:18">
      <c r="A74" t="s">
        <v>424</v>
      </c>
      <c r="B74" s="1169">
        <v>65</v>
      </c>
      <c r="M74">
        <f t="shared" si="0"/>
        <v>3</v>
      </c>
      <c r="N74">
        <f t="shared" si="5"/>
        <v>195</v>
      </c>
      <c r="O74">
        <f t="shared" si="1"/>
        <v>0</v>
      </c>
      <c r="P74">
        <f t="shared" si="2"/>
        <v>0</v>
      </c>
      <c r="Q74">
        <f t="shared" si="3"/>
        <v>195</v>
      </c>
      <c r="R74" s="1157">
        <f t="shared" si="4"/>
        <v>0</v>
      </c>
    </row>
    <row r="75" spans="1:18">
      <c r="A75" s="744" t="s">
        <v>425</v>
      </c>
      <c r="B75" s="1176">
        <v>22500</v>
      </c>
      <c r="M75">
        <f t="shared" si="0"/>
        <v>4</v>
      </c>
      <c r="N75">
        <f t="shared" si="5"/>
        <v>260</v>
      </c>
      <c r="O75">
        <f t="shared" si="1"/>
        <v>0</v>
      </c>
      <c r="P75">
        <f t="shared" si="2"/>
        <v>0</v>
      </c>
      <c r="Q75">
        <f t="shared" si="3"/>
        <v>260</v>
      </c>
      <c r="R75" s="1157">
        <f t="shared" si="4"/>
        <v>0</v>
      </c>
    </row>
    <row r="76" spans="1:18">
      <c r="A76" t="s">
        <v>426</v>
      </c>
      <c r="B76" s="2">
        <v>0.16</v>
      </c>
      <c r="M76">
        <f t="shared" si="0"/>
        <v>5</v>
      </c>
      <c r="N76">
        <f t="shared" si="5"/>
        <v>325</v>
      </c>
      <c r="O76">
        <f t="shared" si="1"/>
        <v>0</v>
      </c>
      <c r="P76">
        <f t="shared" si="2"/>
        <v>0</v>
      </c>
      <c r="Q76">
        <f t="shared" si="3"/>
        <v>325</v>
      </c>
      <c r="R76" s="1157">
        <f t="shared" si="4"/>
        <v>0</v>
      </c>
    </row>
    <row r="77" spans="1:18">
      <c r="A77" t="s">
        <v>427</v>
      </c>
      <c r="B77" s="2">
        <v>0.16</v>
      </c>
      <c r="M77">
        <f t="shared" si="0"/>
        <v>6</v>
      </c>
      <c r="N77">
        <f t="shared" si="5"/>
        <v>390</v>
      </c>
      <c r="O77">
        <f t="shared" si="1"/>
        <v>0</v>
      </c>
      <c r="P77">
        <f t="shared" si="2"/>
        <v>0</v>
      </c>
      <c r="Q77">
        <f t="shared" si="3"/>
        <v>390</v>
      </c>
      <c r="R77" s="1157">
        <f t="shared" si="4"/>
        <v>0</v>
      </c>
    </row>
    <row r="78" spans="1:18">
      <c r="A78" s="1052" t="s">
        <v>428</v>
      </c>
      <c r="B78" s="1157">
        <v>0</v>
      </c>
      <c r="M78">
        <f t="shared" si="0"/>
        <v>7</v>
      </c>
      <c r="N78">
        <f t="shared" si="5"/>
        <v>455</v>
      </c>
      <c r="O78">
        <f t="shared" si="1"/>
        <v>0</v>
      </c>
      <c r="P78">
        <f t="shared" si="2"/>
        <v>0</v>
      </c>
      <c r="Q78">
        <f t="shared" si="3"/>
        <v>455</v>
      </c>
      <c r="R78" s="1157">
        <f t="shared" si="4"/>
        <v>0</v>
      </c>
    </row>
    <row r="79" spans="1:18">
      <c r="A79" t="s">
        <v>429</v>
      </c>
      <c r="B79" s="1157">
        <f ca="1">Mobiliti!$P$6</f>
        <v>16.989599999999999</v>
      </c>
      <c r="M79">
        <f t="shared" si="0"/>
        <v>8</v>
      </c>
      <c r="N79">
        <f t="shared" si="5"/>
        <v>520</v>
      </c>
      <c r="O79">
        <f t="shared" si="1"/>
        <v>0</v>
      </c>
      <c r="P79">
        <f t="shared" si="2"/>
        <v>0</v>
      </c>
      <c r="Q79">
        <f t="shared" si="3"/>
        <v>520</v>
      </c>
      <c r="R79" s="1157">
        <f t="shared" si="4"/>
        <v>0</v>
      </c>
    </row>
    <row r="80" spans="1:18">
      <c r="M80">
        <f t="shared" si="0"/>
        <v>9</v>
      </c>
      <c r="N80">
        <f t="shared" si="5"/>
        <v>585</v>
      </c>
      <c r="O80">
        <f t="shared" si="1"/>
        <v>0</v>
      </c>
      <c r="P80">
        <f t="shared" si="2"/>
        <v>0</v>
      </c>
      <c r="Q80">
        <f t="shared" si="3"/>
        <v>585</v>
      </c>
      <c r="R80" s="1157">
        <f t="shared" si="4"/>
        <v>0</v>
      </c>
    </row>
    <row r="81" spans="1:18">
      <c r="M81">
        <f t="shared" si="0"/>
        <v>10</v>
      </c>
      <c r="N81">
        <f t="shared" si="5"/>
        <v>650</v>
      </c>
      <c r="O81">
        <f t="shared" si="1"/>
        <v>0</v>
      </c>
      <c r="P81">
        <f t="shared" si="2"/>
        <v>0</v>
      </c>
      <c r="Q81">
        <f t="shared" si="3"/>
        <v>650</v>
      </c>
      <c r="R81" s="1157">
        <f t="shared" si="4"/>
        <v>0</v>
      </c>
    </row>
    <row r="82" spans="1:18">
      <c r="A82" s="1052"/>
      <c r="M82">
        <f t="shared" si="0"/>
        <v>11</v>
      </c>
      <c r="N82">
        <f t="shared" si="5"/>
        <v>715</v>
      </c>
      <c r="O82">
        <f t="shared" si="1"/>
        <v>0</v>
      </c>
      <c r="P82">
        <f t="shared" si="2"/>
        <v>0</v>
      </c>
      <c r="Q82">
        <f t="shared" si="3"/>
        <v>715</v>
      </c>
      <c r="R82" s="1157">
        <f t="shared" si="4"/>
        <v>0</v>
      </c>
    </row>
    <row r="83" spans="1:18">
      <c r="A83" s="744"/>
      <c r="M83">
        <f t="shared" si="0"/>
        <v>12</v>
      </c>
      <c r="N83">
        <f t="shared" si="5"/>
        <v>780</v>
      </c>
      <c r="O83">
        <f t="shared" si="1"/>
        <v>0</v>
      </c>
      <c r="P83">
        <f t="shared" si="2"/>
        <v>0</v>
      </c>
      <c r="Q83">
        <f t="shared" si="3"/>
        <v>780</v>
      </c>
      <c r="R83" s="1157">
        <f t="shared" si="4"/>
        <v>0</v>
      </c>
    </row>
    <row r="84" spans="1:18">
      <c r="M84">
        <f t="shared" si="0"/>
        <v>13</v>
      </c>
      <c r="N84">
        <f t="shared" si="5"/>
        <v>845</v>
      </c>
      <c r="O84">
        <f t="shared" si="1"/>
        <v>0</v>
      </c>
      <c r="P84">
        <f t="shared" si="2"/>
        <v>0</v>
      </c>
      <c r="Q84">
        <f t="shared" si="3"/>
        <v>845</v>
      </c>
      <c r="R84" s="1157">
        <f t="shared" si="4"/>
        <v>0</v>
      </c>
    </row>
    <row r="85" spans="1:18">
      <c r="M85">
        <f t="shared" si="0"/>
        <v>14</v>
      </c>
      <c r="N85">
        <f t="shared" si="5"/>
        <v>910</v>
      </c>
      <c r="O85">
        <f t="shared" si="1"/>
        <v>0</v>
      </c>
      <c r="P85">
        <f t="shared" si="2"/>
        <v>0</v>
      </c>
      <c r="Q85">
        <f t="shared" si="3"/>
        <v>910</v>
      </c>
      <c r="R85" s="1157">
        <f t="shared" si="4"/>
        <v>0</v>
      </c>
    </row>
    <row r="86" spans="1:18">
      <c r="M86">
        <f t="shared" si="0"/>
        <v>15</v>
      </c>
      <c r="N86">
        <f t="shared" si="5"/>
        <v>975</v>
      </c>
      <c r="O86">
        <f t="shared" si="1"/>
        <v>0</v>
      </c>
      <c r="P86">
        <f t="shared" si="2"/>
        <v>0</v>
      </c>
      <c r="Q86">
        <f t="shared" si="3"/>
        <v>975</v>
      </c>
      <c r="R86" s="1157">
        <f t="shared" si="4"/>
        <v>0</v>
      </c>
    </row>
    <row r="87" spans="1:18">
      <c r="M87">
        <f t="shared" si="0"/>
        <v>16</v>
      </c>
      <c r="N87">
        <f t="shared" si="5"/>
        <v>1040</v>
      </c>
      <c r="O87">
        <f t="shared" si="1"/>
        <v>0</v>
      </c>
      <c r="P87">
        <f t="shared" si="2"/>
        <v>0</v>
      </c>
      <c r="Q87">
        <f t="shared" si="3"/>
        <v>1040</v>
      </c>
      <c r="R87" s="1157">
        <f t="shared" si="4"/>
        <v>0</v>
      </c>
    </row>
    <row r="88" spans="1:18">
      <c r="M88">
        <f t="shared" si="0"/>
        <v>17</v>
      </c>
      <c r="N88">
        <f t="shared" si="5"/>
        <v>1105</v>
      </c>
      <c r="O88">
        <f t="shared" si="1"/>
        <v>0</v>
      </c>
      <c r="P88">
        <f t="shared" si="2"/>
        <v>0</v>
      </c>
      <c r="Q88">
        <f t="shared" si="3"/>
        <v>1105</v>
      </c>
      <c r="R88" s="1157">
        <f t="shared" si="4"/>
        <v>0</v>
      </c>
    </row>
    <row r="89" spans="1:18">
      <c r="M89">
        <f t="shared" si="0"/>
        <v>18</v>
      </c>
      <c r="N89">
        <f t="shared" si="5"/>
        <v>1170</v>
      </c>
      <c r="O89">
        <f t="shared" si="1"/>
        <v>0</v>
      </c>
      <c r="P89">
        <f t="shared" si="2"/>
        <v>0</v>
      </c>
      <c r="Q89">
        <f t="shared" si="3"/>
        <v>1170</v>
      </c>
      <c r="R89" s="1157">
        <f t="shared" si="4"/>
        <v>0</v>
      </c>
    </row>
    <row r="90" spans="1:18">
      <c r="M90">
        <f t="shared" si="0"/>
        <v>19</v>
      </c>
      <c r="N90">
        <f t="shared" si="5"/>
        <v>1235</v>
      </c>
      <c r="O90">
        <f t="shared" si="1"/>
        <v>0</v>
      </c>
      <c r="P90">
        <f t="shared" si="2"/>
        <v>0</v>
      </c>
      <c r="Q90">
        <f t="shared" si="3"/>
        <v>1235</v>
      </c>
      <c r="R90" s="1157">
        <f t="shared" si="4"/>
        <v>0</v>
      </c>
    </row>
    <row r="91" spans="1:18">
      <c r="M91">
        <f t="shared" si="0"/>
        <v>20</v>
      </c>
      <c r="N91">
        <f t="shared" si="5"/>
        <v>1300</v>
      </c>
      <c r="O91">
        <f t="shared" si="1"/>
        <v>0</v>
      </c>
      <c r="P91">
        <f t="shared" si="2"/>
        <v>0</v>
      </c>
      <c r="Q91">
        <f t="shared" si="3"/>
        <v>1300</v>
      </c>
      <c r="R91" s="1157">
        <f t="shared" si="4"/>
        <v>0</v>
      </c>
    </row>
  </sheetData>
  <sheetProtection algorithmName="SHA-512" hashValue="v3wJ5ubsnu2GHl0Zo78jD0YxSaC7Zn6LVD/1fNH41zCbHf75XFEMeNfpcYEWkFxh4vvT7RxYBhrexcfHGKPdtA==" saltValue="xcDZ+Kn3P5Ykn0be3NxsAg=="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dataValidations count="1">
    <dataValidation type="list" allowBlank="1" showInputMessage="1" showErrorMessage="1" sqref="E60" xr:uid="{2FC7D6D2-C89D-9548-8839-953AF235E45A}">
      <formula1>$M$61:$M$63</formula1>
    </dataValidation>
  </dataValidations>
  <pageMargins left="0.7" right="0.7" top="0.75" bottom="0.75" header="0.3" footer="0.3"/>
  <drawing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L44"/>
  <sheetViews>
    <sheetView zoomScaleNormal="278" workbookViewId="0">
      <selection activeCell="A18" sqref="A18"/>
    </sheetView>
  </sheetViews>
  <sheetFormatPr defaultColWidth="11.42578125" defaultRowHeight="15"/>
  <cols>
    <col min="1" max="1" width="28.42578125" bestFit="1" customWidth="1"/>
    <col min="2" max="2" width="8.7109375" style="735" bestFit="1" customWidth="1"/>
    <col min="3" max="3" width="23.28515625" style="18" customWidth="1"/>
    <col min="4" max="5" width="16.85546875" style="733" customWidth="1"/>
    <col min="6" max="6" width="20.140625" style="733" bestFit="1" customWidth="1"/>
    <col min="7" max="7" width="20.140625" style="733" customWidth="1"/>
    <col min="8" max="8" width="27.42578125" style="733" bestFit="1" customWidth="1"/>
    <col min="9" max="9" width="32.85546875" style="733" bestFit="1" customWidth="1"/>
    <col min="10" max="10" width="44.42578125" style="17" customWidth="1"/>
  </cols>
  <sheetData>
    <row r="1" spans="1:12">
      <c r="A1" s="734" t="s">
        <v>430</v>
      </c>
      <c r="B1" s="735" t="s">
        <v>431</v>
      </c>
      <c r="C1" s="733" t="s">
        <v>432</v>
      </c>
      <c r="D1" s="733" t="s">
        <v>433</v>
      </c>
      <c r="E1" s="733" t="s">
        <v>434</v>
      </c>
      <c r="F1" s="733" t="s">
        <v>435</v>
      </c>
      <c r="G1" s="733" t="s">
        <v>436</v>
      </c>
      <c r="H1" s="733" t="s">
        <v>437</v>
      </c>
      <c r="I1" s="733" t="s">
        <v>438</v>
      </c>
      <c r="J1" s="735"/>
    </row>
    <row r="2" spans="1:12">
      <c r="A2" t="s">
        <v>163</v>
      </c>
      <c r="B2" s="734" t="s">
        <v>439</v>
      </c>
      <c r="C2" s="2">
        <v>0.85</v>
      </c>
      <c r="D2" s="732">
        <v>0.05</v>
      </c>
      <c r="E2" s="732" t="s">
        <v>440</v>
      </c>
      <c r="F2" s="1284">
        <v>0.15</v>
      </c>
      <c r="G2" s="732">
        <v>0.4</v>
      </c>
      <c r="H2" s="732">
        <v>0.5</v>
      </c>
      <c r="I2" s="732">
        <v>0</v>
      </c>
      <c r="J2" t="s">
        <v>441</v>
      </c>
    </row>
    <row r="3" spans="1:12">
      <c r="A3" t="s">
        <v>165</v>
      </c>
      <c r="B3" s="734" t="s">
        <v>442</v>
      </c>
      <c r="C3" s="2">
        <v>0.85</v>
      </c>
      <c r="D3" s="732">
        <v>0.05</v>
      </c>
      <c r="E3" s="732" t="s">
        <v>440</v>
      </c>
      <c r="F3" s="1284">
        <v>0.15</v>
      </c>
      <c r="G3" s="732">
        <v>0.4</v>
      </c>
      <c r="H3" s="732">
        <v>0.5</v>
      </c>
      <c r="I3" s="732">
        <v>0</v>
      </c>
      <c r="J3" t="s">
        <v>443</v>
      </c>
    </row>
    <row r="4" spans="1:12">
      <c r="A4" t="s">
        <v>166</v>
      </c>
      <c r="B4" s="735" t="s">
        <v>444</v>
      </c>
      <c r="C4" s="2">
        <v>0.85</v>
      </c>
      <c r="D4" s="732">
        <v>0.05</v>
      </c>
      <c r="E4" s="732" t="s">
        <v>440</v>
      </c>
      <c r="F4" s="1284">
        <v>0.15</v>
      </c>
      <c r="G4" s="732">
        <v>0.4</v>
      </c>
      <c r="H4" s="732">
        <v>0.5</v>
      </c>
      <c r="I4" s="732">
        <v>0</v>
      </c>
      <c r="J4"/>
      <c r="L4" t="s">
        <v>440</v>
      </c>
    </row>
    <row r="5" spans="1:12">
      <c r="A5" t="s">
        <v>167</v>
      </c>
      <c r="B5" s="735" t="s">
        <v>445</v>
      </c>
      <c r="C5" s="2">
        <v>0.85</v>
      </c>
      <c r="D5" s="732">
        <v>0.05</v>
      </c>
      <c r="E5" s="732" t="s">
        <v>440</v>
      </c>
      <c r="F5" s="1284">
        <v>0.15</v>
      </c>
      <c r="G5" s="732">
        <v>0.4</v>
      </c>
      <c r="H5" s="732">
        <v>0.5</v>
      </c>
      <c r="I5" s="732">
        <v>0</v>
      </c>
      <c r="J5"/>
      <c r="L5" t="str">
        <f>VLOOKUP(L4,ProveedoreS_TC,5)</f>
        <v>Importado</v>
      </c>
    </row>
    <row r="6" spans="1:12">
      <c r="A6" t="s">
        <v>168</v>
      </c>
      <c r="B6" s="735" t="s">
        <v>446</v>
      </c>
      <c r="C6" s="2">
        <v>0.85</v>
      </c>
      <c r="D6" s="732">
        <v>0.05</v>
      </c>
      <c r="E6" s="732" t="s">
        <v>440</v>
      </c>
      <c r="F6" s="1284">
        <v>0.15</v>
      </c>
      <c r="G6" s="732">
        <v>0.4</v>
      </c>
      <c r="H6" s="732">
        <v>0.5</v>
      </c>
      <c r="I6" s="732">
        <v>0</v>
      </c>
      <c r="J6"/>
    </row>
    <row r="7" spans="1:12">
      <c r="A7" t="s">
        <v>169</v>
      </c>
      <c r="B7" s="735" t="s">
        <v>447</v>
      </c>
      <c r="C7" s="2">
        <v>0.85</v>
      </c>
      <c r="D7" s="732">
        <v>0.05</v>
      </c>
      <c r="E7" s="732" t="s">
        <v>440</v>
      </c>
      <c r="F7" s="1284">
        <v>0.15</v>
      </c>
      <c r="G7" s="732">
        <v>0.4</v>
      </c>
      <c r="H7" s="732">
        <v>0.5</v>
      </c>
      <c r="I7" s="732">
        <v>0</v>
      </c>
    </row>
    <row r="8" spans="1:12">
      <c r="A8" t="s">
        <v>170</v>
      </c>
      <c r="B8" s="735" t="s">
        <v>448</v>
      </c>
      <c r="C8" s="2">
        <v>0.85</v>
      </c>
      <c r="D8" s="732">
        <v>0.05</v>
      </c>
      <c r="E8" s="732" t="s">
        <v>440</v>
      </c>
      <c r="F8" s="1284">
        <v>0.1</v>
      </c>
      <c r="G8" s="732">
        <v>0.4</v>
      </c>
      <c r="H8" s="732">
        <v>0.5</v>
      </c>
      <c r="I8" s="732">
        <v>0</v>
      </c>
      <c r="J8" t="s">
        <v>449</v>
      </c>
    </row>
    <row r="9" spans="1:12">
      <c r="A9" t="s">
        <v>171</v>
      </c>
      <c r="B9" s="734" t="s">
        <v>450</v>
      </c>
      <c r="C9" s="2">
        <v>0.85</v>
      </c>
      <c r="D9" s="732">
        <v>0.05</v>
      </c>
      <c r="E9" s="732" t="s">
        <v>440</v>
      </c>
      <c r="F9" s="1284">
        <v>0.1</v>
      </c>
      <c r="G9" s="732">
        <v>0.4</v>
      </c>
      <c r="H9" s="732">
        <v>0.5</v>
      </c>
      <c r="I9" s="732">
        <v>0</v>
      </c>
      <c r="J9" t="s">
        <v>451</v>
      </c>
    </row>
    <row r="10" spans="1:12">
      <c r="A10" t="s">
        <v>172</v>
      </c>
      <c r="B10" s="734" t="s">
        <v>452</v>
      </c>
      <c r="C10" s="2">
        <v>0.85</v>
      </c>
      <c r="D10" s="732">
        <v>0.05</v>
      </c>
      <c r="E10" s="732" t="s">
        <v>440</v>
      </c>
      <c r="F10" s="1284">
        <v>0.1</v>
      </c>
      <c r="G10" s="732">
        <v>0.4</v>
      </c>
      <c r="H10" s="732">
        <v>0.5</v>
      </c>
      <c r="I10" s="732">
        <v>0</v>
      </c>
      <c r="J10" t="s">
        <v>453</v>
      </c>
      <c r="L10" s="744">
        <v>0</v>
      </c>
    </row>
    <row r="11" spans="1:12">
      <c r="A11" t="s">
        <v>173</v>
      </c>
      <c r="B11" s="735" t="s">
        <v>454</v>
      </c>
      <c r="C11" s="2">
        <v>0.85</v>
      </c>
      <c r="D11" s="732">
        <v>0.05</v>
      </c>
      <c r="E11" s="732" t="s">
        <v>440</v>
      </c>
      <c r="F11" s="1284">
        <v>0.1</v>
      </c>
      <c r="G11" s="732">
        <v>0.4</v>
      </c>
      <c r="H11" s="732">
        <v>0.5</v>
      </c>
      <c r="I11" s="732">
        <v>0</v>
      </c>
      <c r="J11" t="s">
        <v>455</v>
      </c>
    </row>
    <row r="12" spans="1:12">
      <c r="A12" t="s">
        <v>174</v>
      </c>
      <c r="B12" s="735" t="s">
        <v>456</v>
      </c>
      <c r="C12" s="2">
        <v>0.85</v>
      </c>
      <c r="D12" s="732">
        <v>0.05</v>
      </c>
      <c r="E12" s="732" t="s">
        <v>440</v>
      </c>
      <c r="F12" s="1284">
        <v>0.1</v>
      </c>
      <c r="G12" s="732">
        <v>0.4</v>
      </c>
      <c r="H12" s="732">
        <v>0.5</v>
      </c>
      <c r="I12" s="732">
        <v>0</v>
      </c>
      <c r="J12" t="s">
        <v>455</v>
      </c>
    </row>
    <row r="13" spans="1:12">
      <c r="A13" t="s">
        <v>175</v>
      </c>
      <c r="B13" s="735" t="s">
        <v>457</v>
      </c>
      <c r="C13" s="2">
        <v>0.85</v>
      </c>
      <c r="D13" s="732">
        <v>0.05</v>
      </c>
      <c r="E13" s="732" t="s">
        <v>440</v>
      </c>
      <c r="F13" s="1284">
        <v>0.1</v>
      </c>
      <c r="G13" s="732">
        <v>0.4</v>
      </c>
      <c r="H13" s="732">
        <v>0.5</v>
      </c>
      <c r="I13" s="732">
        <v>0</v>
      </c>
      <c r="J13" t="s">
        <v>458</v>
      </c>
    </row>
    <row r="14" spans="1:12">
      <c r="A14" t="s">
        <v>176</v>
      </c>
      <c r="B14" s="734" t="s">
        <v>459</v>
      </c>
      <c r="C14" s="2">
        <v>0.85</v>
      </c>
      <c r="D14" s="732">
        <v>0.05</v>
      </c>
      <c r="E14" s="732" t="s">
        <v>440</v>
      </c>
      <c r="F14" s="1284">
        <v>0.1</v>
      </c>
      <c r="G14" s="732">
        <v>0.4</v>
      </c>
      <c r="H14" s="732">
        <v>0.5</v>
      </c>
      <c r="I14" s="732">
        <v>0</v>
      </c>
      <c r="J14" t="s">
        <v>460</v>
      </c>
    </row>
    <row r="15" spans="1:12">
      <c r="A15" t="s">
        <v>177</v>
      </c>
      <c r="B15" s="734" t="s">
        <v>461</v>
      </c>
      <c r="C15" s="2">
        <v>0.85</v>
      </c>
      <c r="D15" s="732">
        <v>0.05</v>
      </c>
      <c r="E15" s="732" t="s">
        <v>440</v>
      </c>
      <c r="F15" s="1284">
        <v>0.1</v>
      </c>
      <c r="G15" s="732">
        <v>0.4</v>
      </c>
      <c r="H15" s="732">
        <v>0.5</v>
      </c>
      <c r="I15" s="732">
        <v>0</v>
      </c>
      <c r="J15" t="s">
        <v>460</v>
      </c>
    </row>
    <row r="16" spans="1:12">
      <c r="A16" t="s">
        <v>179</v>
      </c>
      <c r="B16" s="734" t="s">
        <v>462</v>
      </c>
      <c r="C16" s="3">
        <v>0.85</v>
      </c>
      <c r="D16" s="732">
        <v>0</v>
      </c>
      <c r="E16" s="732" t="s">
        <v>463</v>
      </c>
      <c r="F16" s="1284">
        <v>0</v>
      </c>
      <c r="G16" s="732">
        <v>0.3</v>
      </c>
      <c r="H16" s="732">
        <v>0.5</v>
      </c>
      <c r="I16" s="732">
        <v>0</v>
      </c>
      <c r="J16" t="s">
        <v>464</v>
      </c>
    </row>
    <row r="17" spans="1:10">
      <c r="A17" t="s">
        <v>180</v>
      </c>
      <c r="B17" s="734" t="s">
        <v>465</v>
      </c>
      <c r="C17" s="3">
        <v>0.5</v>
      </c>
      <c r="D17" s="732">
        <v>0</v>
      </c>
      <c r="E17" s="732" t="s">
        <v>463</v>
      </c>
      <c r="F17" s="1284">
        <v>0</v>
      </c>
      <c r="G17" s="732">
        <v>0.3</v>
      </c>
      <c r="H17" s="732">
        <v>0.2</v>
      </c>
      <c r="I17" s="732">
        <v>0</v>
      </c>
      <c r="J17" t="s">
        <v>460</v>
      </c>
    </row>
    <row r="18" spans="1:10">
      <c r="A18" t="s">
        <v>181</v>
      </c>
      <c r="B18" s="734" t="s">
        <v>466</v>
      </c>
      <c r="C18" s="2">
        <v>0.5</v>
      </c>
      <c r="D18" s="732">
        <v>0</v>
      </c>
      <c r="E18" s="732" t="s">
        <v>463</v>
      </c>
      <c r="F18" s="1282">
        <v>0</v>
      </c>
      <c r="G18" s="732">
        <v>0.3</v>
      </c>
      <c r="H18" s="732">
        <v>0.2</v>
      </c>
      <c r="I18" s="732">
        <v>0</v>
      </c>
      <c r="J18" t="s">
        <v>467</v>
      </c>
    </row>
    <row r="19" spans="1:10">
      <c r="A19" t="s">
        <v>182</v>
      </c>
      <c r="B19" s="734" t="s">
        <v>468</v>
      </c>
      <c r="C19" s="2">
        <v>0.45</v>
      </c>
      <c r="D19" s="732">
        <v>0</v>
      </c>
      <c r="E19" s="732" t="s">
        <v>463</v>
      </c>
      <c r="F19" s="1282">
        <v>0</v>
      </c>
      <c r="G19" s="732">
        <v>0.3</v>
      </c>
      <c r="H19" s="732">
        <v>0.2</v>
      </c>
      <c r="I19" s="732">
        <v>0.45</v>
      </c>
      <c r="J19" t="s">
        <v>469</v>
      </c>
    </row>
    <row r="20" spans="1:10">
      <c r="A20" t="s">
        <v>184</v>
      </c>
      <c r="B20" s="734" t="s">
        <v>470</v>
      </c>
      <c r="C20" s="3">
        <v>0.5</v>
      </c>
      <c r="D20" s="732">
        <v>0</v>
      </c>
      <c r="E20" s="732" t="s">
        <v>463</v>
      </c>
      <c r="F20" s="1282">
        <v>0</v>
      </c>
      <c r="G20" s="732">
        <v>0.3</v>
      </c>
      <c r="H20" s="732">
        <v>0.2</v>
      </c>
      <c r="I20" s="732">
        <v>0</v>
      </c>
      <c r="J20" t="s">
        <v>464</v>
      </c>
    </row>
    <row r="21" spans="1:10">
      <c r="A21" t="s">
        <v>185</v>
      </c>
      <c r="B21" s="734" t="s">
        <v>471</v>
      </c>
      <c r="C21" s="3">
        <v>0.5</v>
      </c>
      <c r="D21" s="732">
        <v>0</v>
      </c>
      <c r="E21" s="732" t="s">
        <v>463</v>
      </c>
      <c r="F21" s="1282">
        <v>0</v>
      </c>
      <c r="G21" s="732">
        <v>0.3</v>
      </c>
      <c r="H21" s="732">
        <v>0.2</v>
      </c>
      <c r="I21" s="732">
        <v>0.5</v>
      </c>
      <c r="J21" t="s">
        <v>472</v>
      </c>
    </row>
    <row r="22" spans="1:10">
      <c r="A22" t="s">
        <v>186</v>
      </c>
      <c r="B22" s="734" t="s">
        <v>473</v>
      </c>
      <c r="C22" s="3">
        <v>0.5</v>
      </c>
      <c r="D22" s="732">
        <v>0</v>
      </c>
      <c r="E22" s="732" t="s">
        <v>463</v>
      </c>
      <c r="F22" s="1282">
        <v>0</v>
      </c>
      <c r="G22" s="732">
        <v>0.3</v>
      </c>
      <c r="H22" s="732">
        <v>0.2</v>
      </c>
      <c r="I22" s="732">
        <v>0</v>
      </c>
      <c r="J22" t="s">
        <v>474</v>
      </c>
    </row>
    <row r="23" spans="1:10">
      <c r="A23" t="s">
        <v>187</v>
      </c>
      <c r="B23" s="734" t="s">
        <v>475</v>
      </c>
      <c r="C23" s="2">
        <v>0.4</v>
      </c>
      <c r="D23" s="732">
        <v>0</v>
      </c>
      <c r="E23" s="732" t="s">
        <v>463</v>
      </c>
      <c r="F23" s="1282">
        <v>0</v>
      </c>
      <c r="G23" s="732">
        <v>0.3</v>
      </c>
      <c r="H23" s="732">
        <v>0.2</v>
      </c>
      <c r="I23" s="732">
        <v>0.4</v>
      </c>
      <c r="J23" t="s">
        <v>476</v>
      </c>
    </row>
    <row r="24" spans="1:10">
      <c r="A24" t="s">
        <v>188</v>
      </c>
      <c r="B24" s="734" t="s">
        <v>477</v>
      </c>
      <c r="C24" s="3">
        <v>0.5</v>
      </c>
      <c r="D24" s="732">
        <v>0</v>
      </c>
      <c r="E24" s="732" t="s">
        <v>463</v>
      </c>
      <c r="F24" s="1282">
        <v>0</v>
      </c>
      <c r="G24" s="732">
        <v>0.3</v>
      </c>
      <c r="H24" s="732">
        <v>0.2</v>
      </c>
      <c r="I24" s="732">
        <v>0</v>
      </c>
      <c r="J24" t="s">
        <v>478</v>
      </c>
    </row>
    <row r="25" spans="1:10">
      <c r="A25" t="s">
        <v>189</v>
      </c>
      <c r="B25" s="734" t="s">
        <v>479</v>
      </c>
      <c r="C25" s="2">
        <v>0.5</v>
      </c>
      <c r="D25" s="732">
        <v>0</v>
      </c>
      <c r="E25" s="732" t="s">
        <v>463</v>
      </c>
      <c r="F25" s="1282">
        <v>0</v>
      </c>
      <c r="G25" s="732">
        <v>0.3</v>
      </c>
      <c r="H25" s="732">
        <v>0.2</v>
      </c>
      <c r="I25" s="732">
        <v>0</v>
      </c>
      <c r="J25" t="s">
        <v>480</v>
      </c>
    </row>
    <row r="26" spans="1:10">
      <c r="A26" t="s">
        <v>190</v>
      </c>
      <c r="B26" s="734" t="s">
        <v>481</v>
      </c>
      <c r="C26" s="3">
        <v>0.5</v>
      </c>
      <c r="D26" s="732">
        <v>0</v>
      </c>
      <c r="E26" s="732" t="s">
        <v>463</v>
      </c>
      <c r="F26" s="1282">
        <v>0</v>
      </c>
      <c r="G26" s="732">
        <v>0.3</v>
      </c>
      <c r="H26" s="732">
        <v>0.2</v>
      </c>
      <c r="I26" s="732">
        <v>0</v>
      </c>
      <c r="J26" t="s">
        <v>482</v>
      </c>
    </row>
    <row r="27" spans="1:10">
      <c r="A27" t="s">
        <v>191</v>
      </c>
      <c r="B27" s="734" t="s">
        <v>483</v>
      </c>
      <c r="C27" s="3">
        <v>0.5</v>
      </c>
      <c r="D27" s="732">
        <v>0</v>
      </c>
      <c r="E27" s="732" t="s">
        <v>463</v>
      </c>
      <c r="F27" s="1282">
        <v>0</v>
      </c>
      <c r="G27" s="732">
        <v>0.3</v>
      </c>
      <c r="H27" s="732">
        <v>0.2</v>
      </c>
      <c r="I27" s="732">
        <v>0</v>
      </c>
      <c r="J27" t="s">
        <v>484</v>
      </c>
    </row>
    <row r="28" spans="1:10">
      <c r="A28" t="s">
        <v>192</v>
      </c>
      <c r="B28" s="734" t="s">
        <v>485</v>
      </c>
      <c r="C28" s="2">
        <v>0.5</v>
      </c>
      <c r="D28" s="732">
        <v>0</v>
      </c>
      <c r="E28" s="732" t="s">
        <v>463</v>
      </c>
      <c r="F28" s="1282">
        <v>0</v>
      </c>
      <c r="G28" s="732">
        <v>0.3</v>
      </c>
      <c r="H28" s="732">
        <v>0.2</v>
      </c>
      <c r="I28" s="732">
        <v>0</v>
      </c>
      <c r="J28" t="s">
        <v>486</v>
      </c>
    </row>
    <row r="29" spans="1:10">
      <c r="A29" t="s">
        <v>193</v>
      </c>
      <c r="B29" s="734" t="s">
        <v>487</v>
      </c>
      <c r="C29" s="2">
        <v>0.5</v>
      </c>
      <c r="D29" s="732">
        <v>0</v>
      </c>
      <c r="E29" s="732" t="s">
        <v>463</v>
      </c>
      <c r="F29" s="1282">
        <v>0</v>
      </c>
      <c r="G29" s="732">
        <v>0.3</v>
      </c>
      <c r="H29" s="732">
        <v>0.2</v>
      </c>
      <c r="I29" s="732">
        <v>0</v>
      </c>
      <c r="J29" t="s">
        <v>488</v>
      </c>
    </row>
    <row r="30" spans="1:10">
      <c r="A30" t="s">
        <v>194</v>
      </c>
      <c r="B30" s="734" t="s">
        <v>489</v>
      </c>
      <c r="C30" s="2">
        <v>0.36</v>
      </c>
      <c r="D30" s="732">
        <v>0</v>
      </c>
      <c r="E30" s="732" t="s">
        <v>463</v>
      </c>
      <c r="F30" s="1282">
        <v>0</v>
      </c>
      <c r="G30" s="732">
        <v>0.3</v>
      </c>
      <c r="H30" s="732">
        <v>0.2</v>
      </c>
      <c r="I30" s="732">
        <v>0.35</v>
      </c>
      <c r="J30" t="s">
        <v>490</v>
      </c>
    </row>
    <row r="31" spans="1:10">
      <c r="A31" t="s">
        <v>195</v>
      </c>
      <c r="B31" s="734" t="s">
        <v>491</v>
      </c>
      <c r="C31" s="2">
        <v>0.36</v>
      </c>
      <c r="D31" s="732">
        <v>0</v>
      </c>
      <c r="E31" s="732" t="s">
        <v>463</v>
      </c>
      <c r="F31" s="1282">
        <v>0</v>
      </c>
      <c r="G31" s="732">
        <v>0.3</v>
      </c>
      <c r="H31" s="732">
        <v>0.2</v>
      </c>
      <c r="I31" s="732">
        <v>0.35</v>
      </c>
      <c r="J31" t="s">
        <v>490</v>
      </c>
    </row>
    <row r="32" spans="1:10">
      <c r="A32" t="s">
        <v>196</v>
      </c>
      <c r="B32" s="734" t="s">
        <v>492</v>
      </c>
      <c r="C32" s="2">
        <v>0.36</v>
      </c>
      <c r="D32" s="732">
        <v>0</v>
      </c>
      <c r="E32" s="732" t="s">
        <v>463</v>
      </c>
      <c r="F32" s="1282">
        <v>0</v>
      </c>
      <c r="G32" s="732">
        <v>0.3</v>
      </c>
      <c r="H32" s="732">
        <v>0.2</v>
      </c>
      <c r="I32" s="732">
        <v>0</v>
      </c>
      <c r="J32" t="s">
        <v>490</v>
      </c>
    </row>
    <row r="33" spans="1:12">
      <c r="A33" t="s">
        <v>197</v>
      </c>
      <c r="B33" s="735" t="s">
        <v>493</v>
      </c>
      <c r="C33" s="3">
        <v>0.5</v>
      </c>
      <c r="D33" s="732">
        <v>0.05</v>
      </c>
      <c r="E33" s="732" t="s">
        <v>463</v>
      </c>
      <c r="F33" s="1282">
        <v>0</v>
      </c>
      <c r="G33" s="732">
        <v>0.3</v>
      </c>
      <c r="H33" s="732">
        <v>0.2</v>
      </c>
      <c r="I33" s="732">
        <v>0</v>
      </c>
      <c r="J33" s="17" t="s">
        <v>494</v>
      </c>
      <c r="L33" s="744">
        <v>0.2</v>
      </c>
    </row>
    <row r="34" spans="1:12">
      <c r="A34" t="s">
        <v>198</v>
      </c>
      <c r="B34" s="735" t="s">
        <v>495</v>
      </c>
      <c r="C34" s="18">
        <v>0.5</v>
      </c>
      <c r="D34" s="733">
        <v>0</v>
      </c>
      <c r="E34" s="733" t="s">
        <v>463</v>
      </c>
      <c r="F34" s="1283">
        <v>0</v>
      </c>
      <c r="G34" s="732">
        <v>0.3</v>
      </c>
      <c r="H34" s="732">
        <v>0.2</v>
      </c>
      <c r="I34" s="732">
        <v>0</v>
      </c>
      <c r="J34" s="17" t="s">
        <v>496</v>
      </c>
    </row>
    <row r="35" spans="1:12">
      <c r="A35" t="s">
        <v>199</v>
      </c>
      <c r="B35" s="735" t="s">
        <v>497</v>
      </c>
      <c r="C35" s="18">
        <v>0.5</v>
      </c>
      <c r="D35" s="733">
        <v>0</v>
      </c>
      <c r="E35" s="733" t="s">
        <v>463</v>
      </c>
      <c r="F35" s="1283">
        <v>0</v>
      </c>
      <c r="G35" s="732">
        <v>0.25</v>
      </c>
      <c r="H35" s="732">
        <v>0</v>
      </c>
      <c r="I35" s="732">
        <v>0.25</v>
      </c>
      <c r="J35" s="17" t="s">
        <v>498</v>
      </c>
    </row>
    <row r="36" spans="1:12">
      <c r="A36" t="s">
        <v>200</v>
      </c>
      <c r="B36" s="734" t="s">
        <v>499</v>
      </c>
      <c r="C36" s="18">
        <v>0.5</v>
      </c>
      <c r="D36" s="733">
        <v>0</v>
      </c>
      <c r="E36" s="733" t="s">
        <v>463</v>
      </c>
      <c r="F36" s="1283">
        <v>0</v>
      </c>
      <c r="G36" s="732">
        <v>0.3</v>
      </c>
      <c r="H36" s="732">
        <v>0.2</v>
      </c>
      <c r="I36" s="732">
        <v>0</v>
      </c>
      <c r="J36" t="s">
        <v>500</v>
      </c>
    </row>
    <row r="37" spans="1:12">
      <c r="G37" s="732"/>
      <c r="H37" s="732"/>
      <c r="I37" s="732"/>
    </row>
    <row r="41" spans="1:12">
      <c r="F41" s="733" t="s">
        <v>501</v>
      </c>
      <c r="G41" s="733" t="s">
        <v>350</v>
      </c>
    </row>
    <row r="42" spans="1:12">
      <c r="F42" s="733" t="s">
        <v>339</v>
      </c>
      <c r="G42" s="733">
        <v>0.2</v>
      </c>
    </row>
    <row r="43" spans="1:12">
      <c r="F43" s="733" t="s">
        <v>502</v>
      </c>
      <c r="G43" s="733">
        <v>0.5</v>
      </c>
    </row>
    <row r="44" spans="1:12">
      <c r="F44" s="733" t="s">
        <v>340</v>
      </c>
      <c r="G44" s="733">
        <v>0.5</v>
      </c>
    </row>
  </sheetData>
  <sheetProtection algorithmName="SHA-512" hashValue="nPCqckgZ6TOoy6nAV32rkoywI3+K/naD8Ec5OQ3xZlI6rjrlkzLLYIutWkVnpSpHqZryo0AZwtHBKnaIVAtJig==" saltValue="7lk9AuEuQm3LxVERK/3Wfw=="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defaultColWidth="11.42578125" defaultRowHeight="14.1"/>
  <cols>
    <col min="1" max="1" width="46" style="523" customWidth="1"/>
    <col min="2" max="2" width="15.85546875" style="729" bestFit="1" customWidth="1"/>
    <col min="3" max="3" width="92.42578125" style="657" customWidth="1"/>
    <col min="4" max="4" width="20.7109375" style="730" customWidth="1"/>
    <col min="5" max="5" width="13.140625" style="731" customWidth="1"/>
    <col min="6" max="6" width="13" style="523" customWidth="1"/>
    <col min="7" max="7" width="11.42578125" style="521" customWidth="1"/>
    <col min="8" max="61" width="11.42578125" style="521"/>
    <col min="62" max="227" width="11.42578125" style="523"/>
    <col min="228" max="228" width="45.140625" style="523" customWidth="1"/>
    <col min="229" max="229" width="10.28515625" style="523" customWidth="1"/>
    <col min="230" max="230" width="68.28515625" style="523" customWidth="1"/>
    <col min="231" max="231" width="13.42578125" style="523" customWidth="1"/>
    <col min="232" max="232" width="6.85546875" style="523" customWidth="1"/>
    <col min="233" max="233" width="5.85546875" style="523" customWidth="1"/>
    <col min="234" max="234" width="10.85546875" style="523" customWidth="1"/>
    <col min="235" max="235" width="12.28515625" style="523" customWidth="1"/>
    <col min="236" max="483" width="11.42578125" style="523"/>
    <col min="484" max="484" width="45.140625" style="523" customWidth="1"/>
    <col min="485" max="485" width="10.28515625" style="523" customWidth="1"/>
    <col min="486" max="486" width="68.28515625" style="523" customWidth="1"/>
    <col min="487" max="487" width="13.42578125" style="523" customWidth="1"/>
    <col min="488" max="488" width="6.85546875" style="523" customWidth="1"/>
    <col min="489" max="489" width="5.85546875" style="523" customWidth="1"/>
    <col min="490" max="490" width="10.85546875" style="523" customWidth="1"/>
    <col min="491" max="491" width="12.28515625" style="523" customWidth="1"/>
    <col min="492" max="739" width="11.42578125" style="523"/>
    <col min="740" max="740" width="45.140625" style="523" customWidth="1"/>
    <col min="741" max="741" width="10.28515625" style="523" customWidth="1"/>
    <col min="742" max="742" width="68.28515625" style="523" customWidth="1"/>
    <col min="743" max="743" width="13.42578125" style="523" customWidth="1"/>
    <col min="744" max="744" width="6.85546875" style="523" customWidth="1"/>
    <col min="745" max="745" width="5.85546875" style="523" customWidth="1"/>
    <col min="746" max="746" width="10.85546875" style="523" customWidth="1"/>
    <col min="747" max="747" width="12.28515625" style="523" customWidth="1"/>
    <col min="748" max="995" width="11.42578125" style="523"/>
    <col min="996" max="996" width="45.140625" style="523" customWidth="1"/>
    <col min="997" max="997" width="10.28515625" style="523" customWidth="1"/>
    <col min="998" max="998" width="68.28515625" style="523" customWidth="1"/>
    <col min="999" max="999" width="13.42578125" style="523" customWidth="1"/>
    <col min="1000" max="1000" width="6.85546875" style="523" customWidth="1"/>
    <col min="1001" max="1001" width="5.85546875" style="523" customWidth="1"/>
    <col min="1002" max="1002" width="10.85546875" style="523" customWidth="1"/>
    <col min="1003" max="1003" width="12.28515625" style="523" customWidth="1"/>
    <col min="1004" max="1251" width="11.42578125" style="523"/>
    <col min="1252" max="1252" width="45.140625" style="523" customWidth="1"/>
    <col min="1253" max="1253" width="10.28515625" style="523" customWidth="1"/>
    <col min="1254" max="1254" width="68.28515625" style="523" customWidth="1"/>
    <col min="1255" max="1255" width="13.42578125" style="523" customWidth="1"/>
    <col min="1256" max="1256" width="6.85546875" style="523" customWidth="1"/>
    <col min="1257" max="1257" width="5.85546875" style="523" customWidth="1"/>
    <col min="1258" max="1258" width="10.85546875" style="523" customWidth="1"/>
    <col min="1259" max="1259" width="12.28515625" style="523" customWidth="1"/>
    <col min="1260" max="1507" width="11.42578125" style="523"/>
    <col min="1508" max="1508" width="45.140625" style="523" customWidth="1"/>
    <col min="1509" max="1509" width="10.28515625" style="523" customWidth="1"/>
    <col min="1510" max="1510" width="68.28515625" style="523" customWidth="1"/>
    <col min="1511" max="1511" width="13.42578125" style="523" customWidth="1"/>
    <col min="1512" max="1512" width="6.85546875" style="523" customWidth="1"/>
    <col min="1513" max="1513" width="5.85546875" style="523" customWidth="1"/>
    <col min="1514" max="1514" width="10.85546875" style="523" customWidth="1"/>
    <col min="1515" max="1515" width="12.28515625" style="523" customWidth="1"/>
    <col min="1516" max="1763" width="11.42578125" style="523"/>
    <col min="1764" max="1764" width="45.140625" style="523" customWidth="1"/>
    <col min="1765" max="1765" width="10.28515625" style="523" customWidth="1"/>
    <col min="1766" max="1766" width="68.28515625" style="523" customWidth="1"/>
    <col min="1767" max="1767" width="13.42578125" style="523" customWidth="1"/>
    <col min="1768" max="1768" width="6.85546875" style="523" customWidth="1"/>
    <col min="1769" max="1769" width="5.85546875" style="523" customWidth="1"/>
    <col min="1770" max="1770" width="10.85546875" style="523" customWidth="1"/>
    <col min="1771" max="1771" width="12.28515625" style="523" customWidth="1"/>
    <col min="1772" max="2019" width="11.42578125" style="523"/>
    <col min="2020" max="2020" width="45.140625" style="523" customWidth="1"/>
    <col min="2021" max="2021" width="10.28515625" style="523" customWidth="1"/>
    <col min="2022" max="2022" width="68.28515625" style="523" customWidth="1"/>
    <col min="2023" max="2023" width="13.42578125" style="523" customWidth="1"/>
    <col min="2024" max="2024" width="6.85546875" style="523" customWidth="1"/>
    <col min="2025" max="2025" width="5.85546875" style="523" customWidth="1"/>
    <col min="2026" max="2026" width="10.85546875" style="523" customWidth="1"/>
    <col min="2027" max="2027" width="12.28515625" style="523" customWidth="1"/>
    <col min="2028" max="2275" width="11.42578125" style="523"/>
    <col min="2276" max="2276" width="45.140625" style="523" customWidth="1"/>
    <col min="2277" max="2277" width="10.28515625" style="523" customWidth="1"/>
    <col min="2278" max="2278" width="68.28515625" style="523" customWidth="1"/>
    <col min="2279" max="2279" width="13.42578125" style="523" customWidth="1"/>
    <col min="2280" max="2280" width="6.85546875" style="523" customWidth="1"/>
    <col min="2281" max="2281" width="5.85546875" style="523" customWidth="1"/>
    <col min="2282" max="2282" width="10.85546875" style="523" customWidth="1"/>
    <col min="2283" max="2283" width="12.28515625" style="523" customWidth="1"/>
    <col min="2284" max="2531" width="11.42578125" style="523"/>
    <col min="2532" max="2532" width="45.140625" style="523" customWidth="1"/>
    <col min="2533" max="2533" width="10.28515625" style="523" customWidth="1"/>
    <col min="2534" max="2534" width="68.28515625" style="523" customWidth="1"/>
    <col min="2535" max="2535" width="13.42578125" style="523" customWidth="1"/>
    <col min="2536" max="2536" width="6.85546875" style="523" customWidth="1"/>
    <col min="2537" max="2537" width="5.85546875" style="523" customWidth="1"/>
    <col min="2538" max="2538" width="10.85546875" style="523" customWidth="1"/>
    <col min="2539" max="2539" width="12.28515625" style="523" customWidth="1"/>
    <col min="2540" max="2787" width="11.42578125" style="523"/>
    <col min="2788" max="2788" width="45.140625" style="523" customWidth="1"/>
    <col min="2789" max="2789" width="10.28515625" style="523" customWidth="1"/>
    <col min="2790" max="2790" width="68.28515625" style="523" customWidth="1"/>
    <col min="2791" max="2791" width="13.42578125" style="523" customWidth="1"/>
    <col min="2792" max="2792" width="6.85546875" style="523" customWidth="1"/>
    <col min="2793" max="2793" width="5.85546875" style="523" customWidth="1"/>
    <col min="2794" max="2794" width="10.85546875" style="523" customWidth="1"/>
    <col min="2795" max="2795" width="12.28515625" style="523" customWidth="1"/>
    <col min="2796" max="3043" width="11.42578125" style="523"/>
    <col min="3044" max="3044" width="45.140625" style="523" customWidth="1"/>
    <col min="3045" max="3045" width="10.28515625" style="523" customWidth="1"/>
    <col min="3046" max="3046" width="68.28515625" style="523" customWidth="1"/>
    <col min="3047" max="3047" width="13.42578125" style="523" customWidth="1"/>
    <col min="3048" max="3048" width="6.85546875" style="523" customWidth="1"/>
    <col min="3049" max="3049" width="5.85546875" style="523" customWidth="1"/>
    <col min="3050" max="3050" width="10.85546875" style="523" customWidth="1"/>
    <col min="3051" max="3051" width="12.28515625" style="523" customWidth="1"/>
    <col min="3052" max="3299" width="11.42578125" style="523"/>
    <col min="3300" max="3300" width="45.140625" style="523" customWidth="1"/>
    <col min="3301" max="3301" width="10.28515625" style="523" customWidth="1"/>
    <col min="3302" max="3302" width="68.28515625" style="523" customWidth="1"/>
    <col min="3303" max="3303" width="13.42578125" style="523" customWidth="1"/>
    <col min="3304" max="3304" width="6.85546875" style="523" customWidth="1"/>
    <col min="3305" max="3305" width="5.85546875" style="523" customWidth="1"/>
    <col min="3306" max="3306" width="10.85546875" style="523" customWidth="1"/>
    <col min="3307" max="3307" width="12.28515625" style="523" customWidth="1"/>
    <col min="3308" max="3555" width="11.42578125" style="523"/>
    <col min="3556" max="3556" width="45.140625" style="523" customWidth="1"/>
    <col min="3557" max="3557" width="10.28515625" style="523" customWidth="1"/>
    <col min="3558" max="3558" width="68.28515625" style="523" customWidth="1"/>
    <col min="3559" max="3559" width="13.42578125" style="523" customWidth="1"/>
    <col min="3560" max="3560" width="6.85546875" style="523" customWidth="1"/>
    <col min="3561" max="3561" width="5.85546875" style="523" customWidth="1"/>
    <col min="3562" max="3562" width="10.85546875" style="523" customWidth="1"/>
    <col min="3563" max="3563" width="12.28515625" style="523" customWidth="1"/>
    <col min="3564" max="3811" width="11.42578125" style="523"/>
    <col min="3812" max="3812" width="45.140625" style="523" customWidth="1"/>
    <col min="3813" max="3813" width="10.28515625" style="523" customWidth="1"/>
    <col min="3814" max="3814" width="68.28515625" style="523" customWidth="1"/>
    <col min="3815" max="3815" width="13.42578125" style="523" customWidth="1"/>
    <col min="3816" max="3816" width="6.85546875" style="523" customWidth="1"/>
    <col min="3817" max="3817" width="5.85546875" style="523" customWidth="1"/>
    <col min="3818" max="3818" width="10.85546875" style="523" customWidth="1"/>
    <col min="3819" max="3819" width="12.28515625" style="523" customWidth="1"/>
    <col min="3820" max="4067" width="11.42578125" style="523"/>
    <col min="4068" max="4068" width="45.140625" style="523" customWidth="1"/>
    <col min="4069" max="4069" width="10.28515625" style="523" customWidth="1"/>
    <col min="4070" max="4070" width="68.28515625" style="523" customWidth="1"/>
    <col min="4071" max="4071" width="13.42578125" style="523" customWidth="1"/>
    <col min="4072" max="4072" width="6.85546875" style="523" customWidth="1"/>
    <col min="4073" max="4073" width="5.85546875" style="523" customWidth="1"/>
    <col min="4074" max="4074" width="10.85546875" style="523" customWidth="1"/>
    <col min="4075" max="4075" width="12.28515625" style="523" customWidth="1"/>
    <col min="4076" max="4323" width="11.42578125" style="523"/>
    <col min="4324" max="4324" width="45.140625" style="523" customWidth="1"/>
    <col min="4325" max="4325" width="10.28515625" style="523" customWidth="1"/>
    <col min="4326" max="4326" width="68.28515625" style="523" customWidth="1"/>
    <col min="4327" max="4327" width="13.42578125" style="523" customWidth="1"/>
    <col min="4328" max="4328" width="6.85546875" style="523" customWidth="1"/>
    <col min="4329" max="4329" width="5.85546875" style="523" customWidth="1"/>
    <col min="4330" max="4330" width="10.85546875" style="523" customWidth="1"/>
    <col min="4331" max="4331" width="12.28515625" style="523" customWidth="1"/>
    <col min="4332" max="4579" width="11.42578125" style="523"/>
    <col min="4580" max="4580" width="45.140625" style="523" customWidth="1"/>
    <col min="4581" max="4581" width="10.28515625" style="523" customWidth="1"/>
    <col min="4582" max="4582" width="68.28515625" style="523" customWidth="1"/>
    <col min="4583" max="4583" width="13.42578125" style="523" customWidth="1"/>
    <col min="4584" max="4584" width="6.85546875" style="523" customWidth="1"/>
    <col min="4585" max="4585" width="5.85546875" style="523" customWidth="1"/>
    <col min="4586" max="4586" width="10.85546875" style="523" customWidth="1"/>
    <col min="4587" max="4587" width="12.28515625" style="523" customWidth="1"/>
    <col min="4588" max="4835" width="11.42578125" style="523"/>
    <col min="4836" max="4836" width="45.140625" style="523" customWidth="1"/>
    <col min="4837" max="4837" width="10.28515625" style="523" customWidth="1"/>
    <col min="4838" max="4838" width="68.28515625" style="523" customWidth="1"/>
    <col min="4839" max="4839" width="13.42578125" style="523" customWidth="1"/>
    <col min="4840" max="4840" width="6.85546875" style="523" customWidth="1"/>
    <col min="4841" max="4841" width="5.85546875" style="523" customWidth="1"/>
    <col min="4842" max="4842" width="10.85546875" style="523" customWidth="1"/>
    <col min="4843" max="4843" width="12.28515625" style="523" customWidth="1"/>
    <col min="4844" max="5091" width="11.42578125" style="523"/>
    <col min="5092" max="5092" width="45.140625" style="523" customWidth="1"/>
    <col min="5093" max="5093" width="10.28515625" style="523" customWidth="1"/>
    <col min="5094" max="5094" width="68.28515625" style="523" customWidth="1"/>
    <col min="5095" max="5095" width="13.42578125" style="523" customWidth="1"/>
    <col min="5096" max="5096" width="6.85546875" style="523" customWidth="1"/>
    <col min="5097" max="5097" width="5.85546875" style="523" customWidth="1"/>
    <col min="5098" max="5098" width="10.85546875" style="523" customWidth="1"/>
    <col min="5099" max="5099" width="12.28515625" style="523" customWidth="1"/>
    <col min="5100" max="5347" width="11.42578125" style="523"/>
    <col min="5348" max="5348" width="45.140625" style="523" customWidth="1"/>
    <col min="5349" max="5349" width="10.28515625" style="523" customWidth="1"/>
    <col min="5350" max="5350" width="68.28515625" style="523" customWidth="1"/>
    <col min="5351" max="5351" width="13.42578125" style="523" customWidth="1"/>
    <col min="5352" max="5352" width="6.85546875" style="523" customWidth="1"/>
    <col min="5353" max="5353" width="5.85546875" style="523" customWidth="1"/>
    <col min="5354" max="5354" width="10.85546875" style="523" customWidth="1"/>
    <col min="5355" max="5355" width="12.28515625" style="523" customWidth="1"/>
    <col min="5356" max="5603" width="11.42578125" style="523"/>
    <col min="5604" max="5604" width="45.140625" style="523" customWidth="1"/>
    <col min="5605" max="5605" width="10.28515625" style="523" customWidth="1"/>
    <col min="5606" max="5606" width="68.28515625" style="523" customWidth="1"/>
    <col min="5607" max="5607" width="13.42578125" style="523" customWidth="1"/>
    <col min="5608" max="5608" width="6.85546875" style="523" customWidth="1"/>
    <col min="5609" max="5609" width="5.85546875" style="523" customWidth="1"/>
    <col min="5610" max="5610" width="10.85546875" style="523" customWidth="1"/>
    <col min="5611" max="5611" width="12.28515625" style="523" customWidth="1"/>
    <col min="5612" max="5859" width="11.42578125" style="523"/>
    <col min="5860" max="5860" width="45.140625" style="523" customWidth="1"/>
    <col min="5861" max="5861" width="10.28515625" style="523" customWidth="1"/>
    <col min="5862" max="5862" width="68.28515625" style="523" customWidth="1"/>
    <col min="5863" max="5863" width="13.42578125" style="523" customWidth="1"/>
    <col min="5864" max="5864" width="6.85546875" style="523" customWidth="1"/>
    <col min="5865" max="5865" width="5.85546875" style="523" customWidth="1"/>
    <col min="5866" max="5866" width="10.85546875" style="523" customWidth="1"/>
    <col min="5867" max="5867" width="12.28515625" style="523" customWidth="1"/>
    <col min="5868" max="6115" width="11.42578125" style="523"/>
    <col min="6116" max="6116" width="45.140625" style="523" customWidth="1"/>
    <col min="6117" max="6117" width="10.28515625" style="523" customWidth="1"/>
    <col min="6118" max="6118" width="68.28515625" style="523" customWidth="1"/>
    <col min="6119" max="6119" width="13.42578125" style="523" customWidth="1"/>
    <col min="6120" max="6120" width="6.85546875" style="523" customWidth="1"/>
    <col min="6121" max="6121" width="5.85546875" style="523" customWidth="1"/>
    <col min="6122" max="6122" width="10.85546875" style="523" customWidth="1"/>
    <col min="6123" max="6123" width="12.28515625" style="523" customWidth="1"/>
    <col min="6124" max="6371" width="11.42578125" style="523"/>
    <col min="6372" max="6372" width="45.140625" style="523" customWidth="1"/>
    <col min="6373" max="6373" width="10.28515625" style="523" customWidth="1"/>
    <col min="6374" max="6374" width="68.28515625" style="523" customWidth="1"/>
    <col min="6375" max="6375" width="13.42578125" style="523" customWidth="1"/>
    <col min="6376" max="6376" width="6.85546875" style="523" customWidth="1"/>
    <col min="6377" max="6377" width="5.85546875" style="523" customWidth="1"/>
    <col min="6378" max="6378" width="10.85546875" style="523" customWidth="1"/>
    <col min="6379" max="6379" width="12.28515625" style="523" customWidth="1"/>
    <col min="6380" max="6627" width="11.42578125" style="523"/>
    <col min="6628" max="6628" width="45.140625" style="523" customWidth="1"/>
    <col min="6629" max="6629" width="10.28515625" style="523" customWidth="1"/>
    <col min="6630" max="6630" width="68.28515625" style="523" customWidth="1"/>
    <col min="6631" max="6631" width="13.42578125" style="523" customWidth="1"/>
    <col min="6632" max="6632" width="6.85546875" style="523" customWidth="1"/>
    <col min="6633" max="6633" width="5.85546875" style="523" customWidth="1"/>
    <col min="6634" max="6634" width="10.85546875" style="523" customWidth="1"/>
    <col min="6635" max="6635" width="12.28515625" style="523" customWidth="1"/>
    <col min="6636" max="6883" width="11.42578125" style="523"/>
    <col min="6884" max="6884" width="45.140625" style="523" customWidth="1"/>
    <col min="6885" max="6885" width="10.28515625" style="523" customWidth="1"/>
    <col min="6886" max="6886" width="68.28515625" style="523" customWidth="1"/>
    <col min="6887" max="6887" width="13.42578125" style="523" customWidth="1"/>
    <col min="6888" max="6888" width="6.85546875" style="523" customWidth="1"/>
    <col min="6889" max="6889" width="5.85546875" style="523" customWidth="1"/>
    <col min="6890" max="6890" width="10.85546875" style="523" customWidth="1"/>
    <col min="6891" max="6891" width="12.28515625" style="523" customWidth="1"/>
    <col min="6892" max="7139" width="11.42578125" style="523"/>
    <col min="7140" max="7140" width="45.140625" style="523" customWidth="1"/>
    <col min="7141" max="7141" width="10.28515625" style="523" customWidth="1"/>
    <col min="7142" max="7142" width="68.28515625" style="523" customWidth="1"/>
    <col min="7143" max="7143" width="13.42578125" style="523" customWidth="1"/>
    <col min="7144" max="7144" width="6.85546875" style="523" customWidth="1"/>
    <col min="7145" max="7145" width="5.85546875" style="523" customWidth="1"/>
    <col min="7146" max="7146" width="10.85546875" style="523" customWidth="1"/>
    <col min="7147" max="7147" width="12.28515625" style="523" customWidth="1"/>
    <col min="7148" max="7395" width="11.42578125" style="523"/>
    <col min="7396" max="7396" width="45.140625" style="523" customWidth="1"/>
    <col min="7397" max="7397" width="10.28515625" style="523" customWidth="1"/>
    <col min="7398" max="7398" width="68.28515625" style="523" customWidth="1"/>
    <col min="7399" max="7399" width="13.42578125" style="523" customWidth="1"/>
    <col min="7400" max="7400" width="6.85546875" style="523" customWidth="1"/>
    <col min="7401" max="7401" width="5.85546875" style="523" customWidth="1"/>
    <col min="7402" max="7402" width="10.85546875" style="523" customWidth="1"/>
    <col min="7403" max="7403" width="12.28515625" style="523" customWidth="1"/>
    <col min="7404" max="7651" width="11.42578125" style="523"/>
    <col min="7652" max="7652" width="45.140625" style="523" customWidth="1"/>
    <col min="7653" max="7653" width="10.28515625" style="523" customWidth="1"/>
    <col min="7654" max="7654" width="68.28515625" style="523" customWidth="1"/>
    <col min="7655" max="7655" width="13.42578125" style="523" customWidth="1"/>
    <col min="7656" max="7656" width="6.85546875" style="523" customWidth="1"/>
    <col min="7657" max="7657" width="5.85546875" style="523" customWidth="1"/>
    <col min="7658" max="7658" width="10.85546875" style="523" customWidth="1"/>
    <col min="7659" max="7659" width="12.28515625" style="523" customWidth="1"/>
    <col min="7660" max="7907" width="11.42578125" style="523"/>
    <col min="7908" max="7908" width="45.140625" style="523" customWidth="1"/>
    <col min="7909" max="7909" width="10.28515625" style="523" customWidth="1"/>
    <col min="7910" max="7910" width="68.28515625" style="523" customWidth="1"/>
    <col min="7911" max="7911" width="13.42578125" style="523" customWidth="1"/>
    <col min="7912" max="7912" width="6.85546875" style="523" customWidth="1"/>
    <col min="7913" max="7913" width="5.85546875" style="523" customWidth="1"/>
    <col min="7914" max="7914" width="10.85546875" style="523" customWidth="1"/>
    <col min="7915" max="7915" width="12.28515625" style="523" customWidth="1"/>
    <col min="7916" max="8163" width="11.42578125" style="523"/>
    <col min="8164" max="8164" width="45.140625" style="523" customWidth="1"/>
    <col min="8165" max="8165" width="10.28515625" style="523" customWidth="1"/>
    <col min="8166" max="8166" width="68.28515625" style="523" customWidth="1"/>
    <col min="8167" max="8167" width="13.42578125" style="523" customWidth="1"/>
    <col min="8168" max="8168" width="6.85546875" style="523" customWidth="1"/>
    <col min="8169" max="8169" width="5.85546875" style="523" customWidth="1"/>
    <col min="8170" max="8170" width="10.85546875" style="523" customWidth="1"/>
    <col min="8171" max="8171" width="12.28515625" style="523" customWidth="1"/>
    <col min="8172" max="8419" width="11.42578125" style="523"/>
    <col min="8420" max="8420" width="45.140625" style="523" customWidth="1"/>
    <col min="8421" max="8421" width="10.28515625" style="523" customWidth="1"/>
    <col min="8422" max="8422" width="68.28515625" style="523" customWidth="1"/>
    <col min="8423" max="8423" width="13.42578125" style="523" customWidth="1"/>
    <col min="8424" max="8424" width="6.85546875" style="523" customWidth="1"/>
    <col min="8425" max="8425" width="5.85546875" style="523" customWidth="1"/>
    <col min="8426" max="8426" width="10.85546875" style="523" customWidth="1"/>
    <col min="8427" max="8427" width="12.28515625" style="523" customWidth="1"/>
    <col min="8428" max="8675" width="11.42578125" style="523"/>
    <col min="8676" max="8676" width="45.140625" style="523" customWidth="1"/>
    <col min="8677" max="8677" width="10.28515625" style="523" customWidth="1"/>
    <col min="8678" max="8678" width="68.28515625" style="523" customWidth="1"/>
    <col min="8679" max="8679" width="13.42578125" style="523" customWidth="1"/>
    <col min="8680" max="8680" width="6.85546875" style="523" customWidth="1"/>
    <col min="8681" max="8681" width="5.85546875" style="523" customWidth="1"/>
    <col min="8682" max="8682" width="10.85546875" style="523" customWidth="1"/>
    <col min="8683" max="8683" width="12.28515625" style="523" customWidth="1"/>
    <col min="8684" max="8931" width="11.42578125" style="523"/>
    <col min="8932" max="8932" width="45.140625" style="523" customWidth="1"/>
    <col min="8933" max="8933" width="10.28515625" style="523" customWidth="1"/>
    <col min="8934" max="8934" width="68.28515625" style="523" customWidth="1"/>
    <col min="8935" max="8935" width="13.42578125" style="523" customWidth="1"/>
    <col min="8936" max="8936" width="6.85546875" style="523" customWidth="1"/>
    <col min="8937" max="8937" width="5.85546875" style="523" customWidth="1"/>
    <col min="8938" max="8938" width="10.85546875" style="523" customWidth="1"/>
    <col min="8939" max="8939" width="12.28515625" style="523" customWidth="1"/>
    <col min="8940" max="9187" width="11.42578125" style="523"/>
    <col min="9188" max="9188" width="45.140625" style="523" customWidth="1"/>
    <col min="9189" max="9189" width="10.28515625" style="523" customWidth="1"/>
    <col min="9190" max="9190" width="68.28515625" style="523" customWidth="1"/>
    <col min="9191" max="9191" width="13.42578125" style="523" customWidth="1"/>
    <col min="9192" max="9192" width="6.85546875" style="523" customWidth="1"/>
    <col min="9193" max="9193" width="5.85546875" style="523" customWidth="1"/>
    <col min="9194" max="9194" width="10.85546875" style="523" customWidth="1"/>
    <col min="9195" max="9195" width="12.28515625" style="523" customWidth="1"/>
    <col min="9196" max="9443" width="11.42578125" style="523"/>
    <col min="9444" max="9444" width="45.140625" style="523" customWidth="1"/>
    <col min="9445" max="9445" width="10.28515625" style="523" customWidth="1"/>
    <col min="9446" max="9446" width="68.28515625" style="523" customWidth="1"/>
    <col min="9447" max="9447" width="13.42578125" style="523" customWidth="1"/>
    <col min="9448" max="9448" width="6.85546875" style="523" customWidth="1"/>
    <col min="9449" max="9449" width="5.85546875" style="523" customWidth="1"/>
    <col min="9450" max="9450" width="10.85546875" style="523" customWidth="1"/>
    <col min="9451" max="9451" width="12.28515625" style="523" customWidth="1"/>
    <col min="9452" max="9699" width="11.42578125" style="523"/>
    <col min="9700" max="9700" width="45.140625" style="523" customWidth="1"/>
    <col min="9701" max="9701" width="10.28515625" style="523" customWidth="1"/>
    <col min="9702" max="9702" width="68.28515625" style="523" customWidth="1"/>
    <col min="9703" max="9703" width="13.42578125" style="523" customWidth="1"/>
    <col min="9704" max="9704" width="6.85546875" style="523" customWidth="1"/>
    <col min="9705" max="9705" width="5.85546875" style="523" customWidth="1"/>
    <col min="9706" max="9706" width="10.85546875" style="523" customWidth="1"/>
    <col min="9707" max="9707" width="12.28515625" style="523" customWidth="1"/>
    <col min="9708" max="9955" width="11.42578125" style="523"/>
    <col min="9956" max="9956" width="45.140625" style="523" customWidth="1"/>
    <col min="9957" max="9957" width="10.28515625" style="523" customWidth="1"/>
    <col min="9958" max="9958" width="68.28515625" style="523" customWidth="1"/>
    <col min="9959" max="9959" width="13.42578125" style="523" customWidth="1"/>
    <col min="9960" max="9960" width="6.85546875" style="523" customWidth="1"/>
    <col min="9961" max="9961" width="5.85546875" style="523" customWidth="1"/>
    <col min="9962" max="9962" width="10.85546875" style="523" customWidth="1"/>
    <col min="9963" max="9963" width="12.28515625" style="523" customWidth="1"/>
    <col min="9964" max="10211" width="11.42578125" style="523"/>
    <col min="10212" max="10212" width="45.140625" style="523" customWidth="1"/>
    <col min="10213" max="10213" width="10.28515625" style="523" customWidth="1"/>
    <col min="10214" max="10214" width="68.28515625" style="523" customWidth="1"/>
    <col min="10215" max="10215" width="13.42578125" style="523" customWidth="1"/>
    <col min="10216" max="10216" width="6.85546875" style="523" customWidth="1"/>
    <col min="10217" max="10217" width="5.85546875" style="523" customWidth="1"/>
    <col min="10218" max="10218" width="10.85546875" style="523" customWidth="1"/>
    <col min="10219" max="10219" width="12.28515625" style="523" customWidth="1"/>
    <col min="10220" max="10467" width="11.42578125" style="523"/>
    <col min="10468" max="10468" width="45.140625" style="523" customWidth="1"/>
    <col min="10469" max="10469" width="10.28515625" style="523" customWidth="1"/>
    <col min="10470" max="10470" width="68.28515625" style="523" customWidth="1"/>
    <col min="10471" max="10471" width="13.42578125" style="523" customWidth="1"/>
    <col min="10472" max="10472" width="6.85546875" style="523" customWidth="1"/>
    <col min="10473" max="10473" width="5.85546875" style="523" customWidth="1"/>
    <col min="10474" max="10474" width="10.85546875" style="523" customWidth="1"/>
    <col min="10475" max="10475" width="12.28515625" style="523" customWidth="1"/>
    <col min="10476" max="10723" width="11.42578125" style="523"/>
    <col min="10724" max="10724" width="45.140625" style="523" customWidth="1"/>
    <col min="10725" max="10725" width="10.28515625" style="523" customWidth="1"/>
    <col min="10726" max="10726" width="68.28515625" style="523" customWidth="1"/>
    <col min="10727" max="10727" width="13.42578125" style="523" customWidth="1"/>
    <col min="10728" max="10728" width="6.85546875" style="523" customWidth="1"/>
    <col min="10729" max="10729" width="5.85546875" style="523" customWidth="1"/>
    <col min="10730" max="10730" width="10.85546875" style="523" customWidth="1"/>
    <col min="10731" max="10731" width="12.28515625" style="523" customWidth="1"/>
    <col min="10732" max="10979" width="11.42578125" style="523"/>
    <col min="10980" max="10980" width="45.140625" style="523" customWidth="1"/>
    <col min="10981" max="10981" width="10.28515625" style="523" customWidth="1"/>
    <col min="10982" max="10982" width="68.28515625" style="523" customWidth="1"/>
    <col min="10983" max="10983" width="13.42578125" style="523" customWidth="1"/>
    <col min="10984" max="10984" width="6.85546875" style="523" customWidth="1"/>
    <col min="10985" max="10985" width="5.85546875" style="523" customWidth="1"/>
    <col min="10986" max="10986" width="10.85546875" style="523" customWidth="1"/>
    <col min="10987" max="10987" width="12.28515625" style="523" customWidth="1"/>
    <col min="10988" max="11235" width="11.42578125" style="523"/>
    <col min="11236" max="11236" width="45.140625" style="523" customWidth="1"/>
    <col min="11237" max="11237" width="10.28515625" style="523" customWidth="1"/>
    <col min="11238" max="11238" width="68.28515625" style="523" customWidth="1"/>
    <col min="11239" max="11239" width="13.42578125" style="523" customWidth="1"/>
    <col min="11240" max="11240" width="6.85546875" style="523" customWidth="1"/>
    <col min="11241" max="11241" width="5.85546875" style="523" customWidth="1"/>
    <col min="11242" max="11242" width="10.85546875" style="523" customWidth="1"/>
    <col min="11243" max="11243" width="12.28515625" style="523" customWidth="1"/>
    <col min="11244" max="11491" width="11.42578125" style="523"/>
    <col min="11492" max="11492" width="45.140625" style="523" customWidth="1"/>
    <col min="11493" max="11493" width="10.28515625" style="523" customWidth="1"/>
    <col min="11494" max="11494" width="68.28515625" style="523" customWidth="1"/>
    <col min="11495" max="11495" width="13.42578125" style="523" customWidth="1"/>
    <col min="11496" max="11496" width="6.85546875" style="523" customWidth="1"/>
    <col min="11497" max="11497" width="5.85546875" style="523" customWidth="1"/>
    <col min="11498" max="11498" width="10.85546875" style="523" customWidth="1"/>
    <col min="11499" max="11499" width="12.28515625" style="523" customWidth="1"/>
    <col min="11500" max="11747" width="11.42578125" style="523"/>
    <col min="11748" max="11748" width="45.140625" style="523" customWidth="1"/>
    <col min="11749" max="11749" width="10.28515625" style="523" customWidth="1"/>
    <col min="11750" max="11750" width="68.28515625" style="523" customWidth="1"/>
    <col min="11751" max="11751" width="13.42578125" style="523" customWidth="1"/>
    <col min="11752" max="11752" width="6.85546875" style="523" customWidth="1"/>
    <col min="11753" max="11753" width="5.85546875" style="523" customWidth="1"/>
    <col min="11754" max="11754" width="10.85546875" style="523" customWidth="1"/>
    <col min="11755" max="11755" width="12.28515625" style="523" customWidth="1"/>
    <col min="11756" max="12003" width="11.42578125" style="523"/>
    <col min="12004" max="12004" width="45.140625" style="523" customWidth="1"/>
    <col min="12005" max="12005" width="10.28515625" style="523" customWidth="1"/>
    <col min="12006" max="12006" width="68.28515625" style="523" customWidth="1"/>
    <col min="12007" max="12007" width="13.42578125" style="523" customWidth="1"/>
    <col min="12008" max="12008" width="6.85546875" style="523" customWidth="1"/>
    <col min="12009" max="12009" width="5.85546875" style="523" customWidth="1"/>
    <col min="12010" max="12010" width="10.85546875" style="523" customWidth="1"/>
    <col min="12011" max="12011" width="12.28515625" style="523" customWidth="1"/>
    <col min="12012" max="12259" width="11.42578125" style="523"/>
    <col min="12260" max="12260" width="45.140625" style="523" customWidth="1"/>
    <col min="12261" max="12261" width="10.28515625" style="523" customWidth="1"/>
    <col min="12262" max="12262" width="68.28515625" style="523" customWidth="1"/>
    <col min="12263" max="12263" width="13.42578125" style="523" customWidth="1"/>
    <col min="12264" max="12264" width="6.85546875" style="523" customWidth="1"/>
    <col min="12265" max="12265" width="5.85546875" style="523" customWidth="1"/>
    <col min="12266" max="12266" width="10.85546875" style="523" customWidth="1"/>
    <col min="12267" max="12267" width="12.28515625" style="523" customWidth="1"/>
    <col min="12268" max="12515" width="11.42578125" style="523"/>
    <col min="12516" max="12516" width="45.140625" style="523" customWidth="1"/>
    <col min="12517" max="12517" width="10.28515625" style="523" customWidth="1"/>
    <col min="12518" max="12518" width="68.28515625" style="523" customWidth="1"/>
    <col min="12519" max="12519" width="13.42578125" style="523" customWidth="1"/>
    <col min="12520" max="12520" width="6.85546875" style="523" customWidth="1"/>
    <col min="12521" max="12521" width="5.85546875" style="523" customWidth="1"/>
    <col min="12522" max="12522" width="10.85546875" style="523" customWidth="1"/>
    <col min="12523" max="12523" width="12.28515625" style="523" customWidth="1"/>
    <col min="12524" max="12771" width="11.42578125" style="523"/>
    <col min="12772" max="12772" width="45.140625" style="523" customWidth="1"/>
    <col min="12773" max="12773" width="10.28515625" style="523" customWidth="1"/>
    <col min="12774" max="12774" width="68.28515625" style="523" customWidth="1"/>
    <col min="12775" max="12775" width="13.42578125" style="523" customWidth="1"/>
    <col min="12776" max="12776" width="6.85546875" style="523" customWidth="1"/>
    <col min="12777" max="12777" width="5.85546875" style="523" customWidth="1"/>
    <col min="12778" max="12778" width="10.85546875" style="523" customWidth="1"/>
    <col min="12779" max="12779" width="12.28515625" style="523" customWidth="1"/>
    <col min="12780" max="13027" width="11.42578125" style="523"/>
    <col min="13028" max="13028" width="45.140625" style="523" customWidth="1"/>
    <col min="13029" max="13029" width="10.28515625" style="523" customWidth="1"/>
    <col min="13030" max="13030" width="68.28515625" style="523" customWidth="1"/>
    <col min="13031" max="13031" width="13.42578125" style="523" customWidth="1"/>
    <col min="13032" max="13032" width="6.85546875" style="523" customWidth="1"/>
    <col min="13033" max="13033" width="5.85546875" style="523" customWidth="1"/>
    <col min="13034" max="13034" width="10.85546875" style="523" customWidth="1"/>
    <col min="13035" max="13035" width="12.28515625" style="523" customWidth="1"/>
    <col min="13036" max="13283" width="11.42578125" style="523"/>
    <col min="13284" max="13284" width="45.140625" style="523" customWidth="1"/>
    <col min="13285" max="13285" width="10.28515625" style="523" customWidth="1"/>
    <col min="13286" max="13286" width="68.28515625" style="523" customWidth="1"/>
    <col min="13287" max="13287" width="13.42578125" style="523" customWidth="1"/>
    <col min="13288" max="13288" width="6.85546875" style="523" customWidth="1"/>
    <col min="13289" max="13289" width="5.85546875" style="523" customWidth="1"/>
    <col min="13290" max="13290" width="10.85546875" style="523" customWidth="1"/>
    <col min="13291" max="13291" width="12.28515625" style="523" customWidth="1"/>
    <col min="13292" max="13539" width="11.42578125" style="523"/>
    <col min="13540" max="13540" width="45.140625" style="523" customWidth="1"/>
    <col min="13541" max="13541" width="10.28515625" style="523" customWidth="1"/>
    <col min="13542" max="13542" width="68.28515625" style="523" customWidth="1"/>
    <col min="13543" max="13543" width="13.42578125" style="523" customWidth="1"/>
    <col min="13544" max="13544" width="6.85546875" style="523" customWidth="1"/>
    <col min="13545" max="13545" width="5.85546875" style="523" customWidth="1"/>
    <col min="13546" max="13546" width="10.85546875" style="523" customWidth="1"/>
    <col min="13547" max="13547" width="12.28515625" style="523" customWidth="1"/>
    <col min="13548" max="13795" width="11.42578125" style="523"/>
    <col min="13796" max="13796" width="45.140625" style="523" customWidth="1"/>
    <col min="13797" max="13797" width="10.28515625" style="523" customWidth="1"/>
    <col min="13798" max="13798" width="68.28515625" style="523" customWidth="1"/>
    <col min="13799" max="13799" width="13.42578125" style="523" customWidth="1"/>
    <col min="13800" max="13800" width="6.85546875" style="523" customWidth="1"/>
    <col min="13801" max="13801" width="5.85546875" style="523" customWidth="1"/>
    <col min="13802" max="13802" width="10.85546875" style="523" customWidth="1"/>
    <col min="13803" max="13803" width="12.28515625" style="523" customWidth="1"/>
    <col min="13804" max="14051" width="11.42578125" style="523"/>
    <col min="14052" max="14052" width="45.140625" style="523" customWidth="1"/>
    <col min="14053" max="14053" width="10.28515625" style="523" customWidth="1"/>
    <col min="14054" max="14054" width="68.28515625" style="523" customWidth="1"/>
    <col min="14055" max="14055" width="13.42578125" style="523" customWidth="1"/>
    <col min="14056" max="14056" width="6.85546875" style="523" customWidth="1"/>
    <col min="14057" max="14057" width="5.85546875" style="523" customWidth="1"/>
    <col min="14058" max="14058" width="10.85546875" style="523" customWidth="1"/>
    <col min="14059" max="14059" width="12.28515625" style="523" customWidth="1"/>
    <col min="14060" max="14307" width="11.42578125" style="523"/>
    <col min="14308" max="14308" width="45.140625" style="523" customWidth="1"/>
    <col min="14309" max="14309" width="10.28515625" style="523" customWidth="1"/>
    <col min="14310" max="14310" width="68.28515625" style="523" customWidth="1"/>
    <col min="14311" max="14311" width="13.42578125" style="523" customWidth="1"/>
    <col min="14312" max="14312" width="6.85546875" style="523" customWidth="1"/>
    <col min="14313" max="14313" width="5.85546875" style="523" customWidth="1"/>
    <col min="14314" max="14314" width="10.85546875" style="523" customWidth="1"/>
    <col min="14315" max="14315" width="12.28515625" style="523" customWidth="1"/>
    <col min="14316" max="14563" width="11.42578125" style="523"/>
    <col min="14564" max="14564" width="45.140625" style="523" customWidth="1"/>
    <col min="14565" max="14565" width="10.28515625" style="523" customWidth="1"/>
    <col min="14566" max="14566" width="68.28515625" style="523" customWidth="1"/>
    <col min="14567" max="14567" width="13.42578125" style="523" customWidth="1"/>
    <col min="14568" max="14568" width="6.85546875" style="523" customWidth="1"/>
    <col min="14569" max="14569" width="5.85546875" style="523" customWidth="1"/>
    <col min="14570" max="14570" width="10.85546875" style="523" customWidth="1"/>
    <col min="14571" max="14571" width="12.28515625" style="523" customWidth="1"/>
    <col min="14572" max="14819" width="11.42578125" style="523"/>
    <col min="14820" max="14820" width="45.140625" style="523" customWidth="1"/>
    <col min="14821" max="14821" width="10.28515625" style="523" customWidth="1"/>
    <col min="14822" max="14822" width="68.28515625" style="523" customWidth="1"/>
    <col min="14823" max="14823" width="13.42578125" style="523" customWidth="1"/>
    <col min="14824" max="14824" width="6.85546875" style="523" customWidth="1"/>
    <col min="14825" max="14825" width="5.85546875" style="523" customWidth="1"/>
    <col min="14826" max="14826" width="10.85546875" style="523" customWidth="1"/>
    <col min="14827" max="14827" width="12.28515625" style="523" customWidth="1"/>
    <col min="14828" max="15075" width="11.42578125" style="523"/>
    <col min="15076" max="15076" width="45.140625" style="523" customWidth="1"/>
    <col min="15077" max="15077" width="10.28515625" style="523" customWidth="1"/>
    <col min="15078" max="15078" width="68.28515625" style="523" customWidth="1"/>
    <col min="15079" max="15079" width="13.42578125" style="523" customWidth="1"/>
    <col min="15080" max="15080" width="6.85546875" style="523" customWidth="1"/>
    <col min="15081" max="15081" width="5.85546875" style="523" customWidth="1"/>
    <col min="15082" max="15082" width="10.85546875" style="523" customWidth="1"/>
    <col min="15083" max="15083" width="12.28515625" style="523" customWidth="1"/>
    <col min="15084" max="15331" width="11.42578125" style="523"/>
    <col min="15332" max="15332" width="45.140625" style="523" customWidth="1"/>
    <col min="15333" max="15333" width="10.28515625" style="523" customWidth="1"/>
    <col min="15334" max="15334" width="68.28515625" style="523" customWidth="1"/>
    <col min="15335" max="15335" width="13.42578125" style="523" customWidth="1"/>
    <col min="15336" max="15336" width="6.85546875" style="523" customWidth="1"/>
    <col min="15337" max="15337" width="5.85546875" style="523" customWidth="1"/>
    <col min="15338" max="15338" width="10.85546875" style="523" customWidth="1"/>
    <col min="15339" max="15339" width="12.28515625" style="523" customWidth="1"/>
    <col min="15340" max="15587" width="11.42578125" style="523"/>
    <col min="15588" max="15588" width="45.140625" style="523" customWidth="1"/>
    <col min="15589" max="15589" width="10.28515625" style="523" customWidth="1"/>
    <col min="15590" max="15590" width="68.28515625" style="523" customWidth="1"/>
    <col min="15591" max="15591" width="13.42578125" style="523" customWidth="1"/>
    <col min="15592" max="15592" width="6.85546875" style="523" customWidth="1"/>
    <col min="15593" max="15593" width="5.85546875" style="523" customWidth="1"/>
    <col min="15594" max="15594" width="10.85546875" style="523" customWidth="1"/>
    <col min="15595" max="15595" width="12.28515625" style="523" customWidth="1"/>
    <col min="15596" max="15843" width="11.42578125" style="523"/>
    <col min="15844" max="15844" width="45.140625" style="523" customWidth="1"/>
    <col min="15845" max="15845" width="10.28515625" style="523" customWidth="1"/>
    <col min="15846" max="15846" width="68.28515625" style="523" customWidth="1"/>
    <col min="15847" max="15847" width="13.42578125" style="523" customWidth="1"/>
    <col min="15848" max="15848" width="6.85546875" style="523" customWidth="1"/>
    <col min="15849" max="15849" width="5.85546875" style="523" customWidth="1"/>
    <col min="15850" max="15850" width="10.85546875" style="523" customWidth="1"/>
    <col min="15851" max="15851" width="12.28515625" style="523" customWidth="1"/>
    <col min="15852" max="16099" width="11.42578125" style="523"/>
    <col min="16100" max="16100" width="45.140625" style="523" customWidth="1"/>
    <col min="16101" max="16101" width="10.28515625" style="523" customWidth="1"/>
    <col min="16102" max="16102" width="68.28515625" style="523" customWidth="1"/>
    <col min="16103" max="16103" width="13.42578125" style="523" customWidth="1"/>
    <col min="16104" max="16104" width="6.85546875" style="523" customWidth="1"/>
    <col min="16105" max="16105" width="5.85546875" style="523" customWidth="1"/>
    <col min="16106" max="16106" width="10.85546875" style="523" customWidth="1"/>
    <col min="16107" max="16107" width="12.28515625" style="523" customWidth="1"/>
    <col min="16108" max="16355" width="11.42578125" style="523"/>
    <col min="16356" max="16384" width="10.85546875" style="523" customWidth="1"/>
  </cols>
  <sheetData>
    <row r="1" spans="1:61">
      <c r="A1" s="515"/>
      <c r="B1" s="516"/>
      <c r="C1" s="517"/>
      <c r="D1" s="518"/>
      <c r="E1" s="519"/>
      <c r="F1" s="520" t="s">
        <v>503</v>
      </c>
      <c r="H1" s="522"/>
      <c r="W1" s="523"/>
      <c r="X1" s="523"/>
      <c r="Y1" s="523"/>
      <c r="Z1" s="523"/>
      <c r="AA1" s="523"/>
      <c r="AB1" s="523"/>
      <c r="AC1" s="523"/>
      <c r="AD1" s="523"/>
      <c r="AE1" s="523"/>
      <c r="AF1" s="523"/>
      <c r="AG1" s="523"/>
      <c r="AH1" s="523"/>
      <c r="AI1" s="523"/>
      <c r="AJ1" s="523"/>
      <c r="AK1" s="523"/>
      <c r="AL1" s="523"/>
      <c r="AM1" s="523"/>
      <c r="AN1" s="523"/>
      <c r="AO1" s="523"/>
      <c r="AP1" s="523"/>
      <c r="AQ1" s="523"/>
      <c r="AR1" s="523"/>
      <c r="AS1" s="523"/>
      <c r="AT1" s="523"/>
      <c r="AU1" s="523"/>
      <c r="AV1" s="523"/>
      <c r="AW1" s="523"/>
      <c r="AX1" s="523"/>
      <c r="AY1" s="523"/>
      <c r="AZ1" s="523"/>
      <c r="BA1" s="523"/>
      <c r="BB1" s="523"/>
      <c r="BC1" s="523"/>
      <c r="BD1" s="523"/>
      <c r="BE1" s="523"/>
      <c r="BF1" s="523"/>
      <c r="BG1" s="523"/>
      <c r="BH1" s="523"/>
      <c r="BI1" s="523"/>
    </row>
    <row r="2" spans="1:61" ht="47.25" customHeight="1">
      <c r="A2" s="524"/>
      <c r="B2" s="525"/>
      <c r="C2" s="526"/>
      <c r="D2" s="1493" t="s">
        <v>504</v>
      </c>
      <c r="E2" s="1493"/>
      <c r="F2" s="1494"/>
      <c r="G2" s="527"/>
      <c r="W2" s="523"/>
      <c r="X2" s="523"/>
      <c r="Y2" s="523"/>
      <c r="Z2" s="523"/>
      <c r="AA2" s="523"/>
      <c r="AB2" s="523"/>
      <c r="AC2" s="523"/>
      <c r="AD2" s="523"/>
      <c r="AE2" s="523"/>
      <c r="AF2" s="523"/>
      <c r="AG2" s="523"/>
      <c r="AH2" s="523"/>
      <c r="AI2" s="523"/>
      <c r="AJ2" s="523"/>
      <c r="AK2" s="523"/>
      <c r="AL2" s="523"/>
      <c r="AM2" s="523"/>
      <c r="AN2" s="523"/>
      <c r="AO2" s="523"/>
      <c r="AP2" s="523"/>
      <c r="AQ2" s="523"/>
      <c r="AR2" s="523"/>
      <c r="AS2" s="523"/>
      <c r="AT2" s="523"/>
      <c r="AU2" s="523"/>
      <c r="AV2" s="523"/>
      <c r="AW2" s="523"/>
      <c r="AX2" s="523"/>
      <c r="AY2" s="523"/>
      <c r="AZ2" s="523"/>
      <c r="BA2" s="523"/>
      <c r="BB2" s="523"/>
      <c r="BC2" s="523"/>
      <c r="BD2" s="523"/>
      <c r="BE2" s="523"/>
      <c r="BF2" s="523"/>
      <c r="BG2" s="523"/>
      <c r="BH2" s="523"/>
      <c r="BI2" s="523"/>
    </row>
    <row r="3" spans="1:61" ht="15" customHeight="1">
      <c r="A3" s="524"/>
      <c r="B3" s="525"/>
      <c r="C3" s="528"/>
      <c r="D3" s="1495" t="s">
        <v>505</v>
      </c>
      <c r="E3" s="1495"/>
      <c r="F3" s="1496"/>
      <c r="G3" s="527"/>
      <c r="W3" s="523"/>
      <c r="X3" s="523"/>
      <c r="Y3" s="523"/>
      <c r="Z3" s="523"/>
      <c r="AA3" s="523"/>
      <c r="AB3" s="523"/>
      <c r="AC3" s="523"/>
      <c r="AD3" s="523"/>
      <c r="AE3" s="523"/>
      <c r="AF3" s="523"/>
      <c r="AG3" s="523"/>
      <c r="AH3" s="523"/>
      <c r="AI3" s="523"/>
      <c r="AJ3" s="523"/>
      <c r="AK3" s="523"/>
      <c r="AL3" s="523"/>
      <c r="AM3" s="523"/>
      <c r="AN3" s="523"/>
      <c r="AO3" s="523"/>
      <c r="AP3" s="523"/>
      <c r="AQ3" s="523"/>
      <c r="AR3" s="523"/>
      <c r="AS3" s="523"/>
      <c r="AT3" s="523"/>
      <c r="AU3" s="523"/>
      <c r="AV3" s="523"/>
      <c r="AW3" s="523"/>
      <c r="AX3" s="523"/>
      <c r="AY3" s="523"/>
      <c r="AZ3" s="523"/>
      <c r="BA3" s="523"/>
      <c r="BB3" s="523"/>
      <c r="BC3" s="523"/>
      <c r="BD3" s="523"/>
      <c r="BE3" s="523"/>
      <c r="BF3" s="523"/>
      <c r="BG3" s="523"/>
      <c r="BH3" s="523"/>
      <c r="BI3" s="523"/>
    </row>
    <row r="4" spans="1:61" ht="15">
      <c r="A4" s="529"/>
      <c r="B4" s="530"/>
      <c r="C4" s="953"/>
      <c r="D4" s="954"/>
      <c r="E4" s="954"/>
      <c r="F4" s="955" t="s">
        <v>506</v>
      </c>
      <c r="G4" s="527"/>
      <c r="W4" s="523"/>
      <c r="X4" s="523"/>
      <c r="Y4" s="523"/>
      <c r="Z4" s="523"/>
      <c r="AA4" s="523"/>
      <c r="AB4" s="523"/>
      <c r="AC4" s="523"/>
      <c r="AD4" s="523"/>
      <c r="AE4" s="523"/>
      <c r="AF4" s="523"/>
      <c r="AG4" s="523"/>
      <c r="AH4" s="523"/>
      <c r="AI4" s="523"/>
      <c r="AJ4" s="523"/>
      <c r="AK4" s="523"/>
      <c r="AL4" s="523"/>
      <c r="AM4" s="523"/>
      <c r="AN4" s="523"/>
      <c r="AO4" s="523"/>
      <c r="AP4" s="523"/>
      <c r="AQ4" s="523"/>
      <c r="AR4" s="523"/>
      <c r="AS4" s="523"/>
      <c r="AT4" s="523"/>
      <c r="AU4" s="523"/>
      <c r="AV4" s="523"/>
      <c r="AW4" s="523"/>
      <c r="AX4" s="523"/>
      <c r="AY4" s="523"/>
      <c r="AZ4" s="523"/>
      <c r="BA4" s="523"/>
      <c r="BB4" s="523"/>
      <c r="BC4" s="523"/>
      <c r="BD4" s="523"/>
      <c r="BE4" s="523"/>
      <c r="BF4" s="523"/>
      <c r="BG4" s="523"/>
      <c r="BH4" s="523"/>
      <c r="BI4" s="523"/>
    </row>
    <row r="5" spans="1:61" s="534" customFormat="1" ht="15" customHeight="1">
      <c r="A5" s="1497"/>
      <c r="B5" s="1498"/>
      <c r="C5" s="531" t="s">
        <v>507</v>
      </c>
      <c r="D5" s="532" t="s">
        <v>508</v>
      </c>
      <c r="E5" s="1499">
        <f ca="1">TODAY()</f>
        <v>46278</v>
      </c>
      <c r="F5" s="1500"/>
      <c r="G5" s="527"/>
      <c r="H5" s="533"/>
      <c r="I5" s="533"/>
      <c r="J5" s="533"/>
      <c r="K5" s="533"/>
      <c r="L5" s="533"/>
      <c r="M5" s="533"/>
      <c r="N5" s="533"/>
      <c r="O5" s="533"/>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T5" s="533"/>
      <c r="AU5" s="533"/>
      <c r="AV5" s="533"/>
      <c r="AW5" s="533"/>
      <c r="AX5" s="533"/>
      <c r="AY5" s="533"/>
      <c r="AZ5" s="533"/>
      <c r="BA5" s="533"/>
      <c r="BB5" s="533"/>
      <c r="BC5" s="533"/>
      <c r="BD5" s="533"/>
      <c r="BE5" s="533"/>
      <c r="BF5" s="533"/>
      <c r="BG5" s="533"/>
      <c r="BH5" s="533"/>
      <c r="BI5" s="533"/>
    </row>
    <row r="6" spans="1:61" s="538" customFormat="1" ht="15" customHeight="1">
      <c r="A6" s="535" t="s">
        <v>509</v>
      </c>
      <c r="B6" s="536"/>
      <c r="C6" s="1483" t="s">
        <v>510</v>
      </c>
      <c r="D6" s="1485"/>
      <c r="E6" s="1483"/>
      <c r="F6" s="1501"/>
      <c r="G6" s="527"/>
      <c r="H6" s="537"/>
      <c r="I6" s="537"/>
      <c r="J6" s="537"/>
      <c r="K6" s="537"/>
      <c r="L6" s="537"/>
      <c r="M6" s="537"/>
      <c r="N6" s="537"/>
      <c r="O6" s="537"/>
      <c r="P6" s="537"/>
      <c r="Q6" s="537"/>
      <c r="R6" s="537"/>
      <c r="S6" s="537"/>
      <c r="T6" s="537"/>
      <c r="U6" s="537"/>
      <c r="V6" s="537"/>
      <c r="W6" s="537"/>
      <c r="X6" s="537"/>
      <c r="Y6" s="537"/>
      <c r="Z6" s="537"/>
      <c r="AA6" s="537"/>
      <c r="AB6" s="537"/>
      <c r="AC6" s="537"/>
      <c r="AD6" s="537"/>
      <c r="AE6" s="537"/>
      <c r="AF6" s="537"/>
      <c r="AG6" s="537"/>
      <c r="AH6" s="537"/>
      <c r="AI6" s="537"/>
      <c r="AJ6" s="537"/>
      <c r="AK6" s="537"/>
      <c r="AL6" s="537"/>
      <c r="AM6" s="537"/>
      <c r="AN6" s="537"/>
      <c r="AO6" s="537"/>
      <c r="AP6" s="537"/>
      <c r="AQ6" s="537"/>
      <c r="AR6" s="537"/>
      <c r="AS6" s="537"/>
      <c r="AT6" s="537"/>
      <c r="AU6" s="537"/>
      <c r="AV6" s="537"/>
      <c r="AW6" s="537"/>
      <c r="AX6" s="537"/>
      <c r="AY6" s="537"/>
      <c r="AZ6" s="537"/>
      <c r="BA6" s="537"/>
      <c r="BB6" s="537"/>
      <c r="BC6" s="537"/>
      <c r="BD6" s="537"/>
      <c r="BE6" s="537"/>
      <c r="BF6" s="537"/>
      <c r="BG6" s="537"/>
      <c r="BH6" s="537"/>
      <c r="BI6" s="537"/>
    </row>
    <row r="7" spans="1:61" s="542" customFormat="1" ht="15" customHeight="1">
      <c r="A7" s="539" t="s">
        <v>511</v>
      </c>
      <c r="B7" s="540"/>
      <c r="C7" s="1484"/>
      <c r="D7" s="1486"/>
      <c r="E7" s="1484"/>
      <c r="F7" s="1502"/>
      <c r="G7" s="527"/>
      <c r="H7" s="537"/>
      <c r="I7" s="541"/>
      <c r="J7" s="541"/>
      <c r="K7" s="541"/>
      <c r="L7" s="541"/>
      <c r="M7" s="541"/>
      <c r="N7" s="541"/>
      <c r="O7" s="541"/>
      <c r="P7" s="541"/>
      <c r="Q7" s="541"/>
      <c r="R7" s="541"/>
      <c r="S7" s="541"/>
      <c r="T7" s="541"/>
      <c r="U7" s="541"/>
      <c r="V7" s="541"/>
      <c r="W7" s="541"/>
      <c r="X7" s="541"/>
      <c r="Y7" s="541"/>
      <c r="Z7" s="541"/>
      <c r="AA7" s="541"/>
      <c r="AB7" s="541"/>
      <c r="AC7" s="541"/>
      <c r="AD7" s="541"/>
      <c r="AE7" s="541"/>
      <c r="AF7" s="541"/>
      <c r="AG7" s="541"/>
      <c r="AH7" s="541"/>
      <c r="AI7" s="541"/>
      <c r="AJ7" s="541"/>
      <c r="AK7" s="541"/>
      <c r="AL7" s="541"/>
      <c r="AM7" s="541"/>
      <c r="AN7" s="541"/>
      <c r="AO7" s="541"/>
      <c r="AP7" s="541"/>
      <c r="AQ7" s="541"/>
      <c r="AR7" s="541"/>
      <c r="AS7" s="541"/>
      <c r="AT7" s="541"/>
      <c r="AU7" s="541"/>
      <c r="AV7" s="541"/>
      <c r="AW7" s="541"/>
      <c r="AX7" s="541"/>
      <c r="AY7" s="541"/>
      <c r="AZ7" s="541"/>
      <c r="BA7" s="541"/>
      <c r="BB7" s="541"/>
      <c r="BC7" s="541"/>
      <c r="BD7" s="541"/>
      <c r="BE7" s="541"/>
      <c r="BF7" s="541"/>
      <c r="BG7" s="541"/>
      <c r="BH7" s="541"/>
      <c r="BI7" s="541"/>
    </row>
    <row r="8" spans="1:61" s="550" customFormat="1">
      <c r="A8" s="543" t="s">
        <v>512</v>
      </c>
      <c r="B8" s="544" t="s">
        <v>513</v>
      </c>
      <c r="C8" s="201" t="s">
        <v>514</v>
      </c>
      <c r="D8" s="545" t="s">
        <v>515</v>
      </c>
      <c r="E8" s="202" t="s">
        <v>516</v>
      </c>
      <c r="F8" s="546" t="s">
        <v>517</v>
      </c>
      <c r="G8" s="547"/>
      <c r="H8" s="537"/>
      <c r="I8" s="533"/>
      <c r="J8" s="548"/>
      <c r="K8" s="549"/>
      <c r="L8" s="548"/>
      <c r="M8" s="548"/>
      <c r="N8" s="548"/>
      <c r="O8" s="548"/>
      <c r="P8" s="548"/>
      <c r="Q8" s="548"/>
      <c r="R8" s="548"/>
      <c r="S8" s="548"/>
      <c r="T8" s="548"/>
      <c r="U8" s="548"/>
      <c r="V8" s="548"/>
      <c r="W8" s="548"/>
      <c r="X8" s="548"/>
      <c r="Y8" s="548"/>
      <c r="Z8" s="548"/>
      <c r="AA8" s="548"/>
      <c r="AB8" s="548"/>
      <c r="AC8" s="548"/>
      <c r="AD8" s="548"/>
      <c r="AE8" s="548"/>
      <c r="AF8" s="548"/>
      <c r="AG8" s="548"/>
      <c r="AH8" s="548"/>
      <c r="AI8" s="548"/>
      <c r="AJ8" s="548"/>
      <c r="AK8" s="548"/>
      <c r="AL8" s="548"/>
      <c r="AM8" s="548"/>
      <c r="AN8" s="548"/>
      <c r="AO8" s="548"/>
      <c r="AP8" s="548"/>
      <c r="AQ8" s="548"/>
      <c r="AR8" s="548"/>
      <c r="AS8" s="548"/>
      <c r="AT8" s="548"/>
      <c r="AU8" s="548"/>
      <c r="AV8" s="548"/>
      <c r="AW8" s="548"/>
      <c r="AX8" s="548"/>
      <c r="AY8" s="548"/>
      <c r="AZ8" s="548"/>
      <c r="BA8" s="548"/>
      <c r="BB8" s="548"/>
      <c r="BC8" s="548"/>
      <c r="BD8" s="548"/>
      <c r="BE8" s="548"/>
      <c r="BF8" s="548"/>
      <c r="BG8" s="548"/>
      <c r="BH8" s="548"/>
      <c r="BI8" s="548"/>
    </row>
    <row r="9" spans="1:61" s="557" customFormat="1">
      <c r="A9" s="551"/>
      <c r="B9" s="552"/>
      <c r="C9" s="553" t="s">
        <v>518</v>
      </c>
      <c r="D9" s="554"/>
      <c r="E9" s="555"/>
      <c r="F9" s="556"/>
    </row>
    <row r="10" spans="1:61" s="564" customFormat="1" ht="14.1" customHeight="1">
      <c r="A10" s="558"/>
      <c r="B10" s="559" t="s">
        <v>519</v>
      </c>
      <c r="C10" s="560" t="s">
        <v>520</v>
      </c>
      <c r="D10" s="561" t="s">
        <v>521</v>
      </c>
      <c r="E10" s="562">
        <f>'[2]COSTO LAMINADO CDMX-QRO-GDL'!I9</f>
        <v>5950</v>
      </c>
      <c r="F10" s="563" t="s">
        <v>284</v>
      </c>
    </row>
    <row r="11" spans="1:61" s="564" customFormat="1" ht="14.1" customHeight="1">
      <c r="A11" s="558"/>
      <c r="B11" s="565"/>
      <c r="C11" s="560" t="s">
        <v>522</v>
      </c>
      <c r="D11" s="561"/>
      <c r="E11" s="562"/>
      <c r="F11" s="563"/>
    </row>
    <row r="12" spans="1:61" s="564" customFormat="1" ht="14.1" customHeight="1">
      <c r="A12" s="558"/>
      <c r="B12" s="565"/>
      <c r="C12" s="560" t="s">
        <v>523</v>
      </c>
      <c r="D12" s="561"/>
      <c r="E12" s="562"/>
      <c r="F12" s="563"/>
    </row>
    <row r="13" spans="1:61" s="564" customFormat="1" ht="14.1" customHeight="1">
      <c r="A13" s="558"/>
      <c r="B13" s="565"/>
      <c r="C13" s="560" t="s">
        <v>524</v>
      </c>
      <c r="D13" s="561"/>
      <c r="E13" s="562"/>
      <c r="F13" s="563"/>
    </row>
    <row r="14" spans="1:61" s="564" customFormat="1" ht="14.1" customHeight="1">
      <c r="A14" s="558"/>
      <c r="B14" s="565"/>
      <c r="C14" s="566"/>
      <c r="D14" s="561"/>
      <c r="E14" s="562"/>
      <c r="F14" s="563"/>
    </row>
    <row r="15" spans="1:61" s="564" customFormat="1" ht="14.1" customHeight="1">
      <c r="A15" s="558"/>
      <c r="B15" s="565"/>
      <c r="C15" s="566"/>
      <c r="D15" s="561"/>
      <c r="E15" s="562"/>
      <c r="F15" s="563"/>
    </row>
    <row r="16" spans="1:61" s="564" customFormat="1" ht="14.1" customHeight="1">
      <c r="A16" s="558"/>
      <c r="B16" s="565"/>
      <c r="C16" s="560"/>
      <c r="D16" s="561"/>
      <c r="E16" s="562"/>
      <c r="F16" s="563"/>
    </row>
    <row r="17" spans="1:6" s="564" customFormat="1" ht="14.1" customHeight="1">
      <c r="A17" s="558"/>
      <c r="B17" s="565"/>
      <c r="C17" s="560"/>
      <c r="D17" s="561"/>
      <c r="E17" s="562"/>
      <c r="F17" s="567"/>
    </row>
    <row r="18" spans="1:6" s="564" customFormat="1" ht="14.1" customHeight="1">
      <c r="A18" s="558"/>
      <c r="B18" s="565"/>
      <c r="C18" s="560"/>
      <c r="D18" s="561"/>
      <c r="E18" s="562"/>
      <c r="F18" s="567"/>
    </row>
    <row r="19" spans="1:6" s="557" customFormat="1" ht="14.1" customHeight="1">
      <c r="A19" s="558"/>
      <c r="B19" s="565"/>
      <c r="C19" s="560"/>
      <c r="D19" s="561"/>
      <c r="E19" s="562"/>
      <c r="F19" s="567"/>
    </row>
    <row r="20" spans="1:6" s="557" customFormat="1" ht="14.1" customHeight="1">
      <c r="A20" s="558"/>
      <c r="B20" s="565"/>
      <c r="C20" s="560"/>
      <c r="D20" s="561"/>
      <c r="E20" s="562"/>
      <c r="F20" s="563"/>
    </row>
    <row r="21" spans="1:6" s="557" customFormat="1" ht="14.1" customHeight="1">
      <c r="A21" s="558"/>
      <c r="B21" s="559" t="s">
        <v>525</v>
      </c>
      <c r="C21" s="560" t="s">
        <v>526</v>
      </c>
      <c r="D21" s="561" t="s">
        <v>521</v>
      </c>
      <c r="E21" s="562">
        <f>'[2]COSTO LAMINADO CDMX-QRO-GDL'!I20</f>
        <v>5830</v>
      </c>
      <c r="F21" s="563" t="s">
        <v>284</v>
      </c>
    </row>
    <row r="22" spans="1:6" s="557" customFormat="1" ht="14.1" customHeight="1">
      <c r="A22" s="558"/>
      <c r="B22" s="565"/>
      <c r="C22" s="560" t="s">
        <v>527</v>
      </c>
      <c r="D22" s="561"/>
      <c r="E22" s="562"/>
      <c r="F22" s="567"/>
    </row>
    <row r="23" spans="1:6" s="557" customFormat="1" ht="14.1" customHeight="1">
      <c r="A23" s="558"/>
      <c r="B23" s="565"/>
      <c r="C23" s="560" t="s">
        <v>528</v>
      </c>
      <c r="D23" s="561"/>
      <c r="E23" s="562"/>
      <c r="F23" s="568"/>
    </row>
    <row r="24" spans="1:6" s="557" customFormat="1" ht="14.1" customHeight="1">
      <c r="A24" s="558"/>
      <c r="B24" s="565"/>
      <c r="C24" s="560" t="s">
        <v>529</v>
      </c>
      <c r="D24" s="561"/>
      <c r="E24" s="562"/>
      <c r="F24" s="568"/>
    </row>
    <row r="25" spans="1:6" s="557" customFormat="1" ht="14.1" customHeight="1">
      <c r="A25" s="558"/>
      <c r="B25" s="565"/>
      <c r="C25" s="566"/>
      <c r="D25" s="561"/>
      <c r="E25" s="562"/>
      <c r="F25" s="568"/>
    </row>
    <row r="26" spans="1:6" s="557" customFormat="1" ht="14.1" customHeight="1">
      <c r="A26" s="558"/>
      <c r="B26" s="565"/>
      <c r="C26" s="560"/>
      <c r="D26" s="561"/>
      <c r="E26" s="562"/>
      <c r="F26" s="568"/>
    </row>
    <row r="27" spans="1:6" s="557" customFormat="1" ht="14.1" customHeight="1">
      <c r="A27" s="558"/>
      <c r="B27" s="565"/>
      <c r="C27" s="560"/>
      <c r="D27" s="561"/>
      <c r="E27" s="562"/>
      <c r="F27" s="568"/>
    </row>
    <row r="28" spans="1:6" s="557" customFormat="1" ht="14.1" customHeight="1">
      <c r="A28" s="558"/>
      <c r="B28" s="565"/>
      <c r="C28" s="560"/>
      <c r="D28" s="561"/>
      <c r="E28" s="562"/>
      <c r="F28" s="568"/>
    </row>
    <row r="29" spans="1:6" s="557" customFormat="1" ht="14.1" customHeight="1">
      <c r="A29" s="558"/>
      <c r="B29" s="565"/>
      <c r="C29" s="560"/>
      <c r="D29" s="561"/>
      <c r="E29" s="562"/>
      <c r="F29" s="568"/>
    </row>
    <row r="30" spans="1:6" s="557" customFormat="1" ht="14.1" customHeight="1">
      <c r="A30" s="558"/>
      <c r="B30" s="565"/>
      <c r="C30" s="560"/>
      <c r="D30" s="561"/>
      <c r="E30" s="562"/>
      <c r="F30" s="568"/>
    </row>
    <row r="31" spans="1:6" s="557" customFormat="1" ht="14.1" customHeight="1">
      <c r="A31" s="558"/>
      <c r="B31" s="559" t="s">
        <v>530</v>
      </c>
      <c r="C31" s="560" t="s">
        <v>531</v>
      </c>
      <c r="D31" s="561" t="s">
        <v>521</v>
      </c>
      <c r="E31" s="562">
        <f>'[2]COSTO LAMINADO CDMX-QRO-GDL'!I30</f>
        <v>5750</v>
      </c>
      <c r="F31" s="563" t="s">
        <v>284</v>
      </c>
    </row>
    <row r="32" spans="1:6" ht="14.1" customHeight="1">
      <c r="A32" s="558"/>
      <c r="B32" s="565"/>
      <c r="C32" s="560" t="s">
        <v>532</v>
      </c>
      <c r="D32" s="561"/>
      <c r="E32" s="569"/>
      <c r="F32" s="568"/>
    </row>
    <row r="33" spans="1:6" ht="14.1" customHeight="1">
      <c r="A33" s="558"/>
      <c r="B33" s="565"/>
      <c r="C33" s="560" t="s">
        <v>533</v>
      </c>
      <c r="D33" s="561"/>
      <c r="E33" s="569"/>
      <c r="F33" s="568"/>
    </row>
    <row r="34" spans="1:6" ht="14.1" customHeight="1">
      <c r="A34" s="558"/>
      <c r="B34" s="565"/>
      <c r="C34" s="560" t="s">
        <v>534</v>
      </c>
      <c r="D34" s="561"/>
      <c r="E34" s="569"/>
      <c r="F34" s="568"/>
    </row>
    <row r="35" spans="1:6" ht="14.1" customHeight="1">
      <c r="A35" s="558"/>
      <c r="B35" s="565"/>
      <c r="C35" s="566"/>
      <c r="D35" s="561"/>
      <c r="E35" s="569"/>
      <c r="F35" s="568"/>
    </row>
    <row r="36" spans="1:6" ht="14.1" customHeight="1">
      <c r="A36" s="558"/>
      <c r="B36" s="565"/>
      <c r="C36" s="560"/>
      <c r="D36" s="561"/>
      <c r="E36" s="569"/>
      <c r="F36" s="570"/>
    </row>
    <row r="37" spans="1:6" ht="14.1" customHeight="1">
      <c r="A37" s="558"/>
      <c r="B37" s="565"/>
      <c r="C37" s="560"/>
      <c r="D37" s="561"/>
      <c r="E37" s="569"/>
      <c r="F37" s="570"/>
    </row>
    <row r="38" spans="1:6" ht="14.1" customHeight="1">
      <c r="A38" s="558"/>
      <c r="B38" s="565"/>
      <c r="C38" s="560"/>
      <c r="D38" s="561"/>
      <c r="E38" s="569"/>
      <c r="F38" s="570"/>
    </row>
    <row r="39" spans="1:6" ht="14.1" customHeight="1">
      <c r="A39" s="558"/>
      <c r="B39" s="565"/>
      <c r="C39" s="560"/>
      <c r="D39" s="561"/>
      <c r="E39" s="569"/>
      <c r="F39" s="570"/>
    </row>
    <row r="40" spans="1:6" ht="14.1" customHeight="1">
      <c r="A40" s="558"/>
      <c r="B40" s="565"/>
      <c r="C40" s="560"/>
      <c r="D40" s="561"/>
      <c r="E40" s="569"/>
      <c r="F40" s="570"/>
    </row>
    <row r="41" spans="1:6" ht="14.1" customHeight="1">
      <c r="A41" s="571"/>
      <c r="B41" s="572"/>
      <c r="C41" s="553" t="s">
        <v>535</v>
      </c>
      <c r="D41" s="573"/>
      <c r="E41" s="574"/>
      <c r="F41" s="575"/>
    </row>
    <row r="42" spans="1:6" ht="14.1" customHeight="1">
      <c r="A42" s="576"/>
      <c r="B42" s="559" t="s">
        <v>536</v>
      </c>
      <c r="C42" s="560" t="s">
        <v>537</v>
      </c>
      <c r="D42" s="561" t="s">
        <v>521</v>
      </c>
      <c r="E42" s="562">
        <f>'[2]COSTO LAMINADO CDMX-QRO-GDL'!I41</f>
        <v>6230</v>
      </c>
      <c r="F42" s="563" t="s">
        <v>284</v>
      </c>
    </row>
    <row r="43" spans="1:6" s="577" customFormat="1" ht="14.1" customHeight="1">
      <c r="A43" s="576"/>
      <c r="B43" s="559"/>
      <c r="C43" s="560" t="s">
        <v>538</v>
      </c>
      <c r="D43" s="561"/>
      <c r="E43" s="562"/>
      <c r="F43" s="570"/>
    </row>
    <row r="44" spans="1:6" s="577" customFormat="1" ht="14.1" customHeight="1">
      <c r="A44" s="576"/>
      <c r="B44" s="559"/>
      <c r="C44" s="560" t="s">
        <v>539</v>
      </c>
      <c r="D44" s="561"/>
      <c r="E44" s="562"/>
      <c r="F44" s="570"/>
    </row>
    <row r="45" spans="1:6" s="577" customFormat="1" ht="14.1" customHeight="1">
      <c r="A45" s="576"/>
      <c r="B45" s="559"/>
      <c r="C45" s="560" t="s">
        <v>540</v>
      </c>
      <c r="D45" s="561"/>
      <c r="E45" s="562"/>
      <c r="F45" s="570"/>
    </row>
    <row r="46" spans="1:6" s="577" customFormat="1" ht="14.1" customHeight="1">
      <c r="A46" s="576"/>
      <c r="B46" s="559"/>
      <c r="C46" s="560" t="s">
        <v>541</v>
      </c>
      <c r="D46" s="561"/>
      <c r="E46" s="562"/>
      <c r="F46" s="570"/>
    </row>
    <row r="47" spans="1:6" s="577" customFormat="1" ht="14.1" customHeight="1">
      <c r="A47" s="576"/>
      <c r="B47" s="559"/>
      <c r="C47" s="566"/>
      <c r="D47" s="561"/>
      <c r="E47" s="562"/>
      <c r="F47" s="578"/>
    </row>
    <row r="48" spans="1:6" s="577" customFormat="1" ht="14.1" customHeight="1">
      <c r="A48" s="576"/>
      <c r="B48" s="559"/>
      <c r="C48" s="560"/>
      <c r="D48" s="561"/>
      <c r="E48" s="562"/>
      <c r="F48" s="578"/>
    </row>
    <row r="49" spans="1:61" s="577" customFormat="1" ht="14.1" customHeight="1">
      <c r="A49" s="576"/>
      <c r="B49" s="559"/>
      <c r="C49" s="560"/>
      <c r="D49" s="561"/>
      <c r="E49" s="562"/>
      <c r="F49" s="578"/>
    </row>
    <row r="50" spans="1:61" s="577" customFormat="1" ht="14.1" customHeight="1">
      <c r="A50" s="576"/>
      <c r="B50" s="559"/>
      <c r="C50" s="560"/>
      <c r="D50" s="561"/>
      <c r="E50" s="562"/>
      <c r="F50" s="578"/>
    </row>
    <row r="51" spans="1:61">
      <c r="A51" s="576"/>
      <c r="B51" s="559"/>
      <c r="C51" s="560"/>
      <c r="D51" s="561"/>
      <c r="E51" s="562"/>
      <c r="F51" s="578"/>
    </row>
    <row r="52" spans="1:61">
      <c r="A52" s="576"/>
      <c r="B52" s="559"/>
      <c r="C52" s="560"/>
      <c r="D52" s="579"/>
      <c r="E52" s="562"/>
      <c r="F52" s="578"/>
    </row>
    <row r="53" spans="1:61">
      <c r="A53" s="576"/>
      <c r="B53" s="559" t="s">
        <v>542</v>
      </c>
      <c r="C53" s="560" t="s">
        <v>543</v>
      </c>
      <c r="D53" s="561" t="s">
        <v>521</v>
      </c>
      <c r="E53" s="562">
        <f>'[2]COSTO LAMINADO CDMX-QRO-GDL'!I52</f>
        <v>6180</v>
      </c>
      <c r="F53" s="563" t="s">
        <v>284</v>
      </c>
    </row>
    <row r="54" spans="1:61">
      <c r="A54" s="576"/>
      <c r="B54" s="559"/>
      <c r="C54" s="560" t="s">
        <v>527</v>
      </c>
      <c r="D54" s="561"/>
      <c r="E54" s="562"/>
      <c r="F54" s="578"/>
    </row>
    <row r="55" spans="1:61">
      <c r="A55" s="576"/>
      <c r="B55" s="559"/>
      <c r="C55" s="560" t="s">
        <v>544</v>
      </c>
      <c r="D55" s="561"/>
      <c r="E55" s="562"/>
      <c r="F55" s="570"/>
    </row>
    <row r="56" spans="1:61" s="581" customFormat="1">
      <c r="A56" s="576"/>
      <c r="B56" s="559"/>
      <c r="C56" s="560" t="s">
        <v>540</v>
      </c>
      <c r="D56" s="561"/>
      <c r="E56" s="562"/>
      <c r="F56" s="57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row>
    <row r="57" spans="1:61">
      <c r="A57" s="576"/>
      <c r="B57" s="559"/>
      <c r="C57" s="560" t="s">
        <v>541</v>
      </c>
      <c r="D57" s="579"/>
      <c r="E57" s="562"/>
      <c r="F57" s="570"/>
    </row>
    <row r="58" spans="1:61">
      <c r="A58" s="576"/>
      <c r="B58" s="559"/>
      <c r="C58" s="560"/>
      <c r="D58" s="579"/>
      <c r="E58" s="562"/>
      <c r="F58" s="570"/>
    </row>
    <row r="59" spans="1:61">
      <c r="A59" s="576"/>
      <c r="B59" s="559"/>
      <c r="C59" s="560"/>
      <c r="D59" s="579"/>
      <c r="E59" s="562"/>
      <c r="F59" s="570"/>
    </row>
    <row r="60" spans="1:61">
      <c r="A60" s="576"/>
      <c r="B60" s="559"/>
      <c r="C60" s="560"/>
      <c r="D60" s="579"/>
      <c r="E60" s="562"/>
      <c r="F60" s="582"/>
    </row>
    <row r="61" spans="1:61">
      <c r="A61" s="576"/>
      <c r="B61" s="559"/>
      <c r="C61" s="560"/>
      <c r="D61" s="561"/>
      <c r="E61" s="562"/>
      <c r="F61" s="570"/>
    </row>
    <row r="62" spans="1:61">
      <c r="A62" s="576"/>
      <c r="B62" s="559" t="s">
        <v>545</v>
      </c>
      <c r="C62" s="560" t="s">
        <v>546</v>
      </c>
      <c r="D62" s="561" t="s">
        <v>521</v>
      </c>
      <c r="E62" s="562">
        <f>'[2]COSTO LAMINADO CDMX-QRO-GDL'!I61</f>
        <v>5900</v>
      </c>
      <c r="F62" s="563" t="s">
        <v>284</v>
      </c>
    </row>
    <row r="63" spans="1:61">
      <c r="A63" s="576"/>
      <c r="B63" s="565"/>
      <c r="C63" s="560" t="s">
        <v>532</v>
      </c>
      <c r="D63" s="561"/>
      <c r="E63" s="562"/>
      <c r="F63" s="570"/>
    </row>
    <row r="64" spans="1:61">
      <c r="A64" s="576"/>
      <c r="B64" s="565"/>
      <c r="C64" s="560" t="s">
        <v>547</v>
      </c>
      <c r="D64" s="561"/>
      <c r="E64" s="569"/>
      <c r="F64" s="570"/>
    </row>
    <row r="65" spans="1:8">
      <c r="A65" s="576"/>
      <c r="B65" s="565"/>
      <c r="C65" s="560" t="s">
        <v>540</v>
      </c>
      <c r="D65" s="561"/>
      <c r="E65" s="569"/>
      <c r="F65" s="570"/>
    </row>
    <row r="66" spans="1:8">
      <c r="A66" s="576"/>
      <c r="B66" s="565"/>
      <c r="C66" s="560" t="s">
        <v>541</v>
      </c>
      <c r="D66" s="561"/>
      <c r="E66" s="569"/>
      <c r="F66" s="570"/>
    </row>
    <row r="67" spans="1:8">
      <c r="A67" s="576"/>
      <c r="B67" s="559"/>
      <c r="C67" s="560"/>
      <c r="D67" s="561"/>
      <c r="E67" s="569"/>
      <c r="F67" s="570"/>
    </row>
    <row r="68" spans="1:8">
      <c r="A68" s="576"/>
      <c r="B68" s="559"/>
      <c r="C68" s="560"/>
      <c r="D68" s="561"/>
      <c r="E68" s="569"/>
      <c r="F68" s="570"/>
    </row>
    <row r="69" spans="1:8">
      <c r="A69" s="576"/>
      <c r="B69" s="559"/>
      <c r="C69" s="560"/>
      <c r="D69" s="561"/>
      <c r="E69" s="569"/>
      <c r="F69" s="570"/>
    </row>
    <row r="70" spans="1:8">
      <c r="A70" s="576"/>
      <c r="B70" s="565"/>
      <c r="C70" s="560"/>
      <c r="D70" s="561"/>
      <c r="E70" s="569"/>
      <c r="F70" s="570"/>
    </row>
    <row r="71" spans="1:8">
      <c r="A71" s="576"/>
      <c r="B71" s="559" t="s">
        <v>548</v>
      </c>
      <c r="C71" s="560" t="s">
        <v>549</v>
      </c>
      <c r="D71" s="579" t="s">
        <v>550</v>
      </c>
      <c r="E71" s="562">
        <f>'[2]COSTO LAMINADO CDMX-QRO-GDL'!I70</f>
        <v>5300</v>
      </c>
      <c r="F71" s="563" t="s">
        <v>284</v>
      </c>
      <c r="G71" s="583">
        <f>E71*-30%</f>
        <v>-1590</v>
      </c>
      <c r="H71" s="583">
        <f>E71+G71</f>
        <v>3710</v>
      </c>
    </row>
    <row r="72" spans="1:8">
      <c r="A72" s="576"/>
      <c r="B72" s="559"/>
      <c r="C72" s="560" t="s">
        <v>551</v>
      </c>
      <c r="D72" s="561"/>
      <c r="E72" s="569"/>
      <c r="F72" s="570"/>
    </row>
    <row r="73" spans="1:8">
      <c r="A73" s="576"/>
      <c r="B73" s="565"/>
      <c r="C73" s="560" t="s">
        <v>552</v>
      </c>
      <c r="D73" s="561"/>
      <c r="E73" s="569"/>
      <c r="F73" s="570"/>
    </row>
    <row r="74" spans="1:8">
      <c r="A74" s="576"/>
      <c r="B74" s="559"/>
      <c r="C74" s="560" t="s">
        <v>540</v>
      </c>
      <c r="D74" s="561"/>
      <c r="E74" s="569"/>
      <c r="F74" s="570"/>
    </row>
    <row r="75" spans="1:8">
      <c r="A75" s="576"/>
      <c r="B75" s="559"/>
      <c r="C75" s="560" t="s">
        <v>541</v>
      </c>
      <c r="D75" s="561"/>
      <c r="E75" s="569"/>
      <c r="F75" s="570"/>
    </row>
    <row r="76" spans="1:8">
      <c r="A76" s="576"/>
      <c r="B76" s="559"/>
      <c r="C76" s="584"/>
      <c r="D76" s="561"/>
      <c r="E76" s="569"/>
      <c r="F76" s="570"/>
    </row>
    <row r="77" spans="1:8">
      <c r="A77" s="576"/>
      <c r="B77" s="559"/>
      <c r="C77" s="560"/>
      <c r="D77" s="561"/>
      <c r="E77" s="569"/>
      <c r="F77" s="570"/>
    </row>
    <row r="78" spans="1:8">
      <c r="A78" s="585"/>
      <c r="B78" s="552"/>
      <c r="C78" s="553" t="s">
        <v>553</v>
      </c>
      <c r="D78" s="554"/>
      <c r="E78" s="586"/>
      <c r="F78" s="575"/>
    </row>
    <row r="79" spans="1:8">
      <c r="A79" s="576"/>
      <c r="B79" s="559" t="s">
        <v>554</v>
      </c>
      <c r="C79" s="560" t="s">
        <v>555</v>
      </c>
      <c r="D79" s="561" t="s">
        <v>556</v>
      </c>
      <c r="E79" s="562">
        <f>'[2]COSTO LAMINADO CDMX-QRO-GDL'!I78</f>
        <v>10500</v>
      </c>
      <c r="F79" s="563" t="s">
        <v>284</v>
      </c>
    </row>
    <row r="80" spans="1:8">
      <c r="A80" s="576"/>
      <c r="B80" s="565"/>
      <c r="C80" s="560" t="s">
        <v>557</v>
      </c>
      <c r="D80" s="587"/>
      <c r="E80" s="588"/>
      <c r="F80" s="570"/>
    </row>
    <row r="81" spans="1:6">
      <c r="A81" s="576"/>
      <c r="B81" s="565"/>
      <c r="C81" s="560" t="s">
        <v>558</v>
      </c>
      <c r="D81" s="587"/>
      <c r="E81" s="588"/>
      <c r="F81" s="570"/>
    </row>
    <row r="82" spans="1:6">
      <c r="A82" s="576"/>
      <c r="B82" s="565"/>
      <c r="C82" s="560" t="s">
        <v>559</v>
      </c>
      <c r="D82" s="587"/>
      <c r="E82" s="588"/>
      <c r="F82" s="570"/>
    </row>
    <row r="83" spans="1:6">
      <c r="A83" s="576"/>
      <c r="B83" s="565"/>
      <c r="C83" s="560"/>
      <c r="D83" s="587"/>
      <c r="E83" s="588"/>
      <c r="F83" s="570"/>
    </row>
    <row r="84" spans="1:6">
      <c r="A84" s="576"/>
      <c r="B84" s="565"/>
      <c r="C84" s="560"/>
      <c r="D84" s="587"/>
      <c r="E84" s="588"/>
      <c r="F84" s="570"/>
    </row>
    <row r="85" spans="1:6">
      <c r="A85" s="576"/>
      <c r="B85" s="565"/>
      <c r="C85" s="589"/>
      <c r="D85" s="587"/>
      <c r="E85" s="588"/>
      <c r="F85" s="570"/>
    </row>
    <row r="86" spans="1:6">
      <c r="A86" s="576"/>
      <c r="B86" s="590"/>
      <c r="C86" s="589"/>
      <c r="D86" s="587"/>
      <c r="E86" s="588"/>
      <c r="F86" s="570"/>
    </row>
    <row r="87" spans="1:6">
      <c r="A87" s="576"/>
      <c r="B87" s="565"/>
      <c r="C87" s="589"/>
      <c r="D87" s="587"/>
      <c r="E87" s="588"/>
      <c r="F87" s="570"/>
    </row>
    <row r="88" spans="1:6">
      <c r="A88" s="576"/>
      <c r="B88" s="559" t="s">
        <v>560</v>
      </c>
      <c r="C88" s="560" t="s">
        <v>561</v>
      </c>
      <c r="D88" s="561" t="s">
        <v>562</v>
      </c>
      <c r="E88" s="562">
        <f>'[2]COSTO LAMINADO CDMX-QRO-GDL'!I87</f>
        <v>13370</v>
      </c>
      <c r="F88" s="563" t="s">
        <v>284</v>
      </c>
    </row>
    <row r="89" spans="1:6">
      <c r="A89" s="576"/>
      <c r="B89" s="565"/>
      <c r="C89" s="560" t="s">
        <v>557</v>
      </c>
      <c r="D89" s="587"/>
      <c r="E89" s="588"/>
      <c r="F89" s="570"/>
    </row>
    <row r="90" spans="1:6">
      <c r="A90" s="576"/>
      <c r="B90" s="565"/>
      <c r="C90" s="560" t="s">
        <v>558</v>
      </c>
      <c r="D90" s="587"/>
      <c r="E90" s="588"/>
      <c r="F90" s="570"/>
    </row>
    <row r="91" spans="1:6">
      <c r="A91" s="576"/>
      <c r="B91" s="590"/>
      <c r="C91" s="560" t="s">
        <v>559</v>
      </c>
      <c r="D91" s="591"/>
      <c r="E91" s="592"/>
      <c r="F91" s="570"/>
    </row>
    <row r="92" spans="1:6">
      <c r="A92" s="576"/>
      <c r="B92" s="590"/>
      <c r="C92" s="589"/>
      <c r="D92" s="591"/>
      <c r="E92" s="592"/>
      <c r="F92" s="570"/>
    </row>
    <row r="93" spans="1:6">
      <c r="A93" s="576"/>
      <c r="B93" s="590"/>
      <c r="C93" s="589"/>
      <c r="D93" s="591"/>
      <c r="E93" s="592"/>
      <c r="F93" s="570"/>
    </row>
    <row r="94" spans="1:6">
      <c r="A94" s="576"/>
      <c r="B94" s="590"/>
      <c r="C94" s="589"/>
      <c r="D94" s="591"/>
      <c r="E94" s="592"/>
      <c r="F94" s="570"/>
    </row>
    <row r="95" spans="1:6">
      <c r="A95" s="576"/>
      <c r="B95" s="590"/>
      <c r="C95" s="589"/>
      <c r="D95" s="591"/>
      <c r="E95" s="592"/>
      <c r="F95" s="570"/>
    </row>
    <row r="96" spans="1:6">
      <c r="A96" s="576"/>
      <c r="B96" s="590"/>
      <c r="C96" s="589"/>
      <c r="D96" s="591"/>
      <c r="E96" s="592"/>
      <c r="F96" s="570"/>
    </row>
    <row r="97" spans="1:6">
      <c r="A97" s="558"/>
      <c r="B97" s="559" t="s">
        <v>563</v>
      </c>
      <c r="C97" s="560" t="s">
        <v>564</v>
      </c>
      <c r="D97" s="561" t="s">
        <v>565</v>
      </c>
      <c r="E97" s="562">
        <f>'[2]COSTO LAMINADO CDMX-QRO-GDL'!I96</f>
        <v>14410</v>
      </c>
      <c r="F97" s="563" t="s">
        <v>284</v>
      </c>
    </row>
    <row r="98" spans="1:6">
      <c r="A98" s="558"/>
      <c r="B98" s="565"/>
      <c r="C98" s="560" t="s">
        <v>557</v>
      </c>
      <c r="D98" s="587"/>
      <c r="E98" s="588"/>
      <c r="F98" s="570"/>
    </row>
    <row r="99" spans="1:6">
      <c r="A99" s="558"/>
      <c r="B99" s="565"/>
      <c r="C99" s="560" t="s">
        <v>558</v>
      </c>
      <c r="D99" s="587"/>
      <c r="E99" s="588"/>
      <c r="F99" s="570"/>
    </row>
    <row r="100" spans="1:6">
      <c r="A100" s="558"/>
      <c r="B100" s="565"/>
      <c r="C100" s="560" t="s">
        <v>559</v>
      </c>
      <c r="D100" s="587"/>
      <c r="E100" s="588"/>
      <c r="F100" s="570"/>
    </row>
    <row r="101" spans="1:6">
      <c r="A101" s="558"/>
      <c r="B101" s="565"/>
      <c r="C101" s="560"/>
      <c r="D101" s="587"/>
      <c r="E101" s="588"/>
      <c r="F101" s="570"/>
    </row>
    <row r="102" spans="1:6">
      <c r="A102" s="558"/>
      <c r="B102" s="565"/>
      <c r="C102" s="560"/>
      <c r="D102" s="587"/>
      <c r="E102" s="588"/>
      <c r="F102" s="570"/>
    </row>
    <row r="103" spans="1:6">
      <c r="A103" s="558"/>
      <c r="B103" s="565"/>
      <c r="C103" s="560"/>
      <c r="D103" s="587"/>
      <c r="E103" s="588"/>
      <c r="F103" s="570"/>
    </row>
    <row r="104" spans="1:6">
      <c r="A104" s="558"/>
      <c r="B104" s="565"/>
      <c r="C104" s="560"/>
      <c r="D104" s="587"/>
      <c r="E104" s="588"/>
      <c r="F104" s="570"/>
    </row>
    <row r="105" spans="1:6">
      <c r="A105" s="558"/>
      <c r="B105" s="565"/>
      <c r="C105" s="560"/>
      <c r="D105" s="587"/>
      <c r="E105" s="588"/>
      <c r="F105" s="570"/>
    </row>
    <row r="106" spans="1:6">
      <c r="A106" s="558"/>
      <c r="B106" s="565"/>
      <c r="C106" s="560"/>
      <c r="D106" s="587"/>
      <c r="E106" s="588"/>
      <c r="F106" s="570"/>
    </row>
    <row r="107" spans="1:6">
      <c r="A107" s="558"/>
      <c r="B107" s="565"/>
      <c r="C107" s="560"/>
      <c r="D107" s="587"/>
      <c r="E107" s="588"/>
      <c r="F107" s="570"/>
    </row>
    <row r="108" spans="1:6">
      <c r="A108" s="558"/>
      <c r="B108" s="565"/>
      <c r="C108" s="560"/>
      <c r="D108" s="587"/>
      <c r="E108" s="588"/>
      <c r="F108" s="570"/>
    </row>
    <row r="109" spans="1:6">
      <c r="A109" s="558"/>
      <c r="B109" s="565"/>
      <c r="C109" s="560"/>
      <c r="D109" s="587"/>
      <c r="E109" s="588"/>
      <c r="F109" s="570"/>
    </row>
    <row r="110" spans="1:6">
      <c r="A110" s="558"/>
      <c r="B110" s="565"/>
      <c r="C110" s="560"/>
      <c r="D110" s="587"/>
      <c r="E110" s="588"/>
      <c r="F110" s="570"/>
    </row>
    <row r="111" spans="1:6">
      <c r="A111" s="558"/>
      <c r="B111" s="565"/>
      <c r="C111" s="560"/>
      <c r="D111" s="587"/>
      <c r="E111" s="588"/>
      <c r="F111" s="570"/>
    </row>
    <row r="112" spans="1:6">
      <c r="A112" s="558"/>
      <c r="B112" s="565"/>
      <c r="C112" s="560"/>
      <c r="D112" s="587"/>
      <c r="E112" s="593"/>
      <c r="F112" s="570"/>
    </row>
    <row r="113" spans="1:61" s="538" customFormat="1" ht="15" customHeight="1">
      <c r="A113" s="535" t="s">
        <v>509</v>
      </c>
      <c r="B113" s="536"/>
      <c r="C113" s="1483" t="s">
        <v>566</v>
      </c>
      <c r="D113" s="1485" t="s">
        <v>567</v>
      </c>
      <c r="E113" s="1487"/>
      <c r="F113" s="1488"/>
      <c r="G113" s="527"/>
      <c r="H113" s="537"/>
      <c r="I113" s="537"/>
      <c r="J113" s="537"/>
      <c r="K113" s="537"/>
      <c r="L113" s="537"/>
      <c r="M113" s="537"/>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537"/>
      <c r="AQ113" s="537"/>
      <c r="AR113" s="537"/>
      <c r="AS113" s="537"/>
      <c r="AT113" s="537"/>
      <c r="AU113" s="537"/>
      <c r="AV113" s="537"/>
      <c r="AW113" s="537"/>
      <c r="AX113" s="537"/>
      <c r="AY113" s="537"/>
      <c r="AZ113" s="537"/>
      <c r="BA113" s="537"/>
      <c r="BB113" s="537"/>
      <c r="BC113" s="537"/>
      <c r="BD113" s="537"/>
      <c r="BE113" s="537"/>
      <c r="BF113" s="537"/>
      <c r="BG113" s="537"/>
      <c r="BH113" s="537"/>
      <c r="BI113" s="537"/>
    </row>
    <row r="114" spans="1:61" s="542" customFormat="1" ht="15" customHeight="1">
      <c r="A114" s="539" t="s">
        <v>568</v>
      </c>
      <c r="B114" s="540"/>
      <c r="C114" s="1484"/>
      <c r="D114" s="1486"/>
      <c r="E114" s="1489"/>
      <c r="F114" s="1490"/>
      <c r="G114" s="527"/>
      <c r="H114" s="537"/>
      <c r="I114" s="541"/>
      <c r="J114" s="541"/>
      <c r="K114" s="541"/>
      <c r="L114" s="541"/>
      <c r="M114" s="541"/>
      <c r="N114" s="541"/>
      <c r="O114" s="541"/>
      <c r="P114" s="541"/>
      <c r="Q114" s="541"/>
      <c r="R114" s="541"/>
      <c r="S114" s="541"/>
      <c r="T114" s="541"/>
      <c r="U114" s="541"/>
      <c r="V114" s="541"/>
      <c r="W114" s="541"/>
      <c r="X114" s="541"/>
      <c r="Y114" s="541"/>
      <c r="Z114" s="541"/>
      <c r="AA114" s="541"/>
      <c r="AB114" s="541"/>
      <c r="AC114" s="541"/>
      <c r="AD114" s="541"/>
      <c r="AE114" s="541"/>
      <c r="AF114" s="541"/>
      <c r="AG114" s="541"/>
      <c r="AH114" s="541"/>
      <c r="AI114" s="541"/>
      <c r="AJ114" s="541"/>
      <c r="AK114" s="541"/>
      <c r="AL114" s="541"/>
      <c r="AM114" s="541"/>
      <c r="AN114" s="541"/>
      <c r="AO114" s="541"/>
      <c r="AP114" s="541"/>
      <c r="AQ114" s="541"/>
      <c r="AR114" s="541"/>
      <c r="AS114" s="541"/>
      <c r="AT114" s="541"/>
      <c r="AU114" s="541"/>
      <c r="AV114" s="541"/>
      <c r="AW114" s="541"/>
      <c r="AX114" s="541"/>
      <c r="AY114" s="541"/>
      <c r="AZ114" s="541"/>
      <c r="BA114" s="541"/>
      <c r="BB114" s="541"/>
      <c r="BC114" s="541"/>
      <c r="BD114" s="541"/>
      <c r="BE114" s="541"/>
      <c r="BF114" s="541"/>
      <c r="BG114" s="541"/>
      <c r="BH114" s="541"/>
      <c r="BI114" s="541"/>
    </row>
    <row r="115" spans="1:61" s="550" customFormat="1">
      <c r="A115" s="543" t="s">
        <v>512</v>
      </c>
      <c r="B115" s="544" t="s">
        <v>513</v>
      </c>
      <c r="C115" s="201" t="s">
        <v>514</v>
      </c>
      <c r="D115" s="545" t="s">
        <v>515</v>
      </c>
      <c r="E115" s="202" t="s">
        <v>516</v>
      </c>
      <c r="F115" s="546" t="s">
        <v>517</v>
      </c>
      <c r="G115" s="547"/>
      <c r="H115" s="537"/>
      <c r="I115" s="533"/>
      <c r="J115" s="548"/>
      <c r="K115" s="549"/>
      <c r="L115" s="548"/>
      <c r="M115" s="548"/>
      <c r="N115" s="548"/>
      <c r="O115" s="548"/>
      <c r="P115" s="548"/>
      <c r="Q115" s="548"/>
      <c r="R115" s="548"/>
      <c r="S115" s="548"/>
      <c r="T115" s="548"/>
      <c r="U115" s="548"/>
      <c r="V115" s="548"/>
      <c r="W115" s="548"/>
      <c r="X115" s="548"/>
      <c r="Y115" s="548"/>
      <c r="Z115" s="548"/>
      <c r="AA115" s="548"/>
      <c r="AB115" s="548"/>
      <c r="AC115" s="548"/>
      <c r="AD115" s="548"/>
      <c r="AE115" s="548"/>
      <c r="AF115" s="548"/>
      <c r="AG115" s="548"/>
      <c r="AH115" s="548"/>
      <c r="AI115" s="548"/>
      <c r="AJ115" s="548"/>
      <c r="AK115" s="548"/>
      <c r="AL115" s="548"/>
      <c r="AM115" s="548"/>
      <c r="AN115" s="548"/>
      <c r="AO115" s="548"/>
      <c r="AP115" s="548"/>
      <c r="AQ115" s="548"/>
      <c r="AR115" s="548"/>
      <c r="AS115" s="548"/>
      <c r="AT115" s="548"/>
      <c r="AU115" s="548"/>
      <c r="AV115" s="548"/>
      <c r="AW115" s="548"/>
      <c r="AX115" s="548"/>
      <c r="AY115" s="548"/>
      <c r="AZ115" s="548"/>
      <c r="BA115" s="548"/>
      <c r="BB115" s="548"/>
      <c r="BC115" s="548"/>
      <c r="BD115" s="548"/>
      <c r="BE115" s="548"/>
      <c r="BF115" s="548"/>
      <c r="BG115" s="548"/>
      <c r="BH115" s="548"/>
      <c r="BI115" s="548"/>
    </row>
    <row r="116" spans="1:61">
      <c r="A116" s="585"/>
      <c r="B116" s="552"/>
      <c r="C116" s="553" t="s">
        <v>569</v>
      </c>
      <c r="D116" s="554"/>
      <c r="E116" s="586"/>
      <c r="F116" s="575"/>
    </row>
    <row r="117" spans="1:61">
      <c r="A117" s="576"/>
      <c r="B117" s="559" t="s">
        <v>570</v>
      </c>
      <c r="C117" s="560" t="s">
        <v>571</v>
      </c>
      <c r="D117" s="561" t="s">
        <v>572</v>
      </c>
      <c r="E117" s="562">
        <f>'[2]COSTO LAMINADO CDMX-QRO-GDL'!I112</f>
        <v>8810</v>
      </c>
      <c r="F117" s="563" t="s">
        <v>284</v>
      </c>
    </row>
    <row r="118" spans="1:61">
      <c r="A118" s="594"/>
      <c r="B118" s="559"/>
      <c r="C118" s="560" t="s">
        <v>573</v>
      </c>
      <c r="D118" s="561"/>
      <c r="E118" s="562"/>
      <c r="F118" s="570"/>
    </row>
    <row r="119" spans="1:61">
      <c r="A119" s="594"/>
      <c r="B119" s="559"/>
      <c r="C119" s="560" t="s">
        <v>574</v>
      </c>
      <c r="D119" s="561"/>
      <c r="E119" s="562"/>
      <c r="F119" s="570"/>
    </row>
    <row r="120" spans="1:61">
      <c r="A120" s="594"/>
      <c r="B120" s="559"/>
      <c r="C120" s="560" t="s">
        <v>575</v>
      </c>
      <c r="D120" s="561"/>
      <c r="E120" s="562"/>
      <c r="F120" s="570"/>
    </row>
    <row r="121" spans="1:61">
      <c r="A121" s="594"/>
      <c r="B121" s="559"/>
      <c r="C121" s="560" t="s">
        <v>576</v>
      </c>
      <c r="D121" s="561"/>
      <c r="E121" s="562"/>
      <c r="F121" s="570"/>
    </row>
    <row r="122" spans="1:61">
      <c r="A122" s="594"/>
      <c r="B122" s="559"/>
      <c r="C122" s="595" t="s">
        <v>577</v>
      </c>
      <c r="D122" s="561"/>
      <c r="E122" s="562"/>
      <c r="F122" s="570"/>
    </row>
    <row r="123" spans="1:61">
      <c r="A123" s="594"/>
      <c r="B123" s="559"/>
      <c r="C123" s="595" t="s">
        <v>578</v>
      </c>
      <c r="D123" s="561"/>
      <c r="E123" s="562"/>
      <c r="F123" s="570"/>
    </row>
    <row r="124" spans="1:61">
      <c r="A124" s="594"/>
      <c r="B124" s="559"/>
      <c r="C124" s="595"/>
      <c r="D124" s="579"/>
      <c r="E124" s="562"/>
      <c r="F124" s="570"/>
    </row>
    <row r="125" spans="1:61">
      <c r="A125" s="594"/>
      <c r="B125" s="560" t="s">
        <v>579</v>
      </c>
      <c r="C125" s="560" t="s">
        <v>580</v>
      </c>
      <c r="D125" s="561" t="s">
        <v>572</v>
      </c>
      <c r="E125" s="562">
        <f>'[2]COSTO LAMINADO CDMX-QRO-GDL'!I120</f>
        <v>11400</v>
      </c>
      <c r="F125" s="956" t="s">
        <v>284</v>
      </c>
    </row>
    <row r="126" spans="1:61">
      <c r="A126" s="594"/>
      <c r="B126" s="559"/>
      <c r="C126" s="595"/>
      <c r="D126" s="561"/>
      <c r="E126" s="562"/>
      <c r="F126" s="570"/>
    </row>
    <row r="127" spans="1:61">
      <c r="A127" s="594"/>
      <c r="B127" s="559"/>
      <c r="C127" s="595"/>
      <c r="D127" s="561"/>
      <c r="E127" s="562"/>
      <c r="F127" s="570"/>
    </row>
    <row r="128" spans="1:61">
      <c r="A128" s="594"/>
      <c r="B128" s="559"/>
      <c r="C128" s="560"/>
      <c r="D128" s="561"/>
      <c r="E128" s="562"/>
      <c r="F128" s="570"/>
    </row>
    <row r="129" spans="1:6">
      <c r="A129" s="594"/>
      <c r="B129" s="559"/>
      <c r="C129" s="560"/>
      <c r="D129" s="561"/>
      <c r="E129" s="562"/>
      <c r="F129" s="570"/>
    </row>
    <row r="130" spans="1:6">
      <c r="A130" s="594"/>
      <c r="B130" s="559" t="s">
        <v>581</v>
      </c>
      <c r="C130" s="560" t="s">
        <v>571</v>
      </c>
      <c r="D130" s="561" t="s">
        <v>572</v>
      </c>
      <c r="E130" s="562">
        <f>'[2]COSTO LAMINADO CDMX-QRO-GDL'!I125</f>
        <v>9910</v>
      </c>
      <c r="F130" s="563" t="s">
        <v>284</v>
      </c>
    </row>
    <row r="131" spans="1:6">
      <c r="A131" s="594"/>
      <c r="B131" s="559"/>
      <c r="C131" s="560" t="s">
        <v>582</v>
      </c>
      <c r="D131" s="561"/>
      <c r="E131" s="562"/>
      <c r="F131" s="570"/>
    </row>
    <row r="132" spans="1:6">
      <c r="A132" s="594"/>
      <c r="B132" s="559"/>
      <c r="C132" s="560" t="s">
        <v>583</v>
      </c>
      <c r="D132" s="561"/>
      <c r="E132" s="562"/>
      <c r="F132" s="570"/>
    </row>
    <row r="133" spans="1:6">
      <c r="A133" s="594"/>
      <c r="B133" s="559"/>
      <c r="C133" s="560" t="s">
        <v>584</v>
      </c>
      <c r="D133" s="561"/>
      <c r="E133" s="562"/>
      <c r="F133" s="570"/>
    </row>
    <row r="134" spans="1:6">
      <c r="A134" s="594"/>
      <c r="B134" s="559"/>
      <c r="C134" s="560" t="s">
        <v>585</v>
      </c>
      <c r="D134" s="561"/>
      <c r="E134" s="562"/>
      <c r="F134" s="570"/>
    </row>
    <row r="135" spans="1:6">
      <c r="A135" s="594"/>
      <c r="B135" s="559"/>
      <c r="C135" s="560"/>
      <c r="D135" s="561"/>
      <c r="E135" s="562"/>
      <c r="F135" s="570"/>
    </row>
    <row r="136" spans="1:6">
      <c r="A136" s="594"/>
      <c r="B136" s="559"/>
      <c r="C136" s="566"/>
      <c r="D136" s="561"/>
      <c r="E136" s="562"/>
      <c r="F136" s="570"/>
    </row>
    <row r="137" spans="1:6">
      <c r="A137" s="594"/>
      <c r="B137" s="560" t="s">
        <v>586</v>
      </c>
      <c r="C137" s="560" t="s">
        <v>580</v>
      </c>
      <c r="D137" s="561" t="s">
        <v>572</v>
      </c>
      <c r="E137" s="562">
        <f>'[2]COSTO LAMINADO CDMX-QRO-GDL'!I132</f>
        <v>12700</v>
      </c>
      <c r="F137" s="563" t="s">
        <v>284</v>
      </c>
    </row>
    <row r="138" spans="1:6">
      <c r="A138" s="594"/>
      <c r="B138" s="559"/>
      <c r="C138" s="566"/>
      <c r="D138" s="561"/>
      <c r="E138" s="562"/>
      <c r="F138" s="570"/>
    </row>
    <row r="139" spans="1:6">
      <c r="A139" s="594"/>
      <c r="B139" s="559"/>
      <c r="C139" s="560"/>
      <c r="D139" s="561"/>
      <c r="E139" s="562"/>
      <c r="F139" s="570"/>
    </row>
    <row r="140" spans="1:6">
      <c r="A140" s="594"/>
      <c r="B140" s="559"/>
      <c r="C140" s="560"/>
      <c r="D140" s="561"/>
      <c r="E140" s="562"/>
      <c r="F140" s="570"/>
    </row>
    <row r="141" spans="1:6">
      <c r="A141" s="594"/>
      <c r="B141" s="559" t="s">
        <v>587</v>
      </c>
      <c r="C141" s="560" t="s">
        <v>571</v>
      </c>
      <c r="D141" s="561" t="s">
        <v>588</v>
      </c>
      <c r="E141" s="562">
        <f>'[2]COSTO LAMINADO CDMX-QRO-GDL'!I136</f>
        <v>12060</v>
      </c>
      <c r="F141" s="563" t="s">
        <v>284</v>
      </c>
    </row>
    <row r="142" spans="1:6">
      <c r="A142" s="594"/>
      <c r="B142" s="559"/>
      <c r="C142" s="560" t="s">
        <v>589</v>
      </c>
      <c r="D142" s="561"/>
      <c r="E142" s="562"/>
      <c r="F142" s="570"/>
    </row>
    <row r="143" spans="1:6">
      <c r="A143" s="594"/>
      <c r="B143" s="559"/>
      <c r="C143" s="560" t="s">
        <v>583</v>
      </c>
      <c r="D143" s="561"/>
      <c r="E143" s="562"/>
      <c r="F143" s="570"/>
    </row>
    <row r="144" spans="1:6">
      <c r="A144" s="594"/>
      <c r="B144" s="565"/>
      <c r="C144" s="560" t="s">
        <v>590</v>
      </c>
      <c r="D144" s="561"/>
      <c r="E144" s="562"/>
      <c r="F144" s="570"/>
    </row>
    <row r="145" spans="1:6">
      <c r="A145" s="576"/>
      <c r="B145" s="565"/>
      <c r="C145" s="560" t="s">
        <v>591</v>
      </c>
      <c r="D145" s="561"/>
      <c r="E145" s="562"/>
      <c r="F145" s="570"/>
    </row>
    <row r="146" spans="1:6">
      <c r="A146" s="576"/>
      <c r="B146" s="565"/>
      <c r="C146" s="566"/>
      <c r="D146" s="561"/>
      <c r="E146" s="562"/>
      <c r="F146" s="570"/>
    </row>
    <row r="147" spans="1:6">
      <c r="A147" s="576"/>
      <c r="B147" s="565"/>
      <c r="C147" s="566"/>
      <c r="D147" s="561"/>
      <c r="E147" s="562"/>
      <c r="F147" s="570"/>
    </row>
    <row r="148" spans="1:6">
      <c r="A148" s="576"/>
      <c r="B148" s="560" t="s">
        <v>592</v>
      </c>
      <c r="C148" s="560" t="s">
        <v>580</v>
      </c>
      <c r="D148" s="561" t="s">
        <v>588</v>
      </c>
      <c r="E148" s="562">
        <f>'[2]COSTO LAMINADO CDMX-QRO-GDL'!I143</f>
        <v>15820</v>
      </c>
      <c r="F148" s="563" t="s">
        <v>284</v>
      </c>
    </row>
    <row r="149" spans="1:6">
      <c r="A149" s="576"/>
      <c r="B149" s="565"/>
      <c r="C149" s="560"/>
      <c r="D149" s="561"/>
      <c r="E149" s="562"/>
      <c r="F149" s="570"/>
    </row>
    <row r="150" spans="1:6">
      <c r="A150" s="576"/>
      <c r="B150" s="559"/>
      <c r="C150" s="560" t="s">
        <v>127</v>
      </c>
      <c r="D150" s="579"/>
      <c r="E150" s="596"/>
      <c r="F150" s="570"/>
    </row>
    <row r="151" spans="1:6">
      <c r="A151" s="585"/>
      <c r="B151" s="552"/>
      <c r="C151" s="553" t="s">
        <v>593</v>
      </c>
      <c r="D151" s="554"/>
      <c r="E151" s="586"/>
      <c r="F151" s="597"/>
    </row>
    <row r="152" spans="1:6" ht="12.95" customHeight="1">
      <c r="A152" s="576"/>
      <c r="B152" s="565" t="s">
        <v>594</v>
      </c>
      <c r="C152" s="598" t="s">
        <v>595</v>
      </c>
      <c r="D152" s="599" t="s">
        <v>596</v>
      </c>
      <c r="E152" s="562">
        <f>'[2]COSTO LAMINADO CDMX-QRO-GDL'!I147</f>
        <v>16380</v>
      </c>
      <c r="F152" s="563" t="s">
        <v>284</v>
      </c>
    </row>
    <row r="153" spans="1:6" ht="15">
      <c r="A153" s="576"/>
      <c r="B153" s="565"/>
      <c r="C153" s="600" t="s">
        <v>597</v>
      </c>
      <c r="D153" s="561"/>
      <c r="E153" s="569"/>
      <c r="F153" s="570"/>
    </row>
    <row r="154" spans="1:6" ht="15">
      <c r="A154" s="576"/>
      <c r="B154" s="565"/>
      <c r="C154" s="600" t="s">
        <v>598</v>
      </c>
      <c r="D154" s="561"/>
      <c r="E154" s="569"/>
      <c r="F154" s="570"/>
    </row>
    <row r="155" spans="1:6" ht="15">
      <c r="A155" s="576"/>
      <c r="B155" s="565"/>
      <c r="C155" s="600" t="s">
        <v>599</v>
      </c>
      <c r="D155" s="561"/>
      <c r="E155" s="569"/>
      <c r="F155" s="570"/>
    </row>
    <row r="156" spans="1:6">
      <c r="A156" s="576"/>
      <c r="B156" s="565"/>
      <c r="C156" s="600"/>
      <c r="D156" s="561"/>
      <c r="E156" s="569"/>
      <c r="F156" s="570"/>
    </row>
    <row r="157" spans="1:6">
      <c r="A157" s="576"/>
      <c r="B157" s="565"/>
      <c r="C157" s="600"/>
      <c r="D157" s="561"/>
      <c r="E157" s="569"/>
      <c r="F157" s="570"/>
    </row>
    <row r="158" spans="1:6">
      <c r="A158" s="576"/>
      <c r="B158" s="565"/>
      <c r="C158" s="600"/>
      <c r="D158" s="561"/>
      <c r="E158" s="569"/>
      <c r="F158" s="570"/>
    </row>
    <row r="159" spans="1:6">
      <c r="A159" s="576"/>
      <c r="B159" s="565"/>
      <c r="C159" s="600"/>
      <c r="D159" s="579"/>
      <c r="E159" s="596"/>
      <c r="F159" s="570"/>
    </row>
    <row r="160" spans="1:6">
      <c r="A160" s="576"/>
      <c r="B160" s="565"/>
      <c r="C160" s="600"/>
      <c r="D160" s="579"/>
      <c r="E160" s="596"/>
      <c r="F160" s="570"/>
    </row>
    <row r="161" spans="1:6">
      <c r="A161" s="576"/>
      <c r="B161" s="565"/>
      <c r="C161" s="600"/>
      <c r="D161" s="579"/>
      <c r="E161" s="596"/>
      <c r="F161" s="570"/>
    </row>
    <row r="162" spans="1:6">
      <c r="A162" s="576"/>
      <c r="B162" s="565"/>
      <c r="C162" s="565"/>
      <c r="D162" s="579"/>
      <c r="E162" s="596"/>
      <c r="F162" s="570"/>
    </row>
    <row r="163" spans="1:6" ht="15">
      <c r="A163" s="576"/>
      <c r="B163" s="565" t="s">
        <v>600</v>
      </c>
      <c r="C163" s="600" t="s">
        <v>601</v>
      </c>
      <c r="D163" s="599" t="s">
        <v>596</v>
      </c>
      <c r="E163" s="562">
        <f>'[2]COSTO LAMINADO CDMX-QRO-GDL'!I147</f>
        <v>16380</v>
      </c>
      <c r="F163" s="563" t="s">
        <v>284</v>
      </c>
    </row>
    <row r="164" spans="1:6" ht="15">
      <c r="A164" s="576"/>
      <c r="B164" s="565"/>
      <c r="C164" s="600" t="s">
        <v>602</v>
      </c>
      <c r="D164" s="561"/>
      <c r="E164" s="569"/>
      <c r="F164" s="570"/>
    </row>
    <row r="165" spans="1:6" ht="15">
      <c r="A165" s="576"/>
      <c r="B165" s="565"/>
      <c r="C165" s="600" t="s">
        <v>603</v>
      </c>
      <c r="D165" s="561"/>
      <c r="E165" s="569"/>
      <c r="F165" s="570"/>
    </row>
    <row r="166" spans="1:6" ht="15">
      <c r="A166" s="576"/>
      <c r="B166" s="565"/>
      <c r="C166" s="600" t="s">
        <v>604</v>
      </c>
      <c r="D166" s="561"/>
      <c r="E166" s="569"/>
      <c r="F166" s="570"/>
    </row>
    <row r="167" spans="1:6">
      <c r="A167" s="576"/>
      <c r="B167" s="565"/>
      <c r="C167" s="600"/>
      <c r="D167" s="561"/>
      <c r="E167" s="569"/>
      <c r="F167" s="570"/>
    </row>
    <row r="168" spans="1:6">
      <c r="A168" s="576"/>
      <c r="B168" s="565"/>
      <c r="C168" s="600"/>
      <c r="D168" s="561"/>
      <c r="E168" s="569"/>
      <c r="F168" s="570"/>
    </row>
    <row r="169" spans="1:6">
      <c r="A169" s="576"/>
      <c r="B169" s="565"/>
      <c r="C169" s="600"/>
      <c r="D169" s="561"/>
      <c r="E169" s="569"/>
      <c r="F169" s="570"/>
    </row>
    <row r="170" spans="1:6">
      <c r="A170" s="576"/>
      <c r="B170" s="565"/>
      <c r="C170" s="600"/>
      <c r="D170" s="599"/>
      <c r="E170" s="562"/>
      <c r="F170" s="563"/>
    </row>
    <row r="171" spans="1:6">
      <c r="A171" s="576"/>
      <c r="B171" s="565"/>
      <c r="C171" s="565"/>
      <c r="D171" s="579"/>
      <c r="E171" s="596"/>
      <c r="F171" s="570"/>
    </row>
    <row r="172" spans="1:6" ht="15">
      <c r="A172" s="576"/>
      <c r="B172" s="565" t="s">
        <v>605</v>
      </c>
      <c r="C172" s="600" t="s">
        <v>606</v>
      </c>
      <c r="D172" s="599" t="s">
        <v>607</v>
      </c>
      <c r="E172" s="562">
        <f>'[2]COSTO LAMINADO CDMX-QRO-GDL'!I164</f>
        <v>15580</v>
      </c>
      <c r="F172" s="563" t="s">
        <v>284</v>
      </c>
    </row>
    <row r="173" spans="1:6" ht="15">
      <c r="A173" s="576"/>
      <c r="B173" s="565"/>
      <c r="C173" s="600" t="s">
        <v>608</v>
      </c>
      <c r="D173" s="561"/>
      <c r="E173" s="569"/>
      <c r="F173" s="570"/>
    </row>
    <row r="174" spans="1:6" ht="15">
      <c r="A174" s="576"/>
      <c r="B174" s="565"/>
      <c r="C174" s="600" t="s">
        <v>609</v>
      </c>
      <c r="D174" s="561"/>
      <c r="E174" s="569"/>
      <c r="F174" s="570"/>
    </row>
    <row r="175" spans="1:6" ht="15">
      <c r="A175" s="576"/>
      <c r="B175" s="565"/>
      <c r="C175" s="600" t="s">
        <v>610</v>
      </c>
      <c r="D175" s="561"/>
      <c r="E175" s="569"/>
      <c r="F175" s="570"/>
    </row>
    <row r="176" spans="1:6" ht="15">
      <c r="A176" s="576"/>
      <c r="B176" s="565"/>
      <c r="C176" s="600" t="s">
        <v>611</v>
      </c>
      <c r="D176" s="561"/>
      <c r="E176" s="569"/>
      <c r="F176" s="570"/>
    </row>
    <row r="177" spans="1:6">
      <c r="A177" s="576"/>
      <c r="B177" s="565"/>
      <c r="C177" s="600"/>
      <c r="D177" s="561"/>
      <c r="E177" s="569"/>
      <c r="F177" s="570"/>
    </row>
    <row r="178" spans="1:6">
      <c r="A178" s="576"/>
      <c r="B178" s="565"/>
      <c r="C178" s="600"/>
      <c r="D178" s="561"/>
      <c r="E178" s="569"/>
      <c r="F178" s="570"/>
    </row>
    <row r="179" spans="1:6">
      <c r="A179" s="576"/>
      <c r="B179" s="565"/>
      <c r="C179" s="565"/>
      <c r="D179" s="579"/>
      <c r="E179" s="596"/>
      <c r="F179" s="570"/>
    </row>
    <row r="180" spans="1:6">
      <c r="A180" s="576"/>
      <c r="B180" s="565"/>
      <c r="C180" s="565"/>
      <c r="D180" s="579"/>
      <c r="E180" s="596"/>
      <c r="F180" s="570"/>
    </row>
    <row r="181" spans="1:6" ht="15">
      <c r="A181" s="576"/>
      <c r="B181" s="565" t="s">
        <v>612</v>
      </c>
      <c r="C181" s="600" t="s">
        <v>601</v>
      </c>
      <c r="D181" s="599" t="s">
        <v>607</v>
      </c>
      <c r="E181" s="562">
        <f>'[2]COSTO LAMINADO CDMX-QRO-GDL'!I173</f>
        <v>14980</v>
      </c>
      <c r="F181" s="563" t="s">
        <v>284</v>
      </c>
    </row>
    <row r="182" spans="1:6" ht="15">
      <c r="A182" s="576"/>
      <c r="B182" s="565"/>
      <c r="C182" s="600" t="s">
        <v>613</v>
      </c>
      <c r="D182" s="561"/>
      <c r="E182" s="569"/>
      <c r="F182" s="570"/>
    </row>
    <row r="183" spans="1:6" ht="15">
      <c r="A183" s="576"/>
      <c r="B183" s="565"/>
      <c r="C183" s="600" t="s">
        <v>614</v>
      </c>
      <c r="D183" s="599"/>
      <c r="E183" s="569"/>
      <c r="F183" s="570"/>
    </row>
    <row r="184" spans="1:6" ht="15">
      <c r="A184" s="576"/>
      <c r="B184" s="565"/>
      <c r="C184" s="600" t="s">
        <v>615</v>
      </c>
      <c r="D184" s="561"/>
      <c r="E184" s="569"/>
      <c r="F184" s="570"/>
    </row>
    <row r="185" spans="1:6">
      <c r="A185" s="576"/>
      <c r="B185" s="565"/>
      <c r="C185" s="600"/>
      <c r="D185" s="561"/>
      <c r="E185" s="569"/>
      <c r="F185" s="570"/>
    </row>
    <row r="186" spans="1:6">
      <c r="A186" s="576"/>
      <c r="B186" s="565"/>
      <c r="C186" s="600"/>
      <c r="D186" s="561"/>
      <c r="E186" s="569"/>
      <c r="F186" s="570"/>
    </row>
    <row r="187" spans="1:6">
      <c r="A187" s="576"/>
      <c r="B187" s="565"/>
      <c r="C187" s="600"/>
      <c r="D187" s="561"/>
      <c r="E187" s="569"/>
      <c r="F187" s="570"/>
    </row>
    <row r="188" spans="1:6">
      <c r="A188" s="576"/>
      <c r="B188" s="565"/>
      <c r="C188" s="565"/>
      <c r="D188" s="579"/>
      <c r="E188" s="596"/>
      <c r="F188" s="570"/>
    </row>
    <row r="189" spans="1:6" ht="12.95" customHeight="1">
      <c r="A189" s="576"/>
      <c r="B189" s="565" t="s">
        <v>616</v>
      </c>
      <c r="C189" s="600" t="s">
        <v>601</v>
      </c>
      <c r="D189" s="599" t="s">
        <v>617</v>
      </c>
      <c r="E189" s="562">
        <f>'[2]COSTO LAMINADO CDMX-QRO-GDL'!I181</f>
        <v>10380</v>
      </c>
      <c r="F189" s="563" t="s">
        <v>284</v>
      </c>
    </row>
    <row r="190" spans="1:6" ht="15">
      <c r="A190" s="576"/>
      <c r="B190" s="565"/>
      <c r="C190" s="600" t="s">
        <v>602</v>
      </c>
      <c r="D190" s="561"/>
      <c r="E190" s="569"/>
      <c r="F190" s="570"/>
    </row>
    <row r="191" spans="1:6" ht="15">
      <c r="A191" s="576"/>
      <c r="B191" s="565"/>
      <c r="C191" s="600" t="s">
        <v>618</v>
      </c>
      <c r="D191" s="599"/>
      <c r="E191" s="569"/>
      <c r="F191" s="570"/>
    </row>
    <row r="192" spans="1:6" ht="15">
      <c r="A192" s="576"/>
      <c r="B192" s="565"/>
      <c r="C192" s="600" t="s">
        <v>615</v>
      </c>
      <c r="D192" s="561"/>
      <c r="E192" s="569"/>
      <c r="F192" s="570"/>
    </row>
    <row r="193" spans="1:6">
      <c r="A193" s="576"/>
      <c r="B193" s="565"/>
      <c r="C193" s="600"/>
      <c r="D193" s="561"/>
      <c r="E193" s="569"/>
      <c r="F193" s="570"/>
    </row>
    <row r="194" spans="1:6">
      <c r="A194" s="576"/>
      <c r="B194" s="565"/>
      <c r="C194" s="600"/>
      <c r="D194" s="561"/>
      <c r="E194" s="569"/>
      <c r="F194" s="570"/>
    </row>
    <row r="195" spans="1:6">
      <c r="A195" s="576"/>
      <c r="B195" s="565"/>
      <c r="C195" s="600"/>
      <c r="D195" s="561"/>
      <c r="E195" s="569"/>
      <c r="F195" s="570"/>
    </row>
    <row r="196" spans="1:6">
      <c r="A196" s="585"/>
      <c r="B196" s="601"/>
      <c r="C196" s="553" t="s">
        <v>619</v>
      </c>
      <c r="D196" s="554"/>
      <c r="E196" s="586"/>
      <c r="F196" s="575"/>
    </row>
    <row r="197" spans="1:6" ht="15">
      <c r="A197" s="602"/>
      <c r="B197" s="565" t="s">
        <v>620</v>
      </c>
      <c r="C197" s="603" t="s">
        <v>621</v>
      </c>
      <c r="D197" s="561" t="s">
        <v>622</v>
      </c>
      <c r="E197" s="562">
        <f>'[2]COSTO LAMINADO CDMX-QRO-GDL'!I189</f>
        <v>8540</v>
      </c>
      <c r="F197" s="563" t="s">
        <v>284</v>
      </c>
    </row>
    <row r="198" spans="1:6" ht="15">
      <c r="A198" s="602"/>
      <c r="B198" s="565"/>
      <c r="C198" s="603" t="s">
        <v>623</v>
      </c>
      <c r="D198" s="561"/>
      <c r="E198" s="569"/>
      <c r="F198" s="570"/>
    </row>
    <row r="199" spans="1:6" ht="15">
      <c r="A199" s="602"/>
      <c r="B199" s="565"/>
      <c r="C199" s="603" t="s">
        <v>624</v>
      </c>
      <c r="D199" s="561"/>
      <c r="E199" s="569"/>
      <c r="F199" s="570"/>
    </row>
    <row r="200" spans="1:6" ht="15">
      <c r="A200" s="602"/>
      <c r="B200" s="565"/>
      <c r="C200" s="603" t="s">
        <v>625</v>
      </c>
      <c r="D200" s="561"/>
      <c r="E200" s="569"/>
      <c r="F200" s="570"/>
    </row>
    <row r="201" spans="1:6">
      <c r="A201" s="602"/>
      <c r="B201" s="565"/>
      <c r="C201" s="603"/>
      <c r="D201" s="561"/>
      <c r="E201" s="569"/>
      <c r="F201" s="570"/>
    </row>
    <row r="202" spans="1:6">
      <c r="A202" s="602"/>
      <c r="B202" s="565"/>
      <c r="C202" s="603"/>
      <c r="D202" s="561"/>
      <c r="E202" s="569"/>
      <c r="F202" s="570"/>
    </row>
    <row r="203" spans="1:6">
      <c r="A203" s="602"/>
      <c r="B203" s="565"/>
      <c r="C203" s="560"/>
      <c r="D203" s="561"/>
      <c r="E203" s="569"/>
      <c r="F203" s="570"/>
    </row>
    <row r="204" spans="1:6" ht="15">
      <c r="A204" s="602"/>
      <c r="B204" s="565" t="s">
        <v>626</v>
      </c>
      <c r="C204" s="603" t="s">
        <v>627</v>
      </c>
      <c r="D204" s="561" t="s">
        <v>622</v>
      </c>
      <c r="E204" s="562">
        <f>'[2]COSTO LAMINADO CDMX-QRO-GDL'!I196</f>
        <v>7420</v>
      </c>
      <c r="F204" s="563" t="s">
        <v>284</v>
      </c>
    </row>
    <row r="205" spans="1:6" ht="15">
      <c r="A205" s="602"/>
      <c r="B205" s="565"/>
      <c r="C205" s="603" t="s">
        <v>628</v>
      </c>
      <c r="D205" s="561"/>
      <c r="E205" s="569"/>
      <c r="F205" s="570"/>
    </row>
    <row r="206" spans="1:6" ht="15">
      <c r="A206" s="602"/>
      <c r="B206" s="565"/>
      <c r="C206" s="603" t="s">
        <v>629</v>
      </c>
      <c r="D206" s="561"/>
      <c r="E206" s="569"/>
      <c r="F206" s="570"/>
    </row>
    <row r="207" spans="1:6" ht="15">
      <c r="A207" s="602"/>
      <c r="B207" s="565"/>
      <c r="C207" s="603" t="s">
        <v>615</v>
      </c>
      <c r="D207" s="561"/>
      <c r="E207" s="569"/>
      <c r="F207" s="570"/>
    </row>
    <row r="208" spans="1:6">
      <c r="A208" s="602"/>
      <c r="B208" s="565"/>
      <c r="C208" s="603"/>
      <c r="D208" s="561"/>
      <c r="E208" s="569"/>
      <c r="F208" s="570"/>
    </row>
    <row r="209" spans="1:61">
      <c r="A209" s="602"/>
      <c r="B209" s="565"/>
      <c r="C209" s="603"/>
      <c r="D209" s="561"/>
      <c r="E209" s="569"/>
      <c r="F209" s="570"/>
    </row>
    <row r="210" spans="1:61">
      <c r="A210" s="602"/>
      <c r="B210" s="565"/>
      <c r="C210" s="560"/>
      <c r="D210" s="561"/>
      <c r="E210" s="569"/>
      <c r="F210" s="570"/>
    </row>
    <row r="211" spans="1:61">
      <c r="A211" s="602"/>
      <c r="B211" s="565"/>
      <c r="C211" s="560"/>
      <c r="D211" s="561"/>
      <c r="E211" s="569"/>
      <c r="F211" s="570"/>
    </row>
    <row r="212" spans="1:61" ht="15">
      <c r="A212" s="602"/>
      <c r="B212" s="565" t="s">
        <v>630</v>
      </c>
      <c r="C212" s="603" t="s">
        <v>631</v>
      </c>
      <c r="D212" s="561" t="s">
        <v>622</v>
      </c>
      <c r="E212" s="562">
        <f>'[2]COSTO LAMINADO CDMX-QRO-GDL'!I204</f>
        <v>6010</v>
      </c>
      <c r="F212" s="563" t="s">
        <v>284</v>
      </c>
    </row>
    <row r="213" spans="1:61" ht="15">
      <c r="A213" s="602"/>
      <c r="B213" s="565"/>
      <c r="C213" s="603" t="s">
        <v>632</v>
      </c>
      <c r="D213" s="561"/>
      <c r="E213" s="569"/>
      <c r="F213" s="570"/>
    </row>
    <row r="214" spans="1:61" ht="15">
      <c r="A214" s="602"/>
      <c r="B214" s="565"/>
      <c r="C214" s="603" t="s">
        <v>633</v>
      </c>
      <c r="D214" s="561"/>
      <c r="E214" s="569"/>
      <c r="F214" s="570"/>
    </row>
    <row r="215" spans="1:61">
      <c r="A215" s="602"/>
      <c r="B215" s="565"/>
      <c r="C215" s="603"/>
      <c r="D215" s="561"/>
      <c r="E215" s="569"/>
      <c r="F215" s="570"/>
    </row>
    <row r="216" spans="1:61">
      <c r="A216" s="602"/>
      <c r="B216" s="565"/>
      <c r="C216" s="603"/>
      <c r="D216" s="561"/>
      <c r="E216" s="569"/>
      <c r="F216" s="570"/>
    </row>
    <row r="217" spans="1:61">
      <c r="A217" s="602"/>
      <c r="B217" s="565"/>
      <c r="C217" s="603"/>
      <c r="D217" s="561"/>
      <c r="E217" s="569"/>
      <c r="F217" s="570"/>
    </row>
    <row r="218" spans="1:61">
      <c r="A218" s="602"/>
      <c r="B218" s="565"/>
      <c r="C218" s="560"/>
      <c r="D218" s="561"/>
      <c r="E218" s="569"/>
      <c r="F218" s="570"/>
    </row>
    <row r="219" spans="1:61">
      <c r="A219" s="602"/>
      <c r="B219" s="565"/>
      <c r="C219" s="566"/>
      <c r="D219" s="561"/>
      <c r="E219" s="569"/>
      <c r="F219" s="570"/>
    </row>
    <row r="220" spans="1:61" s="538" customFormat="1" ht="15" customHeight="1">
      <c r="A220" s="535" t="s">
        <v>509</v>
      </c>
      <c r="B220" s="536"/>
      <c r="C220" s="1483" t="s">
        <v>634</v>
      </c>
      <c r="D220" s="1485" t="s">
        <v>567</v>
      </c>
      <c r="E220" s="1487">
        <v>43252</v>
      </c>
      <c r="F220" s="1488"/>
      <c r="G220" s="527"/>
      <c r="H220" s="521"/>
      <c r="I220" s="537"/>
      <c r="J220" s="537"/>
      <c r="K220" s="537"/>
      <c r="L220" s="537"/>
      <c r="M220" s="537"/>
      <c r="N220" s="537"/>
      <c r="O220" s="537"/>
      <c r="P220" s="537"/>
      <c r="Q220" s="537"/>
      <c r="R220" s="537"/>
      <c r="S220" s="537"/>
      <c r="T220" s="537"/>
      <c r="U220" s="537"/>
      <c r="V220" s="537"/>
      <c r="W220" s="537"/>
      <c r="X220" s="537"/>
      <c r="Y220" s="537"/>
      <c r="Z220" s="537"/>
      <c r="AA220" s="537"/>
      <c r="AB220" s="537"/>
      <c r="AC220" s="537"/>
      <c r="AD220" s="537"/>
      <c r="AE220" s="537"/>
      <c r="AF220" s="537"/>
      <c r="AG220" s="537"/>
      <c r="AH220" s="537"/>
      <c r="AI220" s="537"/>
      <c r="AJ220" s="537"/>
      <c r="AK220" s="537"/>
      <c r="AL220" s="537"/>
      <c r="AM220" s="537"/>
      <c r="AN220" s="537"/>
      <c r="AO220" s="537"/>
      <c r="AP220" s="537"/>
      <c r="AQ220" s="537"/>
      <c r="AR220" s="537"/>
      <c r="AS220" s="537"/>
      <c r="AT220" s="537"/>
      <c r="AU220" s="537"/>
      <c r="AV220" s="537"/>
      <c r="AW220" s="537"/>
      <c r="AX220" s="537"/>
      <c r="AY220" s="537"/>
      <c r="AZ220" s="537"/>
      <c r="BA220" s="537"/>
      <c r="BB220" s="537"/>
      <c r="BC220" s="537"/>
      <c r="BD220" s="537"/>
      <c r="BE220" s="537"/>
      <c r="BF220" s="537"/>
      <c r="BG220" s="537"/>
      <c r="BH220" s="537"/>
      <c r="BI220" s="537"/>
    </row>
    <row r="221" spans="1:61" s="542" customFormat="1" ht="15" customHeight="1">
      <c r="A221" s="539" t="s">
        <v>568</v>
      </c>
      <c r="B221" s="540"/>
      <c r="C221" s="1484"/>
      <c r="D221" s="1486"/>
      <c r="E221" s="1489"/>
      <c r="F221" s="1490"/>
      <c r="G221" s="527"/>
      <c r="H221" s="521"/>
      <c r="I221" s="541"/>
      <c r="J221" s="541"/>
      <c r="K221" s="541"/>
      <c r="L221" s="541"/>
      <c r="M221" s="541"/>
      <c r="N221" s="541"/>
      <c r="O221" s="541"/>
      <c r="P221" s="541"/>
      <c r="Q221" s="541"/>
      <c r="R221" s="541"/>
      <c r="S221" s="541"/>
      <c r="T221" s="541"/>
      <c r="U221" s="541"/>
      <c r="V221" s="541"/>
      <c r="W221" s="541"/>
      <c r="X221" s="541"/>
      <c r="Y221" s="541"/>
      <c r="Z221" s="541"/>
      <c r="AA221" s="541"/>
      <c r="AB221" s="541"/>
      <c r="AC221" s="541"/>
      <c r="AD221" s="541"/>
      <c r="AE221" s="541"/>
      <c r="AF221" s="541"/>
      <c r="AG221" s="541"/>
      <c r="AH221" s="541"/>
      <c r="AI221" s="541"/>
      <c r="AJ221" s="541"/>
      <c r="AK221" s="541"/>
      <c r="AL221" s="541"/>
      <c r="AM221" s="541"/>
      <c r="AN221" s="541"/>
      <c r="AO221" s="541"/>
      <c r="AP221" s="541"/>
      <c r="AQ221" s="541"/>
      <c r="AR221" s="541"/>
      <c r="AS221" s="541"/>
      <c r="AT221" s="541"/>
      <c r="AU221" s="541"/>
      <c r="AV221" s="541"/>
      <c r="AW221" s="541"/>
      <c r="AX221" s="541"/>
      <c r="AY221" s="541"/>
      <c r="AZ221" s="541"/>
      <c r="BA221" s="541"/>
      <c r="BB221" s="541"/>
      <c r="BC221" s="541"/>
      <c r="BD221" s="541"/>
      <c r="BE221" s="541"/>
      <c r="BF221" s="541"/>
      <c r="BG221" s="541"/>
      <c r="BH221" s="541"/>
      <c r="BI221" s="541"/>
    </row>
    <row r="222" spans="1:61" s="550" customFormat="1">
      <c r="A222" s="543" t="s">
        <v>512</v>
      </c>
      <c r="B222" s="544" t="s">
        <v>513</v>
      </c>
      <c r="C222" s="201" t="s">
        <v>514</v>
      </c>
      <c r="D222" s="545" t="s">
        <v>515</v>
      </c>
      <c r="E222" s="202" t="s">
        <v>516</v>
      </c>
      <c r="F222" s="546" t="s">
        <v>517</v>
      </c>
      <c r="G222" s="547"/>
      <c r="H222" s="521"/>
      <c r="I222" s="533"/>
      <c r="J222" s="548"/>
      <c r="K222" s="549"/>
      <c r="L222" s="548"/>
      <c r="M222" s="548"/>
      <c r="N222" s="548"/>
      <c r="O222" s="548"/>
      <c r="P222" s="548"/>
      <c r="Q222" s="548"/>
      <c r="R222" s="548"/>
      <c r="S222" s="548"/>
      <c r="T222" s="548"/>
      <c r="U222" s="548"/>
      <c r="V222" s="548"/>
      <c r="W222" s="548"/>
      <c r="X222" s="548"/>
      <c r="Y222" s="548"/>
      <c r="Z222" s="548"/>
      <c r="AA222" s="548"/>
      <c r="AB222" s="548"/>
      <c r="AC222" s="548"/>
      <c r="AD222" s="548"/>
      <c r="AE222" s="548"/>
      <c r="AF222" s="548"/>
      <c r="AG222" s="548"/>
      <c r="AH222" s="548"/>
      <c r="AI222" s="548"/>
      <c r="AJ222" s="548"/>
      <c r="AK222" s="548"/>
      <c r="AL222" s="548"/>
      <c r="AM222" s="548"/>
      <c r="AN222" s="548"/>
      <c r="AO222" s="548"/>
      <c r="AP222" s="548"/>
      <c r="AQ222" s="548"/>
      <c r="AR222" s="548"/>
      <c r="AS222" s="548"/>
      <c r="AT222" s="548"/>
      <c r="AU222" s="548"/>
      <c r="AV222" s="548"/>
      <c r="AW222" s="548"/>
      <c r="AX222" s="548"/>
      <c r="AY222" s="548"/>
      <c r="AZ222" s="548"/>
      <c r="BA222" s="548"/>
      <c r="BB222" s="548"/>
      <c r="BC222" s="548"/>
      <c r="BD222" s="548"/>
      <c r="BE222" s="548"/>
      <c r="BF222" s="548"/>
      <c r="BG222" s="548"/>
      <c r="BH222" s="548"/>
      <c r="BI222" s="548"/>
    </row>
    <row r="223" spans="1:61">
      <c r="A223" s="585"/>
      <c r="B223" s="552"/>
      <c r="C223" s="553" t="s">
        <v>635</v>
      </c>
      <c r="D223" s="554"/>
      <c r="E223" s="586"/>
      <c r="F223" s="575"/>
    </row>
    <row r="224" spans="1:61" ht="15">
      <c r="A224" s="604"/>
      <c r="B224" s="605" t="s">
        <v>636</v>
      </c>
      <c r="C224" s="606" t="s">
        <v>637</v>
      </c>
      <c r="D224" s="607" t="s">
        <v>638</v>
      </c>
      <c r="E224" s="562">
        <f>'[2]COSTO LAMINADO CDMX-QRO-GDL'!I216</f>
        <v>1980</v>
      </c>
      <c r="F224" s="563" t="s">
        <v>284</v>
      </c>
      <c r="G224" s="608"/>
      <c r="W224" s="523"/>
      <c r="X224" s="523"/>
      <c r="Y224" s="523"/>
      <c r="Z224" s="523"/>
      <c r="AA224" s="523"/>
      <c r="AB224" s="523"/>
      <c r="AC224" s="523"/>
      <c r="AD224" s="523"/>
      <c r="AE224" s="523"/>
      <c r="AF224" s="523"/>
      <c r="AG224" s="523"/>
      <c r="AH224" s="523"/>
      <c r="AI224" s="523"/>
      <c r="AJ224" s="523"/>
      <c r="AK224" s="523"/>
      <c r="AL224" s="523"/>
      <c r="AM224" s="523"/>
      <c r="AN224" s="523"/>
      <c r="AO224" s="523"/>
      <c r="AP224" s="523"/>
      <c r="AQ224" s="523"/>
      <c r="AR224" s="523"/>
      <c r="AS224" s="523"/>
      <c r="AT224" s="523"/>
      <c r="AU224" s="523"/>
      <c r="AV224" s="523"/>
      <c r="AW224" s="523"/>
      <c r="AX224" s="523"/>
      <c r="AY224" s="523"/>
      <c r="AZ224" s="523"/>
      <c r="BA224" s="523"/>
      <c r="BB224" s="523"/>
      <c r="BC224" s="523"/>
      <c r="BD224" s="523"/>
      <c r="BE224" s="523"/>
      <c r="BF224" s="523"/>
      <c r="BG224" s="523"/>
      <c r="BH224" s="523"/>
      <c r="BI224" s="523"/>
    </row>
    <row r="225" spans="1:61" ht="15">
      <c r="A225" s="604"/>
      <c r="B225" s="605" t="s">
        <v>639</v>
      </c>
      <c r="C225" s="606" t="s">
        <v>640</v>
      </c>
      <c r="D225" s="609" t="s">
        <v>638</v>
      </c>
      <c r="E225" s="562">
        <f>'[2]COSTO LAMINADO CDMX-QRO-GDL'!I217</f>
        <v>1980</v>
      </c>
      <c r="F225" s="563" t="s">
        <v>284</v>
      </c>
      <c r="G225" s="608"/>
      <c r="W225" s="523"/>
      <c r="X225" s="523"/>
      <c r="Y225" s="523"/>
      <c r="Z225" s="523"/>
      <c r="AA225" s="523"/>
      <c r="AB225" s="523"/>
      <c r="AC225" s="523"/>
      <c r="AD225" s="523"/>
      <c r="AE225" s="523"/>
      <c r="AF225" s="523"/>
      <c r="AG225" s="523"/>
      <c r="AH225" s="523"/>
      <c r="AI225" s="523"/>
      <c r="AJ225" s="523"/>
      <c r="AK225" s="523"/>
      <c r="AL225" s="523"/>
      <c r="AM225" s="523"/>
      <c r="AN225" s="523"/>
      <c r="AO225" s="523"/>
      <c r="AP225" s="523"/>
      <c r="AQ225" s="523"/>
      <c r="AR225" s="523"/>
      <c r="AS225" s="523"/>
      <c r="AT225" s="523"/>
      <c r="AU225" s="523"/>
      <c r="AV225" s="523"/>
      <c r="AW225" s="523"/>
      <c r="AX225" s="523"/>
      <c r="AY225" s="523"/>
      <c r="AZ225" s="523"/>
      <c r="BA225" s="523"/>
      <c r="BB225" s="523"/>
      <c r="BC225" s="523"/>
      <c r="BD225" s="523"/>
      <c r="BE225" s="523"/>
      <c r="BF225" s="523"/>
      <c r="BG225" s="523"/>
      <c r="BH225" s="523"/>
      <c r="BI225" s="523"/>
    </row>
    <row r="226" spans="1:61">
      <c r="A226" s="604"/>
      <c r="B226" s="605" t="s">
        <v>641</v>
      </c>
      <c r="C226" s="610" t="s">
        <v>642</v>
      </c>
      <c r="D226" s="609" t="s">
        <v>638</v>
      </c>
      <c r="E226" s="562">
        <f>'[2]COSTO LAMINADO CDMX-QRO-GDL'!I218</f>
        <v>1980</v>
      </c>
      <c r="F226" s="563" t="s">
        <v>284</v>
      </c>
      <c r="G226" s="608"/>
      <c r="W226" s="523"/>
      <c r="X226" s="523"/>
      <c r="Y226" s="523"/>
      <c r="Z226" s="523"/>
      <c r="AA226" s="523"/>
      <c r="AB226" s="523"/>
      <c r="AC226" s="523"/>
      <c r="AD226" s="523"/>
      <c r="AE226" s="523"/>
      <c r="AF226" s="523"/>
      <c r="AG226" s="523"/>
      <c r="AH226" s="523"/>
      <c r="AI226" s="523"/>
      <c r="AJ226" s="523"/>
      <c r="AK226" s="523"/>
      <c r="AL226" s="523"/>
      <c r="AM226" s="523"/>
      <c r="AN226" s="523"/>
      <c r="AO226" s="523"/>
      <c r="AP226" s="523"/>
      <c r="AQ226" s="523"/>
      <c r="AR226" s="523"/>
      <c r="AS226" s="523"/>
      <c r="AT226" s="523"/>
      <c r="AU226" s="523"/>
      <c r="AV226" s="523"/>
      <c r="AW226" s="523"/>
      <c r="AX226" s="523"/>
      <c r="AY226" s="523"/>
      <c r="AZ226" s="523"/>
      <c r="BA226" s="523"/>
      <c r="BB226" s="523"/>
      <c r="BC226" s="523"/>
      <c r="BD226" s="523"/>
      <c r="BE226" s="523"/>
      <c r="BF226" s="523"/>
      <c r="BG226" s="523"/>
      <c r="BH226" s="523"/>
      <c r="BI226" s="523"/>
    </row>
    <row r="227" spans="1:61">
      <c r="A227" s="604"/>
      <c r="B227" s="605" t="s">
        <v>643</v>
      </c>
      <c r="C227" s="610"/>
      <c r="D227" s="609" t="s">
        <v>638</v>
      </c>
      <c r="E227" s="562">
        <f>'[2]COSTO LAMINADO CDMX-QRO-GDL'!I219</f>
        <v>1980</v>
      </c>
      <c r="F227" s="563" t="s">
        <v>284</v>
      </c>
      <c r="G227" s="608"/>
      <c r="W227" s="523"/>
      <c r="X227" s="523"/>
      <c r="Y227" s="523"/>
      <c r="Z227" s="523"/>
      <c r="AA227" s="523"/>
      <c r="AB227" s="523"/>
      <c r="AC227" s="523"/>
      <c r="AD227" s="523"/>
      <c r="AE227" s="523"/>
      <c r="AF227" s="523"/>
      <c r="AG227" s="523"/>
      <c r="AH227" s="523"/>
      <c r="AI227" s="523"/>
      <c r="AJ227" s="523"/>
      <c r="AK227" s="523"/>
      <c r="AL227" s="523"/>
      <c r="AM227" s="523"/>
      <c r="AN227" s="523"/>
      <c r="AO227" s="523"/>
      <c r="AP227" s="523"/>
      <c r="AQ227" s="523"/>
      <c r="AR227" s="523"/>
      <c r="AS227" s="523"/>
      <c r="AT227" s="523"/>
      <c r="AU227" s="523"/>
      <c r="AV227" s="523"/>
      <c r="AW227" s="523"/>
      <c r="AX227" s="523"/>
      <c r="AY227" s="523"/>
      <c r="AZ227" s="523"/>
      <c r="BA227" s="523"/>
      <c r="BB227" s="523"/>
      <c r="BC227" s="523"/>
      <c r="BD227" s="523"/>
      <c r="BE227" s="523"/>
      <c r="BF227" s="523"/>
      <c r="BG227" s="523"/>
      <c r="BH227" s="523"/>
      <c r="BI227" s="523"/>
    </row>
    <row r="228" spans="1:61">
      <c r="A228" s="604"/>
      <c r="B228" s="605" t="s">
        <v>644</v>
      </c>
      <c r="C228" s="610"/>
      <c r="D228" s="609" t="s">
        <v>638</v>
      </c>
      <c r="E228" s="562">
        <f>'[2]COSTO LAMINADO CDMX-QRO-GDL'!I220</f>
        <v>1980</v>
      </c>
      <c r="F228" s="563" t="s">
        <v>284</v>
      </c>
      <c r="G228" s="608"/>
      <c r="W228" s="523"/>
      <c r="X228" s="523"/>
      <c r="Y228" s="523"/>
      <c r="Z228" s="523"/>
      <c r="AA228" s="523"/>
      <c r="AB228" s="523"/>
      <c r="AC228" s="523"/>
      <c r="AD228" s="523"/>
      <c r="AE228" s="523"/>
      <c r="AF228" s="523"/>
      <c r="AG228" s="523"/>
      <c r="AH228" s="523"/>
      <c r="AI228" s="523"/>
      <c r="AJ228" s="523"/>
      <c r="AK228" s="523"/>
      <c r="AL228" s="523"/>
      <c r="AM228" s="523"/>
      <c r="AN228" s="523"/>
      <c r="AO228" s="523"/>
      <c r="AP228" s="523"/>
      <c r="AQ228" s="523"/>
      <c r="AR228" s="523"/>
      <c r="AS228" s="523"/>
      <c r="AT228" s="523"/>
      <c r="AU228" s="523"/>
      <c r="AV228" s="523"/>
      <c r="AW228" s="523"/>
      <c r="AX228" s="523"/>
      <c r="AY228" s="523"/>
      <c r="AZ228" s="523"/>
      <c r="BA228" s="523"/>
      <c r="BB228" s="523"/>
      <c r="BC228" s="523"/>
      <c r="BD228" s="523"/>
      <c r="BE228" s="523"/>
      <c r="BF228" s="523"/>
      <c r="BG228" s="523"/>
      <c r="BH228" s="523"/>
      <c r="BI228" s="523"/>
    </row>
    <row r="229" spans="1:61">
      <c r="A229" s="604"/>
      <c r="B229" s="605" t="s">
        <v>645</v>
      </c>
      <c r="C229" s="610"/>
      <c r="D229" s="609" t="s">
        <v>638</v>
      </c>
      <c r="E229" s="562">
        <f>'[2]COSTO LAMINADO CDMX-QRO-GDL'!I221</f>
        <v>1980</v>
      </c>
      <c r="F229" s="563" t="s">
        <v>284</v>
      </c>
      <c r="G229" s="608"/>
      <c r="W229" s="523"/>
      <c r="X229" s="523"/>
      <c r="Y229" s="523"/>
      <c r="Z229" s="523"/>
      <c r="AA229" s="523"/>
      <c r="AB229" s="523"/>
      <c r="AC229" s="523"/>
      <c r="AD229" s="523"/>
      <c r="AE229" s="523"/>
      <c r="AF229" s="523"/>
      <c r="AG229" s="523"/>
      <c r="AH229" s="523"/>
      <c r="AI229" s="523"/>
      <c r="AJ229" s="523"/>
      <c r="AK229" s="523"/>
      <c r="AL229" s="523"/>
      <c r="AM229" s="523"/>
      <c r="AN229" s="523"/>
      <c r="AO229" s="523"/>
      <c r="AP229" s="523"/>
      <c r="AQ229" s="523"/>
      <c r="AR229" s="523"/>
      <c r="AS229" s="523"/>
      <c r="AT229" s="523"/>
      <c r="AU229" s="523"/>
      <c r="AV229" s="523"/>
      <c r="AW229" s="523"/>
      <c r="AX229" s="523"/>
      <c r="AY229" s="523"/>
      <c r="AZ229" s="523"/>
      <c r="BA229" s="523"/>
      <c r="BB229" s="523"/>
      <c r="BC229" s="523"/>
      <c r="BD229" s="523"/>
      <c r="BE229" s="523"/>
      <c r="BF229" s="523"/>
      <c r="BG229" s="523"/>
      <c r="BH229" s="523"/>
      <c r="BI229" s="523"/>
    </row>
    <row r="230" spans="1:61">
      <c r="A230" s="604"/>
      <c r="B230" s="605" t="s">
        <v>646</v>
      </c>
      <c r="C230" s="611"/>
      <c r="D230" s="612" t="s">
        <v>638</v>
      </c>
      <c r="E230" s="562">
        <f>'[2]COSTO LAMINADO CDMX-QRO-GDL'!I222</f>
        <v>1980</v>
      </c>
      <c r="F230" s="563" t="s">
        <v>284</v>
      </c>
      <c r="G230" s="608"/>
      <c r="W230" s="523"/>
      <c r="X230" s="523"/>
      <c r="Y230" s="523"/>
      <c r="Z230" s="523"/>
      <c r="AA230" s="523"/>
      <c r="AB230" s="523"/>
      <c r="AC230" s="523"/>
      <c r="AD230" s="523"/>
      <c r="AE230" s="523"/>
      <c r="AF230" s="523"/>
      <c r="AG230" s="523"/>
      <c r="AH230" s="523"/>
      <c r="AI230" s="523"/>
      <c r="AJ230" s="523"/>
      <c r="AK230" s="523"/>
      <c r="AL230" s="523"/>
      <c r="AM230" s="523"/>
      <c r="AN230" s="523"/>
      <c r="AO230" s="523"/>
      <c r="AP230" s="523"/>
      <c r="AQ230" s="523"/>
      <c r="AR230" s="523"/>
      <c r="AS230" s="523"/>
      <c r="AT230" s="523"/>
      <c r="AU230" s="523"/>
      <c r="AV230" s="523"/>
      <c r="AW230" s="523"/>
      <c r="AX230" s="523"/>
      <c r="AY230" s="523"/>
      <c r="AZ230" s="523"/>
      <c r="BA230" s="523"/>
      <c r="BB230" s="523"/>
      <c r="BC230" s="523"/>
      <c r="BD230" s="523"/>
      <c r="BE230" s="523"/>
      <c r="BF230" s="523"/>
      <c r="BG230" s="523"/>
      <c r="BH230" s="523"/>
      <c r="BI230" s="523"/>
    </row>
    <row r="231" spans="1:61">
      <c r="A231" s="613"/>
      <c r="B231" s="614"/>
      <c r="C231" s="615" t="s">
        <v>647</v>
      </c>
      <c r="D231" s="616"/>
      <c r="E231" s="617"/>
      <c r="F231" s="618"/>
    </row>
    <row r="232" spans="1:61">
      <c r="A232" s="619"/>
      <c r="B232" s="620"/>
      <c r="C232" s="621"/>
      <c r="D232" s="622"/>
      <c r="E232" s="623"/>
      <c r="F232" s="624"/>
    </row>
    <row r="233" spans="1:61">
      <c r="A233" s="558"/>
      <c r="B233" s="625"/>
      <c r="C233" s="626"/>
      <c r="D233" s="627"/>
      <c r="E233" s="628"/>
      <c r="F233" s="570"/>
    </row>
    <row r="234" spans="1:61">
      <c r="A234" s="558"/>
      <c r="B234" s="625"/>
      <c r="C234" s="626"/>
      <c r="D234" s="627"/>
      <c r="E234" s="628"/>
      <c r="F234" s="570"/>
    </row>
    <row r="235" spans="1:61">
      <c r="A235" s="558"/>
      <c r="B235" s="625"/>
      <c r="C235" s="626"/>
      <c r="D235" s="627"/>
      <c r="E235" s="628"/>
      <c r="F235" s="570"/>
    </row>
    <row r="236" spans="1:61">
      <c r="A236" s="558"/>
      <c r="B236" s="625"/>
      <c r="C236" s="626"/>
      <c r="D236" s="627"/>
      <c r="E236" s="628"/>
      <c r="F236" s="570"/>
    </row>
    <row r="237" spans="1:61">
      <c r="A237" s="558"/>
      <c r="B237" s="625"/>
      <c r="C237" s="626"/>
      <c r="D237" s="627"/>
      <c r="E237" s="628"/>
      <c r="F237" s="570"/>
    </row>
    <row r="238" spans="1:61">
      <c r="A238" s="558"/>
      <c r="B238" s="625"/>
      <c r="C238" s="626"/>
      <c r="D238" s="627"/>
      <c r="E238" s="628"/>
      <c r="F238" s="570"/>
    </row>
    <row r="239" spans="1:61">
      <c r="A239" s="558"/>
      <c r="B239" s="625"/>
      <c r="C239" s="626"/>
      <c r="D239" s="627"/>
      <c r="E239" s="628"/>
      <c r="F239" s="570"/>
    </row>
    <row r="240" spans="1:61">
      <c r="A240" s="558"/>
      <c r="B240" s="625"/>
      <c r="C240" s="626"/>
      <c r="D240" s="627"/>
      <c r="E240" s="628"/>
      <c r="F240" s="570"/>
    </row>
    <row r="241" spans="1:6">
      <c r="A241" s="558"/>
      <c r="B241" s="625"/>
      <c r="C241" s="626"/>
      <c r="D241" s="627"/>
      <c r="E241" s="628"/>
      <c r="F241" s="570"/>
    </row>
    <row r="242" spans="1:6">
      <c r="A242" s="602"/>
      <c r="B242" s="629"/>
      <c r="C242" s="626"/>
      <c r="D242" s="630"/>
      <c r="E242" s="631"/>
      <c r="F242" s="570"/>
    </row>
    <row r="243" spans="1:6">
      <c r="A243" s="632"/>
      <c r="B243" s="633"/>
      <c r="C243" s="634"/>
      <c r="D243" s="635"/>
      <c r="E243" s="636"/>
      <c r="F243" s="637"/>
    </row>
    <row r="244" spans="1:6">
      <c r="A244" s="638"/>
      <c r="B244" s="639"/>
      <c r="C244" s="640" t="s">
        <v>648</v>
      </c>
      <c r="D244" s="641"/>
      <c r="E244" s="642"/>
      <c r="F244" s="643"/>
    </row>
    <row r="245" spans="1:6">
      <c r="A245" s="602"/>
      <c r="B245" s="559" t="s">
        <v>649</v>
      </c>
      <c r="C245" s="560" t="s">
        <v>650</v>
      </c>
      <c r="D245" s="630" t="s">
        <v>556</v>
      </c>
      <c r="E245" s="562">
        <f>'[2]COSTO LAMINADO CDMX-QRO-GDL'!I237</f>
        <v>8700</v>
      </c>
      <c r="F245" s="563" t="s">
        <v>284</v>
      </c>
    </row>
    <row r="246" spans="1:6">
      <c r="A246" s="602"/>
      <c r="B246" s="565"/>
      <c r="C246" s="560" t="s">
        <v>651</v>
      </c>
      <c r="D246" s="630"/>
      <c r="E246" s="569"/>
      <c r="F246" s="570"/>
    </row>
    <row r="247" spans="1:6">
      <c r="A247" s="602"/>
      <c r="B247" s="565"/>
      <c r="C247" s="560" t="s">
        <v>652</v>
      </c>
      <c r="D247" s="630"/>
      <c r="E247" s="569"/>
      <c r="F247" s="570"/>
    </row>
    <row r="248" spans="1:6">
      <c r="A248" s="602"/>
      <c r="B248" s="565"/>
      <c r="C248" s="560" t="s">
        <v>653</v>
      </c>
      <c r="D248" s="630"/>
      <c r="E248" s="569"/>
      <c r="F248" s="570"/>
    </row>
    <row r="249" spans="1:6">
      <c r="A249" s="602"/>
      <c r="B249" s="565"/>
      <c r="C249" s="560"/>
      <c r="D249" s="630"/>
      <c r="E249" s="569"/>
      <c r="F249" s="570"/>
    </row>
    <row r="250" spans="1:6">
      <c r="A250" s="602"/>
      <c r="B250" s="565"/>
      <c r="C250" s="560"/>
      <c r="D250" s="630"/>
      <c r="E250" s="569"/>
      <c r="F250" s="570"/>
    </row>
    <row r="251" spans="1:6">
      <c r="A251" s="602"/>
      <c r="B251" s="565"/>
      <c r="C251" s="560"/>
      <c r="D251" s="630"/>
      <c r="E251" s="569"/>
      <c r="F251" s="570"/>
    </row>
    <row r="252" spans="1:6">
      <c r="A252" s="602"/>
      <c r="B252" s="565"/>
      <c r="C252" s="560"/>
      <c r="D252" s="630"/>
      <c r="E252" s="569"/>
      <c r="F252" s="570"/>
    </row>
    <row r="253" spans="1:6">
      <c r="A253" s="602"/>
      <c r="B253" s="559" t="s">
        <v>654</v>
      </c>
      <c r="C253" s="560" t="s">
        <v>650</v>
      </c>
      <c r="D253" s="630" t="s">
        <v>655</v>
      </c>
      <c r="E253" s="562">
        <f>'[2]COSTO LAMINADO CDMX-QRO-GDL'!I245</f>
        <v>9030</v>
      </c>
      <c r="F253" s="563" t="s">
        <v>284</v>
      </c>
    </row>
    <row r="254" spans="1:6">
      <c r="A254" s="602"/>
      <c r="B254" s="565"/>
      <c r="C254" s="560" t="s">
        <v>651</v>
      </c>
      <c r="D254" s="630"/>
      <c r="E254" s="569"/>
      <c r="F254" s="570"/>
    </row>
    <row r="255" spans="1:6">
      <c r="A255" s="602"/>
      <c r="B255" s="565"/>
      <c r="C255" s="560" t="s">
        <v>652</v>
      </c>
      <c r="D255" s="630"/>
      <c r="E255" s="569"/>
      <c r="F255" s="570"/>
    </row>
    <row r="256" spans="1:6">
      <c r="A256" s="602"/>
      <c r="B256" s="565"/>
      <c r="C256" s="560" t="s">
        <v>653</v>
      </c>
      <c r="D256" s="630"/>
      <c r="E256" s="569"/>
      <c r="F256" s="570"/>
    </row>
    <row r="257" spans="1:6">
      <c r="A257" s="602"/>
      <c r="B257" s="565"/>
      <c r="C257" s="560"/>
      <c r="D257" s="630"/>
      <c r="E257" s="569"/>
      <c r="F257" s="570"/>
    </row>
    <row r="258" spans="1:6">
      <c r="A258" s="602"/>
      <c r="B258" s="565"/>
      <c r="C258" s="560"/>
      <c r="D258" s="630"/>
      <c r="E258" s="569"/>
      <c r="F258" s="570"/>
    </row>
    <row r="259" spans="1:6">
      <c r="A259" s="602"/>
      <c r="B259" s="565"/>
      <c r="C259" s="560"/>
      <c r="D259" s="630"/>
      <c r="E259" s="569"/>
      <c r="F259" s="570"/>
    </row>
    <row r="260" spans="1:6">
      <c r="A260" s="602"/>
      <c r="B260" s="565"/>
      <c r="C260" s="560"/>
      <c r="D260" s="630"/>
      <c r="E260" s="569"/>
      <c r="F260" s="570"/>
    </row>
    <row r="261" spans="1:6">
      <c r="A261" s="602"/>
      <c r="B261" s="559" t="s">
        <v>656</v>
      </c>
      <c r="C261" s="560" t="s">
        <v>650</v>
      </c>
      <c r="D261" s="630" t="s">
        <v>657</v>
      </c>
      <c r="E261" s="562">
        <f>'[2]COSTO LAMINADO CDMX-QRO-GDL'!I253</f>
        <v>10120</v>
      </c>
      <c r="F261" s="563" t="s">
        <v>284</v>
      </c>
    </row>
    <row r="262" spans="1:6">
      <c r="A262" s="602"/>
      <c r="B262" s="565"/>
      <c r="C262" s="560" t="s">
        <v>651</v>
      </c>
      <c r="D262" s="630"/>
      <c r="E262" s="569"/>
      <c r="F262" s="570"/>
    </row>
    <row r="263" spans="1:6">
      <c r="A263" s="602"/>
      <c r="B263" s="565"/>
      <c r="C263" s="560" t="s">
        <v>652</v>
      </c>
      <c r="D263" s="630"/>
      <c r="E263" s="569"/>
      <c r="F263" s="570"/>
    </row>
    <row r="264" spans="1:6">
      <c r="A264" s="602"/>
      <c r="B264" s="565"/>
      <c r="C264" s="560" t="s">
        <v>653</v>
      </c>
      <c r="D264" s="630"/>
      <c r="E264" s="569"/>
      <c r="F264" s="570"/>
    </row>
    <row r="265" spans="1:6">
      <c r="A265" s="602"/>
      <c r="B265" s="565"/>
      <c r="C265" s="560"/>
      <c r="D265" s="630"/>
      <c r="E265" s="569"/>
      <c r="F265" s="570"/>
    </row>
    <row r="266" spans="1:6">
      <c r="A266" s="602"/>
      <c r="B266" s="565"/>
      <c r="C266" s="560"/>
      <c r="D266" s="630"/>
      <c r="E266" s="569"/>
      <c r="F266" s="570"/>
    </row>
    <row r="267" spans="1:6">
      <c r="A267" s="602"/>
      <c r="B267" s="565"/>
      <c r="C267" s="560"/>
      <c r="D267" s="630"/>
      <c r="E267" s="569"/>
      <c r="F267" s="570"/>
    </row>
    <row r="268" spans="1:6">
      <c r="A268" s="602"/>
      <c r="B268" s="565"/>
      <c r="C268" s="560"/>
      <c r="D268" s="630"/>
      <c r="E268" s="569"/>
      <c r="F268" s="570"/>
    </row>
    <row r="269" spans="1:6">
      <c r="A269" s="558"/>
      <c r="B269" s="559" t="s">
        <v>658</v>
      </c>
      <c r="C269" s="560" t="s">
        <v>650</v>
      </c>
      <c r="D269" s="630" t="s">
        <v>659</v>
      </c>
      <c r="E269" s="562">
        <f>'[2]COSTO LAMINADO CDMX-QRO-GDL'!I261</f>
        <v>11220</v>
      </c>
      <c r="F269" s="563" t="s">
        <v>284</v>
      </c>
    </row>
    <row r="270" spans="1:6">
      <c r="A270" s="558"/>
      <c r="B270" s="565"/>
      <c r="C270" s="560" t="s">
        <v>651</v>
      </c>
      <c r="D270" s="627"/>
      <c r="E270" s="588"/>
      <c r="F270" s="570"/>
    </row>
    <row r="271" spans="1:6">
      <c r="A271" s="558"/>
      <c r="B271" s="565"/>
      <c r="C271" s="560" t="s">
        <v>652</v>
      </c>
      <c r="D271" s="627"/>
      <c r="E271" s="588"/>
      <c r="F271" s="570"/>
    </row>
    <row r="272" spans="1:6">
      <c r="A272" s="558"/>
      <c r="B272" s="565"/>
      <c r="C272" s="560" t="s">
        <v>653</v>
      </c>
      <c r="D272" s="630"/>
      <c r="E272" s="569"/>
      <c r="F272" s="570"/>
    </row>
    <row r="273" spans="1:6">
      <c r="A273" s="558"/>
      <c r="B273" s="565"/>
      <c r="C273" s="560"/>
      <c r="D273" s="630"/>
      <c r="E273" s="569"/>
      <c r="F273" s="570"/>
    </row>
    <row r="274" spans="1:6">
      <c r="A274" s="558"/>
      <c r="B274" s="565"/>
      <c r="C274" s="560"/>
      <c r="D274" s="630"/>
      <c r="E274" s="569"/>
      <c r="F274" s="570"/>
    </row>
    <row r="275" spans="1:6">
      <c r="A275" s="558"/>
      <c r="B275" s="565"/>
      <c r="C275" s="560"/>
      <c r="D275" s="630"/>
      <c r="E275" s="569"/>
      <c r="F275" s="570"/>
    </row>
    <row r="276" spans="1:6">
      <c r="A276" s="558"/>
      <c r="B276" s="565"/>
      <c r="C276" s="560"/>
      <c r="D276" s="630"/>
      <c r="E276" s="569"/>
      <c r="F276" s="570"/>
    </row>
    <row r="277" spans="1:6">
      <c r="A277" s="558"/>
      <c r="B277" s="565"/>
      <c r="C277" s="560"/>
      <c r="D277" s="630"/>
      <c r="E277" s="569"/>
      <c r="F277" s="570"/>
    </row>
    <row r="278" spans="1:6">
      <c r="A278" s="558"/>
      <c r="B278" s="565"/>
      <c r="C278" s="560"/>
      <c r="D278" s="630"/>
      <c r="E278" s="569"/>
      <c r="F278" s="570"/>
    </row>
    <row r="279" spans="1:6">
      <c r="A279" s="558"/>
      <c r="B279" s="565"/>
      <c r="C279" s="560"/>
      <c r="D279" s="630"/>
      <c r="E279" s="569"/>
      <c r="F279" s="570"/>
    </row>
    <row r="280" spans="1:6">
      <c r="A280" s="558"/>
      <c r="B280" s="565"/>
      <c r="C280" s="566"/>
      <c r="D280" s="630"/>
      <c r="E280" s="569"/>
      <c r="F280" s="570"/>
    </row>
    <row r="281" spans="1:6">
      <c r="A281" s="558"/>
      <c r="B281" s="559" t="s">
        <v>660</v>
      </c>
      <c r="C281" s="560" t="s">
        <v>661</v>
      </c>
      <c r="D281" s="630" t="s">
        <v>662</v>
      </c>
      <c r="E281" s="562">
        <f>'[2]COSTO LAMINADO CDMX-QRO-GDL'!I269</f>
        <v>15000</v>
      </c>
      <c r="F281" s="563" t="s">
        <v>284</v>
      </c>
    </row>
    <row r="282" spans="1:6">
      <c r="A282" s="558"/>
      <c r="B282" s="565"/>
      <c r="C282" s="560" t="s">
        <v>651</v>
      </c>
      <c r="D282" s="627"/>
      <c r="E282" s="588"/>
      <c r="F282" s="570"/>
    </row>
    <row r="283" spans="1:6">
      <c r="A283" s="558"/>
      <c r="B283" s="565"/>
      <c r="C283" s="560" t="s">
        <v>652</v>
      </c>
      <c r="D283" s="630"/>
      <c r="E283" s="569"/>
      <c r="F283" s="570"/>
    </row>
    <row r="284" spans="1:6">
      <c r="A284" s="558"/>
      <c r="B284" s="565"/>
      <c r="C284" s="560" t="s">
        <v>663</v>
      </c>
      <c r="D284" s="630"/>
      <c r="E284" s="569"/>
      <c r="F284" s="570"/>
    </row>
    <row r="285" spans="1:6">
      <c r="A285" s="558"/>
      <c r="B285" s="565"/>
      <c r="C285" s="560"/>
      <c r="D285" s="630"/>
      <c r="E285" s="569"/>
      <c r="F285" s="570"/>
    </row>
    <row r="286" spans="1:6">
      <c r="A286" s="558"/>
      <c r="B286" s="565"/>
      <c r="C286" s="560"/>
      <c r="D286" s="630"/>
      <c r="E286" s="569"/>
      <c r="F286" s="570"/>
    </row>
    <row r="287" spans="1:6">
      <c r="A287" s="558"/>
      <c r="B287" s="565"/>
      <c r="C287" s="566"/>
      <c r="D287" s="630"/>
      <c r="E287" s="569"/>
      <c r="F287" s="570"/>
    </row>
    <row r="288" spans="1:6">
      <c r="A288" s="558"/>
      <c r="B288" s="565"/>
      <c r="C288" s="566"/>
      <c r="D288" s="630"/>
      <c r="E288" s="569"/>
      <c r="F288" s="570"/>
    </row>
    <row r="289" spans="1:6">
      <c r="A289" s="558"/>
      <c r="B289" s="565"/>
      <c r="C289" s="560"/>
      <c r="D289" s="630"/>
      <c r="E289" s="569"/>
      <c r="F289" s="570"/>
    </row>
    <row r="290" spans="1:6">
      <c r="A290" s="558"/>
      <c r="B290" s="559" t="s">
        <v>664</v>
      </c>
      <c r="C290" s="560" t="s">
        <v>665</v>
      </c>
      <c r="D290" s="630" t="s">
        <v>666</v>
      </c>
      <c r="E290" s="562">
        <f>'[2]COSTO LAMINADO CDMX-QRO-GDL'!I278</f>
        <v>18200</v>
      </c>
      <c r="F290" s="563" t="s">
        <v>284</v>
      </c>
    </row>
    <row r="291" spans="1:6">
      <c r="A291" s="558"/>
      <c r="B291" s="565"/>
      <c r="C291" s="560" t="s">
        <v>651</v>
      </c>
      <c r="D291" s="630"/>
      <c r="E291" s="569"/>
      <c r="F291" s="570"/>
    </row>
    <row r="292" spans="1:6">
      <c r="A292" s="558"/>
      <c r="B292" s="565"/>
      <c r="C292" s="560" t="s">
        <v>652</v>
      </c>
      <c r="D292" s="630"/>
      <c r="E292" s="569"/>
      <c r="F292" s="570"/>
    </row>
    <row r="293" spans="1:6">
      <c r="A293" s="558"/>
      <c r="B293" s="565"/>
      <c r="C293" s="560" t="s">
        <v>663</v>
      </c>
      <c r="D293" s="630"/>
      <c r="E293" s="569"/>
      <c r="F293" s="570"/>
    </row>
    <row r="294" spans="1:6">
      <c r="A294" s="558"/>
      <c r="B294" s="565"/>
      <c r="C294" s="560"/>
      <c r="D294" s="630"/>
      <c r="E294" s="569"/>
      <c r="F294" s="570"/>
    </row>
    <row r="295" spans="1:6">
      <c r="A295" s="558"/>
      <c r="B295" s="565"/>
      <c r="C295" s="566"/>
      <c r="D295" s="630"/>
      <c r="E295" s="569"/>
      <c r="F295" s="570"/>
    </row>
    <row r="296" spans="1:6">
      <c r="A296" s="558"/>
      <c r="B296" s="565"/>
      <c r="C296" s="566"/>
      <c r="D296" s="630"/>
      <c r="E296" s="569"/>
      <c r="F296" s="570"/>
    </row>
    <row r="297" spans="1:6">
      <c r="A297" s="558"/>
      <c r="B297" s="565"/>
      <c r="C297" s="560"/>
      <c r="D297" s="630"/>
      <c r="E297" s="569"/>
      <c r="F297" s="570"/>
    </row>
    <row r="298" spans="1:6">
      <c r="A298" s="558"/>
      <c r="B298" s="565"/>
      <c r="C298" s="560"/>
      <c r="D298" s="630"/>
      <c r="E298" s="569"/>
      <c r="F298" s="570"/>
    </row>
    <row r="299" spans="1:6">
      <c r="A299" s="558"/>
      <c r="B299" s="559" t="s">
        <v>667</v>
      </c>
      <c r="C299" s="560" t="s">
        <v>668</v>
      </c>
      <c r="D299" s="630" t="s">
        <v>669</v>
      </c>
      <c r="E299" s="562">
        <f>'[2]COSTO LAMINADO CDMX-QRO-GDL'!I287</f>
        <v>21380</v>
      </c>
      <c r="F299" s="563" t="s">
        <v>284</v>
      </c>
    </row>
    <row r="300" spans="1:6">
      <c r="A300" s="558"/>
      <c r="B300" s="565"/>
      <c r="C300" s="560" t="s">
        <v>651</v>
      </c>
      <c r="D300" s="630"/>
      <c r="E300" s="569"/>
      <c r="F300" s="570"/>
    </row>
    <row r="301" spans="1:6">
      <c r="A301" s="558"/>
      <c r="B301" s="565"/>
      <c r="C301" s="560" t="s">
        <v>652</v>
      </c>
      <c r="D301" s="630"/>
      <c r="E301" s="569"/>
      <c r="F301" s="570"/>
    </row>
    <row r="302" spans="1:6">
      <c r="A302" s="558"/>
      <c r="B302" s="565"/>
      <c r="C302" s="560" t="s">
        <v>670</v>
      </c>
      <c r="D302" s="630"/>
      <c r="E302" s="569"/>
      <c r="F302" s="570"/>
    </row>
    <row r="303" spans="1:6">
      <c r="A303" s="558"/>
      <c r="B303" s="565"/>
      <c r="C303" s="560"/>
      <c r="D303" s="630"/>
      <c r="E303" s="569"/>
      <c r="F303" s="570"/>
    </row>
    <row r="304" spans="1:6">
      <c r="A304" s="558"/>
      <c r="B304" s="565"/>
      <c r="C304" s="560"/>
      <c r="D304" s="630"/>
      <c r="E304" s="569"/>
      <c r="F304" s="570"/>
    </row>
    <row r="305" spans="1:6">
      <c r="A305" s="558"/>
      <c r="B305" s="565"/>
      <c r="C305" s="566"/>
      <c r="D305" s="630"/>
      <c r="E305" s="569"/>
      <c r="F305" s="570"/>
    </row>
    <row r="306" spans="1:6">
      <c r="A306" s="558"/>
      <c r="B306" s="565"/>
      <c r="C306" s="560"/>
      <c r="D306" s="627"/>
      <c r="E306" s="588"/>
      <c r="F306" s="570"/>
    </row>
    <row r="307" spans="1:6">
      <c r="A307" s="558"/>
      <c r="B307" s="559" t="s">
        <v>671</v>
      </c>
      <c r="C307" s="560" t="s">
        <v>672</v>
      </c>
      <c r="D307" s="630" t="s">
        <v>669</v>
      </c>
      <c r="E307" s="562">
        <f>'[2]COSTO LAMINADO CDMX-QRO-GDL'!I295</f>
        <v>20840</v>
      </c>
      <c r="F307" s="563" t="s">
        <v>284</v>
      </c>
    </row>
    <row r="308" spans="1:6">
      <c r="A308" s="558"/>
      <c r="B308" s="565"/>
      <c r="C308" s="560" t="s">
        <v>673</v>
      </c>
      <c r="D308" s="630"/>
      <c r="E308" s="569"/>
      <c r="F308" s="570"/>
    </row>
    <row r="309" spans="1:6">
      <c r="A309" s="558"/>
      <c r="B309" s="565"/>
      <c r="C309" s="560" t="s">
        <v>674</v>
      </c>
      <c r="D309" s="630"/>
      <c r="E309" s="569"/>
      <c r="F309" s="570"/>
    </row>
    <row r="310" spans="1:6">
      <c r="A310" s="558"/>
      <c r="B310" s="565"/>
      <c r="C310" s="560" t="s">
        <v>675</v>
      </c>
      <c r="D310" s="630"/>
      <c r="E310" s="569"/>
      <c r="F310" s="570"/>
    </row>
    <row r="311" spans="1:6">
      <c r="A311" s="558"/>
      <c r="B311" s="565"/>
      <c r="C311" s="560" t="s">
        <v>676</v>
      </c>
      <c r="D311" s="630"/>
      <c r="E311" s="569"/>
      <c r="F311" s="570"/>
    </row>
    <row r="312" spans="1:6">
      <c r="A312" s="558"/>
      <c r="B312" s="565"/>
      <c r="C312" s="560"/>
      <c r="D312" s="630"/>
      <c r="E312" s="569"/>
      <c r="F312" s="570"/>
    </row>
    <row r="313" spans="1:6">
      <c r="A313" s="558"/>
      <c r="B313" s="565"/>
      <c r="C313" s="560"/>
      <c r="D313" s="630"/>
      <c r="E313" s="569"/>
      <c r="F313" s="570"/>
    </row>
    <row r="314" spans="1:6">
      <c r="A314" s="558"/>
      <c r="B314" s="565"/>
      <c r="C314" s="560"/>
      <c r="D314" s="630"/>
      <c r="E314" s="569"/>
      <c r="F314" s="570"/>
    </row>
    <row r="315" spans="1:6">
      <c r="A315" s="558"/>
      <c r="B315" s="565"/>
      <c r="C315" s="560"/>
      <c r="D315" s="630"/>
      <c r="E315" s="569"/>
      <c r="F315" s="570"/>
    </row>
    <row r="316" spans="1:6">
      <c r="A316" s="585"/>
      <c r="B316" s="552"/>
      <c r="C316" s="553" t="s">
        <v>677</v>
      </c>
      <c r="D316" s="554"/>
      <c r="E316" s="644"/>
      <c r="F316" s="575"/>
    </row>
    <row r="317" spans="1:6">
      <c r="A317" s="558"/>
      <c r="B317" s="559" t="s">
        <v>678</v>
      </c>
      <c r="C317" s="560" t="s">
        <v>679</v>
      </c>
      <c r="D317" s="630" t="s">
        <v>659</v>
      </c>
      <c r="E317" s="562">
        <f>'[2]COSTO LAMINADO CDMX-QRO-GDL'!I305</f>
        <v>8440</v>
      </c>
      <c r="F317" s="563" t="s">
        <v>284</v>
      </c>
    </row>
    <row r="318" spans="1:6">
      <c r="A318" s="558"/>
      <c r="B318" s="565"/>
      <c r="C318" s="560" t="s">
        <v>680</v>
      </c>
      <c r="D318" s="630"/>
      <c r="E318" s="569"/>
      <c r="F318" s="570"/>
    </row>
    <row r="319" spans="1:6">
      <c r="A319" s="558"/>
      <c r="B319" s="565"/>
      <c r="C319" s="560" t="s">
        <v>681</v>
      </c>
      <c r="D319" s="630"/>
      <c r="E319" s="569"/>
      <c r="F319" s="570"/>
    </row>
    <row r="320" spans="1:6">
      <c r="A320" s="558"/>
      <c r="B320" s="565"/>
      <c r="C320" s="560"/>
      <c r="D320" s="630"/>
      <c r="E320" s="569"/>
      <c r="F320" s="570"/>
    </row>
    <row r="321" spans="1:6">
      <c r="A321" s="558"/>
      <c r="B321" s="565"/>
      <c r="C321" s="560"/>
      <c r="D321" s="630"/>
      <c r="E321" s="569"/>
      <c r="F321" s="570"/>
    </row>
    <row r="322" spans="1:6">
      <c r="A322" s="558"/>
      <c r="B322" s="565"/>
      <c r="C322" s="560"/>
      <c r="D322" s="630"/>
      <c r="E322" s="569"/>
      <c r="F322" s="570"/>
    </row>
    <row r="323" spans="1:6">
      <c r="A323" s="558"/>
      <c r="B323" s="565"/>
      <c r="C323" s="560"/>
      <c r="D323" s="630"/>
      <c r="E323" s="569"/>
      <c r="F323" s="570"/>
    </row>
    <row r="324" spans="1:6">
      <c r="A324" s="576"/>
      <c r="B324" s="559"/>
      <c r="C324" s="560"/>
      <c r="D324" s="627"/>
      <c r="E324" s="588"/>
      <c r="F324" s="570"/>
    </row>
    <row r="325" spans="1:6">
      <c r="A325" s="576"/>
      <c r="B325" s="559"/>
      <c r="C325" s="560"/>
      <c r="D325" s="627"/>
      <c r="E325" s="588"/>
      <c r="F325" s="570"/>
    </row>
    <row r="326" spans="1:6">
      <c r="A326" s="576"/>
      <c r="B326" s="559" t="s">
        <v>682</v>
      </c>
      <c r="C326" s="560" t="s">
        <v>683</v>
      </c>
      <c r="D326" s="645" t="s">
        <v>666</v>
      </c>
      <c r="E326" s="562">
        <f>'[2]COSTO LAMINADO CDMX-QRO-GDL'!I314</f>
        <v>14830</v>
      </c>
      <c r="F326" s="563" t="s">
        <v>284</v>
      </c>
    </row>
    <row r="327" spans="1:6">
      <c r="A327" s="594"/>
      <c r="B327" s="559"/>
      <c r="C327" s="560" t="s">
        <v>684</v>
      </c>
      <c r="D327" s="630"/>
      <c r="E327" s="569"/>
      <c r="F327" s="570"/>
    </row>
    <row r="328" spans="1:6">
      <c r="A328" s="576"/>
      <c r="B328" s="565"/>
      <c r="C328" s="560" t="s">
        <v>685</v>
      </c>
      <c r="D328" s="645"/>
      <c r="E328" s="569"/>
      <c r="F328" s="570"/>
    </row>
    <row r="329" spans="1:6">
      <c r="A329" s="576"/>
      <c r="B329" s="565"/>
      <c r="C329" s="560"/>
      <c r="D329" s="645"/>
      <c r="E329" s="569"/>
      <c r="F329" s="570"/>
    </row>
    <row r="330" spans="1:6">
      <c r="A330" s="576"/>
      <c r="B330" s="565"/>
      <c r="C330" s="560"/>
      <c r="D330" s="645"/>
      <c r="E330" s="569"/>
      <c r="F330" s="570"/>
    </row>
    <row r="331" spans="1:6">
      <c r="A331" s="576"/>
      <c r="B331" s="565"/>
      <c r="C331" s="560"/>
      <c r="D331" s="645"/>
      <c r="E331" s="569"/>
      <c r="F331" s="570"/>
    </row>
    <row r="332" spans="1:6">
      <c r="A332" s="576"/>
      <c r="B332" s="565"/>
      <c r="C332" s="584"/>
      <c r="D332" s="645"/>
      <c r="E332" s="569"/>
      <c r="F332" s="570"/>
    </row>
    <row r="333" spans="1:6">
      <c r="A333" s="576"/>
      <c r="B333" s="565"/>
      <c r="C333" s="560"/>
      <c r="D333" s="645"/>
      <c r="E333" s="569"/>
      <c r="F333" s="570"/>
    </row>
    <row r="334" spans="1:6">
      <c r="A334" s="558"/>
      <c r="B334" s="565"/>
      <c r="C334" s="560"/>
      <c r="D334" s="645"/>
      <c r="E334" s="569"/>
      <c r="F334" s="570"/>
    </row>
    <row r="335" spans="1:6">
      <c r="A335" s="594"/>
      <c r="B335" s="559" t="s">
        <v>686</v>
      </c>
      <c r="C335" s="560" t="s">
        <v>687</v>
      </c>
      <c r="D335" s="645" t="s">
        <v>669</v>
      </c>
      <c r="E335" s="562">
        <f>'[2]COSTO LAMINADO CDMX-QRO-GDL'!I323</f>
        <v>16480</v>
      </c>
      <c r="F335" s="563" t="s">
        <v>284</v>
      </c>
    </row>
    <row r="336" spans="1:6">
      <c r="A336" s="576"/>
      <c r="B336" s="559"/>
      <c r="C336" s="560" t="s">
        <v>684</v>
      </c>
      <c r="D336" s="630"/>
      <c r="E336" s="569"/>
      <c r="F336" s="570"/>
    </row>
    <row r="337" spans="1:61">
      <c r="A337" s="576"/>
      <c r="B337" s="559"/>
      <c r="C337" s="560" t="s">
        <v>685</v>
      </c>
      <c r="D337" s="630"/>
      <c r="E337" s="569"/>
      <c r="F337" s="570"/>
    </row>
    <row r="338" spans="1:61">
      <c r="A338" s="576"/>
      <c r="B338" s="565"/>
      <c r="C338" s="560"/>
      <c r="D338" s="645"/>
      <c r="E338" s="569"/>
      <c r="F338" s="570"/>
    </row>
    <row r="339" spans="1:61">
      <c r="A339" s="576"/>
      <c r="B339" s="565"/>
      <c r="C339" s="584"/>
      <c r="D339" s="645"/>
      <c r="E339" s="569"/>
      <c r="F339" s="570"/>
    </row>
    <row r="340" spans="1:61">
      <c r="A340" s="576"/>
      <c r="B340" s="565"/>
      <c r="C340" s="560"/>
      <c r="D340" s="645"/>
      <c r="E340" s="569"/>
      <c r="F340" s="570"/>
    </row>
    <row r="341" spans="1:61">
      <c r="A341" s="576"/>
      <c r="B341" s="565"/>
      <c r="C341" s="560"/>
      <c r="D341" s="645"/>
      <c r="E341" s="646"/>
      <c r="F341" s="570"/>
    </row>
    <row r="342" spans="1:61" s="538" customFormat="1" ht="15" customHeight="1">
      <c r="A342" s="535" t="s">
        <v>509</v>
      </c>
      <c r="B342" s="536"/>
      <c r="C342" s="1483" t="s">
        <v>688</v>
      </c>
      <c r="D342" s="1485" t="s">
        <v>567</v>
      </c>
      <c r="E342" s="1487">
        <v>43252</v>
      </c>
      <c r="F342" s="1488"/>
      <c r="G342" s="527"/>
      <c r="H342" s="537"/>
      <c r="I342" s="537"/>
      <c r="J342" s="537"/>
      <c r="K342" s="537"/>
      <c r="L342" s="537"/>
      <c r="M342" s="537"/>
      <c r="N342" s="537"/>
      <c r="O342" s="537"/>
      <c r="P342" s="537"/>
      <c r="Q342" s="537"/>
      <c r="R342" s="537"/>
      <c r="S342" s="537"/>
      <c r="T342" s="537"/>
      <c r="U342" s="537"/>
      <c r="V342" s="537"/>
      <c r="W342" s="537"/>
      <c r="X342" s="537"/>
      <c r="Y342" s="537"/>
      <c r="Z342" s="537"/>
      <c r="AA342" s="537"/>
      <c r="AB342" s="537"/>
      <c r="AC342" s="537"/>
      <c r="AD342" s="537"/>
      <c r="AE342" s="537"/>
      <c r="AF342" s="537"/>
      <c r="AG342" s="537"/>
      <c r="AH342" s="537"/>
      <c r="AI342" s="537"/>
      <c r="AJ342" s="537"/>
      <c r="AK342" s="537"/>
      <c r="AL342" s="537"/>
      <c r="AM342" s="537"/>
      <c r="AN342" s="537"/>
      <c r="AO342" s="537"/>
      <c r="AP342" s="537"/>
      <c r="AQ342" s="537"/>
      <c r="AR342" s="537"/>
      <c r="AS342" s="537"/>
      <c r="AT342" s="537"/>
      <c r="AU342" s="537"/>
      <c r="AV342" s="537"/>
      <c r="AW342" s="537"/>
      <c r="AX342" s="537"/>
      <c r="AY342" s="537"/>
      <c r="AZ342" s="537"/>
      <c r="BA342" s="537"/>
      <c r="BB342" s="537"/>
      <c r="BC342" s="537"/>
      <c r="BD342" s="537"/>
      <c r="BE342" s="537"/>
      <c r="BF342" s="537"/>
      <c r="BG342" s="537"/>
      <c r="BH342" s="537"/>
      <c r="BI342" s="537"/>
    </row>
    <row r="343" spans="1:61" s="542" customFormat="1" ht="15" customHeight="1">
      <c r="A343" s="539" t="s">
        <v>568</v>
      </c>
      <c r="B343" s="540"/>
      <c r="C343" s="1484"/>
      <c r="D343" s="1486"/>
      <c r="E343" s="1489"/>
      <c r="F343" s="1490"/>
      <c r="G343" s="527"/>
      <c r="H343" s="537"/>
      <c r="I343" s="541"/>
      <c r="J343" s="541"/>
      <c r="K343" s="541"/>
      <c r="L343" s="541"/>
      <c r="M343" s="541"/>
      <c r="N343" s="541"/>
      <c r="O343" s="541"/>
      <c r="P343" s="541"/>
      <c r="Q343" s="541"/>
      <c r="R343" s="541"/>
      <c r="S343" s="541"/>
      <c r="T343" s="541"/>
      <c r="U343" s="541"/>
      <c r="V343" s="541"/>
      <c r="W343" s="541"/>
      <c r="X343" s="541"/>
      <c r="Y343" s="541"/>
      <c r="Z343" s="541"/>
      <c r="AA343" s="541"/>
      <c r="AB343" s="541"/>
      <c r="AC343" s="541"/>
      <c r="AD343" s="541"/>
      <c r="AE343" s="541"/>
      <c r="AF343" s="541"/>
      <c r="AG343" s="541"/>
      <c r="AH343" s="541"/>
      <c r="AI343" s="541"/>
      <c r="AJ343" s="541"/>
      <c r="AK343" s="541"/>
      <c r="AL343" s="541"/>
      <c r="AM343" s="541"/>
      <c r="AN343" s="541"/>
      <c r="AO343" s="541"/>
      <c r="AP343" s="541"/>
      <c r="AQ343" s="541"/>
      <c r="AR343" s="541"/>
      <c r="AS343" s="541"/>
      <c r="AT343" s="541"/>
      <c r="AU343" s="541"/>
      <c r="AV343" s="541"/>
      <c r="AW343" s="541"/>
      <c r="AX343" s="541"/>
      <c r="AY343" s="541"/>
      <c r="AZ343" s="541"/>
      <c r="BA343" s="541"/>
      <c r="BB343" s="541"/>
      <c r="BC343" s="541"/>
      <c r="BD343" s="541"/>
      <c r="BE343" s="541"/>
      <c r="BF343" s="541"/>
      <c r="BG343" s="541"/>
      <c r="BH343" s="541"/>
      <c r="BI343" s="541"/>
    </row>
    <row r="344" spans="1:61" s="550" customFormat="1">
      <c r="A344" s="543" t="s">
        <v>512</v>
      </c>
      <c r="B344" s="544" t="s">
        <v>513</v>
      </c>
      <c r="C344" s="201" t="s">
        <v>514</v>
      </c>
      <c r="D344" s="545" t="s">
        <v>515</v>
      </c>
      <c r="E344" s="202" t="s">
        <v>516</v>
      </c>
      <c r="F344" s="546" t="s">
        <v>517</v>
      </c>
      <c r="G344" s="547"/>
      <c r="H344" s="537"/>
      <c r="I344" s="533"/>
      <c r="J344" s="548"/>
      <c r="K344" s="549"/>
      <c r="L344" s="548"/>
      <c r="M344" s="548"/>
      <c r="N344" s="548"/>
      <c r="O344" s="548"/>
      <c r="P344" s="548"/>
      <c r="Q344" s="548"/>
      <c r="R344" s="548"/>
      <c r="S344" s="548"/>
      <c r="T344" s="548"/>
      <c r="U344" s="548"/>
      <c r="V344" s="548"/>
      <c r="W344" s="548"/>
      <c r="X344" s="548"/>
      <c r="Y344" s="548"/>
      <c r="Z344" s="548"/>
      <c r="AA344" s="548"/>
      <c r="AB344" s="548"/>
      <c r="AC344" s="548"/>
      <c r="AD344" s="548"/>
      <c r="AE344" s="548"/>
      <c r="AF344" s="548"/>
      <c r="AG344" s="548"/>
      <c r="AH344" s="548"/>
      <c r="AI344" s="548"/>
      <c r="AJ344" s="548"/>
      <c r="AK344" s="548"/>
      <c r="AL344" s="548"/>
      <c r="AM344" s="548"/>
      <c r="AN344" s="548"/>
      <c r="AO344" s="548"/>
      <c r="AP344" s="548"/>
      <c r="AQ344" s="548"/>
      <c r="AR344" s="548"/>
      <c r="AS344" s="548"/>
      <c r="AT344" s="548"/>
      <c r="AU344" s="548"/>
      <c r="AV344" s="548"/>
      <c r="AW344" s="548"/>
      <c r="AX344" s="548"/>
      <c r="AY344" s="548"/>
      <c r="AZ344" s="548"/>
      <c r="BA344" s="548"/>
      <c r="BB344" s="548"/>
      <c r="BC344" s="548"/>
      <c r="BD344" s="548"/>
      <c r="BE344" s="548"/>
      <c r="BF344" s="548"/>
      <c r="BG344" s="548"/>
      <c r="BH344" s="548"/>
      <c r="BI344" s="548"/>
    </row>
    <row r="345" spans="1:61">
      <c r="A345" s="585"/>
      <c r="B345" s="552"/>
      <c r="C345" s="553" t="s">
        <v>689</v>
      </c>
      <c r="D345" s="554"/>
      <c r="E345" s="644"/>
      <c r="F345" s="575"/>
    </row>
    <row r="346" spans="1:61">
      <c r="A346" s="576"/>
      <c r="B346" s="559" t="s">
        <v>690</v>
      </c>
      <c r="C346" s="560" t="s">
        <v>691</v>
      </c>
      <c r="D346" s="645" t="s">
        <v>692</v>
      </c>
      <c r="E346" s="562">
        <f>'[2]COSTO LAMINADO CDMX-QRO-GDL'!I334</f>
        <v>6290</v>
      </c>
      <c r="F346" s="563" t="s">
        <v>284</v>
      </c>
    </row>
    <row r="347" spans="1:61">
      <c r="A347" s="576"/>
      <c r="B347" s="565"/>
      <c r="C347" s="560" t="s">
        <v>693</v>
      </c>
      <c r="D347" s="645"/>
      <c r="E347" s="569"/>
      <c r="F347" s="570"/>
    </row>
    <row r="348" spans="1:61">
      <c r="A348" s="576"/>
      <c r="B348" s="565"/>
      <c r="C348" s="560" t="s">
        <v>694</v>
      </c>
      <c r="D348" s="645"/>
      <c r="E348" s="569"/>
      <c r="F348" s="570"/>
    </row>
    <row r="349" spans="1:61">
      <c r="A349" s="576"/>
      <c r="B349" s="565"/>
      <c r="C349" s="560"/>
      <c r="D349" s="645"/>
      <c r="E349" s="569"/>
      <c r="F349" s="570"/>
    </row>
    <row r="350" spans="1:61">
      <c r="A350" s="576"/>
      <c r="B350" s="565"/>
      <c r="C350" s="560"/>
      <c r="D350" s="645"/>
      <c r="E350" s="569"/>
      <c r="F350" s="570"/>
    </row>
    <row r="351" spans="1:61">
      <c r="A351" s="576"/>
      <c r="B351" s="565"/>
      <c r="C351" s="560"/>
      <c r="D351" s="645"/>
      <c r="E351" s="569"/>
      <c r="F351" s="570"/>
    </row>
    <row r="352" spans="1:61">
      <c r="A352" s="576"/>
      <c r="B352" s="565"/>
      <c r="C352" s="560"/>
      <c r="D352" s="645"/>
      <c r="E352" s="569"/>
      <c r="F352" s="570"/>
    </row>
    <row r="353" spans="1:6">
      <c r="A353" s="576"/>
      <c r="B353" s="565"/>
      <c r="C353" s="560"/>
      <c r="D353" s="645"/>
      <c r="E353" s="569"/>
      <c r="F353" s="570"/>
    </row>
    <row r="354" spans="1:6">
      <c r="A354" s="576"/>
      <c r="B354" s="565"/>
      <c r="C354" s="560"/>
      <c r="D354" s="645"/>
      <c r="E354" s="569"/>
      <c r="F354" s="570"/>
    </row>
    <row r="355" spans="1:6">
      <c r="A355" s="576"/>
      <c r="B355" s="559"/>
      <c r="C355" s="560"/>
      <c r="D355" s="645"/>
      <c r="E355" s="569"/>
      <c r="F355" s="570"/>
    </row>
    <row r="356" spans="1:6">
      <c r="A356" s="576"/>
      <c r="B356" s="559" t="s">
        <v>695</v>
      </c>
      <c r="C356" s="560" t="s">
        <v>696</v>
      </c>
      <c r="D356" s="630" t="s">
        <v>697</v>
      </c>
      <c r="E356" s="562">
        <f>'[2]COSTO LAMINADO CDMX-QRO-GDL'!I344</f>
        <v>7070</v>
      </c>
      <c r="F356" s="563" t="s">
        <v>284</v>
      </c>
    </row>
    <row r="357" spans="1:6">
      <c r="A357" s="576"/>
      <c r="B357" s="559"/>
      <c r="C357" s="560" t="s">
        <v>693</v>
      </c>
      <c r="D357" s="630"/>
      <c r="E357" s="569"/>
      <c r="F357" s="570"/>
    </row>
    <row r="358" spans="1:6">
      <c r="A358" s="576"/>
      <c r="B358" s="559"/>
      <c r="C358" s="560" t="s">
        <v>698</v>
      </c>
      <c r="D358" s="630"/>
      <c r="E358" s="569"/>
      <c r="F358" s="570"/>
    </row>
    <row r="359" spans="1:6">
      <c r="A359" s="576"/>
      <c r="B359" s="559"/>
      <c r="C359" s="560"/>
      <c r="D359" s="630"/>
      <c r="E359" s="569"/>
      <c r="F359" s="570"/>
    </row>
    <row r="360" spans="1:6">
      <c r="A360" s="576"/>
      <c r="B360" s="559"/>
      <c r="C360" s="560"/>
      <c r="D360" s="630"/>
      <c r="E360" s="569"/>
      <c r="F360" s="570"/>
    </row>
    <row r="361" spans="1:6">
      <c r="A361" s="576"/>
      <c r="B361" s="559"/>
      <c r="C361" s="560"/>
      <c r="D361" s="630"/>
      <c r="E361" s="569"/>
      <c r="F361" s="570"/>
    </row>
    <row r="362" spans="1:6">
      <c r="A362" s="576"/>
      <c r="B362" s="559"/>
      <c r="C362" s="560"/>
      <c r="D362" s="630"/>
      <c r="E362" s="569"/>
      <c r="F362" s="570"/>
    </row>
    <row r="363" spans="1:6">
      <c r="A363" s="576"/>
      <c r="B363" s="559"/>
      <c r="C363" s="560"/>
      <c r="D363" s="630"/>
      <c r="E363" s="569"/>
      <c r="F363" s="570"/>
    </row>
    <row r="364" spans="1:6">
      <c r="A364" s="576"/>
      <c r="B364" s="559" t="s">
        <v>699</v>
      </c>
      <c r="C364" s="560" t="s">
        <v>696</v>
      </c>
      <c r="D364" s="630" t="s">
        <v>700</v>
      </c>
      <c r="E364" s="562">
        <f>'[2]COSTO LAMINADO CDMX-QRO-GDL'!I352</f>
        <v>9270</v>
      </c>
      <c r="F364" s="563" t="s">
        <v>284</v>
      </c>
    </row>
    <row r="365" spans="1:6">
      <c r="A365" s="576"/>
      <c r="B365" s="559"/>
      <c r="C365" s="560" t="s">
        <v>693</v>
      </c>
      <c r="D365" s="630"/>
      <c r="E365" s="569"/>
      <c r="F365" s="570"/>
    </row>
    <row r="366" spans="1:6">
      <c r="A366" s="576"/>
      <c r="B366" s="559"/>
      <c r="C366" s="560" t="s">
        <v>698</v>
      </c>
      <c r="D366" s="630"/>
      <c r="E366" s="569"/>
      <c r="F366" s="570"/>
    </row>
    <row r="367" spans="1:6">
      <c r="A367" s="576"/>
      <c r="B367" s="559"/>
      <c r="C367" s="560"/>
      <c r="D367" s="630"/>
      <c r="E367" s="569"/>
      <c r="F367" s="570"/>
    </row>
    <row r="368" spans="1:6">
      <c r="A368" s="576"/>
      <c r="B368" s="559"/>
      <c r="C368" s="560"/>
      <c r="D368" s="630"/>
      <c r="E368" s="569"/>
      <c r="F368" s="570"/>
    </row>
    <row r="369" spans="1:6">
      <c r="A369" s="576"/>
      <c r="B369" s="559"/>
      <c r="C369" s="560"/>
      <c r="D369" s="630"/>
      <c r="E369" s="569"/>
      <c r="F369" s="570"/>
    </row>
    <row r="370" spans="1:6">
      <c r="A370" s="576"/>
      <c r="B370" s="559"/>
      <c r="C370" s="560"/>
      <c r="D370" s="630"/>
      <c r="E370" s="569"/>
      <c r="F370" s="570"/>
    </row>
    <row r="371" spans="1:6">
      <c r="A371" s="576"/>
      <c r="B371" s="559"/>
      <c r="C371" s="560"/>
      <c r="D371" s="630"/>
      <c r="E371" s="569"/>
      <c r="F371" s="570"/>
    </row>
    <row r="372" spans="1:6">
      <c r="A372" s="576"/>
      <c r="B372" s="559"/>
      <c r="C372" s="560"/>
      <c r="D372" s="630"/>
      <c r="E372" s="569"/>
      <c r="F372" s="570"/>
    </row>
    <row r="373" spans="1:6">
      <c r="A373" s="576"/>
      <c r="B373" s="559" t="s">
        <v>701</v>
      </c>
      <c r="C373" s="560" t="s">
        <v>702</v>
      </c>
      <c r="D373" s="630" t="s">
        <v>703</v>
      </c>
      <c r="E373" s="562">
        <f>'[2]COSTO LAMINADO CDMX-QRO-GDL'!I361</f>
        <v>11720</v>
      </c>
      <c r="F373" s="563" t="s">
        <v>284</v>
      </c>
    </row>
    <row r="374" spans="1:6">
      <c r="A374" s="576"/>
      <c r="B374" s="559"/>
      <c r="C374" s="560" t="s">
        <v>693</v>
      </c>
      <c r="D374" s="630"/>
      <c r="E374" s="569"/>
      <c r="F374" s="570"/>
    </row>
    <row r="375" spans="1:6">
      <c r="A375" s="576"/>
      <c r="B375" s="559"/>
      <c r="C375" s="560" t="s">
        <v>698</v>
      </c>
      <c r="D375" s="630"/>
      <c r="E375" s="569"/>
      <c r="F375" s="570"/>
    </row>
    <row r="376" spans="1:6">
      <c r="A376" s="576"/>
      <c r="B376" s="559"/>
      <c r="C376" s="560"/>
      <c r="D376" s="630"/>
      <c r="E376" s="569"/>
      <c r="F376" s="570"/>
    </row>
    <row r="377" spans="1:6">
      <c r="A377" s="576"/>
      <c r="B377" s="559"/>
      <c r="C377" s="560"/>
      <c r="D377" s="630"/>
      <c r="E377" s="569"/>
      <c r="F377" s="570"/>
    </row>
    <row r="378" spans="1:6">
      <c r="A378" s="576"/>
      <c r="B378" s="559"/>
      <c r="C378" s="560"/>
      <c r="D378" s="630"/>
      <c r="E378" s="569"/>
      <c r="F378" s="570"/>
    </row>
    <row r="379" spans="1:6">
      <c r="A379" s="576"/>
      <c r="B379" s="559"/>
      <c r="C379" s="560"/>
      <c r="D379" s="630"/>
      <c r="E379" s="569"/>
      <c r="F379" s="570"/>
    </row>
    <row r="380" spans="1:6">
      <c r="A380" s="576"/>
      <c r="B380" s="559"/>
      <c r="C380" s="560"/>
      <c r="D380" s="630"/>
      <c r="E380" s="569"/>
      <c r="F380" s="570"/>
    </row>
    <row r="381" spans="1:6">
      <c r="A381" s="576"/>
      <c r="B381" s="559"/>
      <c r="C381" s="560"/>
      <c r="D381" s="630"/>
      <c r="E381" s="569"/>
      <c r="F381" s="570"/>
    </row>
    <row r="382" spans="1:6">
      <c r="A382" s="576"/>
      <c r="B382" s="559"/>
      <c r="C382" s="560"/>
      <c r="D382" s="630"/>
      <c r="E382" s="569"/>
      <c r="F382" s="570"/>
    </row>
    <row r="383" spans="1:6">
      <c r="A383" s="576"/>
      <c r="B383" s="559"/>
      <c r="C383" s="560"/>
      <c r="D383" s="630"/>
      <c r="E383" s="569"/>
      <c r="F383" s="570"/>
    </row>
    <row r="384" spans="1:6">
      <c r="A384" s="647"/>
      <c r="B384" s="559"/>
      <c r="C384" s="560"/>
      <c r="D384" s="630"/>
      <c r="E384" s="569"/>
      <c r="F384" s="570"/>
    </row>
    <row r="385" spans="1:6">
      <c r="A385" s="576"/>
      <c r="B385" s="559" t="s">
        <v>704</v>
      </c>
      <c r="C385" s="560" t="s">
        <v>705</v>
      </c>
      <c r="D385" s="630" t="s">
        <v>706</v>
      </c>
      <c r="E385" s="562">
        <f>'[2]COSTO LAMINADO CDMX-QRO-GDL'!I373</f>
        <v>15610</v>
      </c>
      <c r="F385" s="563" t="s">
        <v>284</v>
      </c>
    </row>
    <row r="386" spans="1:6">
      <c r="A386" s="576"/>
      <c r="B386" s="559"/>
      <c r="C386" s="560" t="s">
        <v>693</v>
      </c>
      <c r="D386" s="630"/>
      <c r="E386" s="569"/>
      <c r="F386" s="570"/>
    </row>
    <row r="387" spans="1:6">
      <c r="A387" s="576"/>
      <c r="B387" s="559"/>
      <c r="C387" s="560" t="s">
        <v>698</v>
      </c>
      <c r="D387" s="630"/>
      <c r="E387" s="569"/>
      <c r="F387" s="570"/>
    </row>
    <row r="388" spans="1:6">
      <c r="A388" s="576"/>
      <c r="B388" s="559"/>
      <c r="C388" s="560"/>
      <c r="D388" s="630"/>
      <c r="E388" s="569"/>
      <c r="F388" s="570"/>
    </row>
    <row r="389" spans="1:6">
      <c r="A389" s="576"/>
      <c r="B389" s="559"/>
      <c r="C389" s="560"/>
      <c r="D389" s="630"/>
      <c r="E389" s="569"/>
      <c r="F389" s="570"/>
    </row>
    <row r="390" spans="1:6">
      <c r="A390" s="576"/>
      <c r="B390" s="559"/>
      <c r="C390" s="560"/>
      <c r="D390" s="630"/>
      <c r="E390" s="569"/>
      <c r="F390" s="570"/>
    </row>
    <row r="391" spans="1:6">
      <c r="A391" s="576"/>
      <c r="B391" s="559"/>
      <c r="C391" s="560"/>
      <c r="D391" s="630"/>
      <c r="E391" s="569"/>
      <c r="F391" s="570"/>
    </row>
    <row r="392" spans="1:6">
      <c r="A392" s="576"/>
      <c r="B392" s="559"/>
      <c r="C392" s="560"/>
      <c r="D392" s="630"/>
      <c r="E392" s="569"/>
      <c r="F392" s="570"/>
    </row>
    <row r="393" spans="1:6">
      <c r="A393" s="576"/>
      <c r="B393" s="559"/>
      <c r="C393" s="560"/>
      <c r="D393" s="630"/>
      <c r="E393" s="569"/>
      <c r="F393" s="570"/>
    </row>
    <row r="394" spans="1:6">
      <c r="A394" s="576"/>
      <c r="B394" s="559"/>
      <c r="C394" s="560"/>
      <c r="D394" s="630"/>
      <c r="E394" s="569"/>
      <c r="F394" s="570"/>
    </row>
    <row r="395" spans="1:6">
      <c r="A395" s="576"/>
      <c r="B395" s="559"/>
      <c r="C395" s="560"/>
      <c r="D395" s="630"/>
      <c r="E395" s="569"/>
      <c r="F395" s="570"/>
    </row>
    <row r="396" spans="1:6">
      <c r="A396" s="576"/>
      <c r="B396" s="559"/>
      <c r="C396" s="560"/>
      <c r="D396" s="630"/>
      <c r="E396" s="569"/>
      <c r="F396" s="570"/>
    </row>
    <row r="397" spans="1:6">
      <c r="A397" s="576"/>
      <c r="B397" s="559"/>
      <c r="C397" s="560"/>
      <c r="D397" s="630"/>
      <c r="E397" s="569"/>
      <c r="F397" s="570"/>
    </row>
    <row r="398" spans="1:6">
      <c r="A398" s="576"/>
      <c r="B398" s="559"/>
      <c r="C398" s="560"/>
      <c r="D398" s="630"/>
      <c r="E398" s="569"/>
      <c r="F398" s="570"/>
    </row>
    <row r="399" spans="1:6">
      <c r="A399" s="585"/>
      <c r="B399" s="552"/>
      <c r="C399" s="553" t="s">
        <v>707</v>
      </c>
      <c r="D399" s="554"/>
      <c r="E399" s="644"/>
      <c r="F399" s="575"/>
    </row>
    <row r="400" spans="1:6">
      <c r="A400" s="576"/>
      <c r="B400" s="559" t="s">
        <v>708</v>
      </c>
      <c r="C400" s="560" t="s">
        <v>709</v>
      </c>
      <c r="D400" s="579" t="s">
        <v>697</v>
      </c>
      <c r="E400" s="562">
        <f>'[2]COSTO LAMINADO CDMX-QRO-GDL'!I388</f>
        <v>9780</v>
      </c>
      <c r="F400" s="563" t="s">
        <v>284</v>
      </c>
    </row>
    <row r="401" spans="1:6">
      <c r="A401" s="576"/>
      <c r="B401" s="559"/>
      <c r="C401" s="560" t="s">
        <v>710</v>
      </c>
      <c r="D401" s="579"/>
      <c r="E401" s="596"/>
      <c r="F401" s="570"/>
    </row>
    <row r="402" spans="1:6">
      <c r="A402" s="576"/>
      <c r="B402" s="559"/>
      <c r="C402" s="560" t="s">
        <v>528</v>
      </c>
      <c r="D402" s="579"/>
      <c r="E402" s="596"/>
      <c r="F402" s="570"/>
    </row>
    <row r="403" spans="1:6">
      <c r="A403" s="576"/>
      <c r="B403" s="559"/>
      <c r="C403" s="560" t="s">
        <v>711</v>
      </c>
      <c r="D403" s="579"/>
      <c r="E403" s="596"/>
      <c r="F403" s="570"/>
    </row>
    <row r="404" spans="1:6">
      <c r="A404" s="576"/>
      <c r="B404" s="559"/>
      <c r="C404" s="560"/>
      <c r="D404" s="579"/>
      <c r="E404" s="596"/>
      <c r="F404" s="570"/>
    </row>
    <row r="405" spans="1:6">
      <c r="A405" s="576"/>
      <c r="B405" s="559"/>
      <c r="C405" s="560"/>
      <c r="D405" s="579"/>
      <c r="E405" s="596"/>
      <c r="F405" s="570"/>
    </row>
    <row r="406" spans="1:6">
      <c r="A406" s="576"/>
      <c r="B406" s="559"/>
      <c r="C406" s="560"/>
      <c r="D406" s="579"/>
      <c r="E406" s="596"/>
      <c r="F406" s="570"/>
    </row>
    <row r="407" spans="1:6">
      <c r="A407" s="576"/>
      <c r="B407" s="559"/>
      <c r="C407" s="560"/>
      <c r="D407" s="579"/>
      <c r="E407" s="596"/>
      <c r="F407" s="570"/>
    </row>
    <row r="408" spans="1:6">
      <c r="A408" s="576"/>
      <c r="B408" s="559" t="s">
        <v>712</v>
      </c>
      <c r="C408" s="560" t="s">
        <v>713</v>
      </c>
      <c r="D408" s="579" t="s">
        <v>700</v>
      </c>
      <c r="E408" s="562">
        <f>'[2]COSTO LAMINADO CDMX-QRO-GDL'!I396</f>
        <v>11000</v>
      </c>
      <c r="F408" s="563" t="s">
        <v>284</v>
      </c>
    </row>
    <row r="409" spans="1:6">
      <c r="A409" s="576"/>
      <c r="B409" s="559"/>
      <c r="C409" s="560" t="s">
        <v>710</v>
      </c>
      <c r="D409" s="579"/>
      <c r="E409" s="596"/>
      <c r="F409" s="570"/>
    </row>
    <row r="410" spans="1:6">
      <c r="A410" s="576"/>
      <c r="B410" s="559"/>
      <c r="C410" s="560" t="s">
        <v>528</v>
      </c>
      <c r="D410" s="579"/>
      <c r="E410" s="596"/>
      <c r="F410" s="570"/>
    </row>
    <row r="411" spans="1:6">
      <c r="A411" s="576"/>
      <c r="B411" s="559"/>
      <c r="C411" s="560" t="s">
        <v>711</v>
      </c>
      <c r="D411" s="579"/>
      <c r="E411" s="596"/>
      <c r="F411" s="570"/>
    </row>
    <row r="412" spans="1:6">
      <c r="A412" s="576"/>
      <c r="B412" s="559"/>
      <c r="C412" s="566"/>
      <c r="D412" s="579"/>
      <c r="E412" s="596"/>
      <c r="F412" s="570"/>
    </row>
    <row r="413" spans="1:6">
      <c r="A413" s="576"/>
      <c r="B413" s="559"/>
      <c r="C413" s="560"/>
      <c r="D413" s="579"/>
      <c r="E413" s="596"/>
      <c r="F413" s="570"/>
    </row>
    <row r="414" spans="1:6">
      <c r="A414" s="576"/>
      <c r="B414" s="559"/>
      <c r="C414" s="560"/>
      <c r="D414" s="579"/>
      <c r="E414" s="596"/>
      <c r="F414" s="570"/>
    </row>
    <row r="415" spans="1:6">
      <c r="A415" s="576"/>
      <c r="B415" s="559"/>
      <c r="C415" s="560"/>
      <c r="D415" s="579"/>
      <c r="E415" s="596"/>
      <c r="F415" s="570"/>
    </row>
    <row r="416" spans="1:6">
      <c r="A416" s="576"/>
      <c r="B416" s="559" t="s">
        <v>714</v>
      </c>
      <c r="C416" s="560" t="s">
        <v>715</v>
      </c>
      <c r="D416" s="579" t="s">
        <v>703</v>
      </c>
      <c r="E416" s="562">
        <f>'[2]COSTO LAMINADO CDMX-QRO-GDL'!I404</f>
        <v>17850</v>
      </c>
      <c r="F416" s="563" t="s">
        <v>284</v>
      </c>
    </row>
    <row r="417" spans="1:6">
      <c r="A417" s="576"/>
      <c r="B417" s="559"/>
      <c r="C417" s="560" t="s">
        <v>710</v>
      </c>
      <c r="D417" s="579"/>
      <c r="E417" s="596"/>
      <c r="F417" s="570"/>
    </row>
    <row r="418" spans="1:6">
      <c r="A418" s="576"/>
      <c r="B418" s="559"/>
      <c r="C418" s="560" t="s">
        <v>528</v>
      </c>
      <c r="D418" s="579"/>
      <c r="E418" s="596"/>
      <c r="F418" s="570"/>
    </row>
    <row r="419" spans="1:6">
      <c r="A419" s="576"/>
      <c r="B419" s="559"/>
      <c r="C419" s="560" t="s">
        <v>711</v>
      </c>
      <c r="D419" s="579"/>
      <c r="E419" s="596"/>
      <c r="F419" s="570"/>
    </row>
    <row r="420" spans="1:6">
      <c r="A420" s="576"/>
      <c r="B420" s="559"/>
      <c r="C420" s="560"/>
      <c r="D420" s="579"/>
      <c r="E420" s="596"/>
      <c r="F420" s="570"/>
    </row>
    <row r="421" spans="1:6">
      <c r="A421" s="576"/>
      <c r="B421" s="559"/>
      <c r="C421" s="560"/>
      <c r="D421" s="579"/>
      <c r="E421" s="596"/>
      <c r="F421" s="570"/>
    </row>
    <row r="422" spans="1:6">
      <c r="A422" s="576"/>
      <c r="B422" s="559"/>
      <c r="C422" s="566"/>
      <c r="D422" s="579"/>
      <c r="E422" s="596"/>
      <c r="F422" s="570"/>
    </row>
    <row r="423" spans="1:6">
      <c r="A423" s="576"/>
      <c r="B423" s="559"/>
      <c r="C423" s="560"/>
      <c r="D423" s="579"/>
      <c r="E423" s="596"/>
      <c r="F423" s="570"/>
    </row>
    <row r="424" spans="1:6">
      <c r="A424" s="576"/>
      <c r="B424" s="559"/>
      <c r="C424" s="560"/>
      <c r="D424" s="579"/>
      <c r="E424" s="596"/>
      <c r="F424" s="570"/>
    </row>
    <row r="425" spans="1:6">
      <c r="A425" s="576"/>
      <c r="B425" s="559"/>
      <c r="C425" s="560"/>
      <c r="D425" s="579"/>
      <c r="E425" s="596"/>
      <c r="F425" s="570"/>
    </row>
    <row r="426" spans="1:6">
      <c r="A426" s="576"/>
      <c r="B426" s="559"/>
      <c r="C426" s="560"/>
      <c r="D426" s="579"/>
      <c r="E426" s="596"/>
      <c r="F426" s="570"/>
    </row>
    <row r="427" spans="1:6">
      <c r="A427" s="576"/>
      <c r="B427" s="559"/>
      <c r="C427" s="560"/>
      <c r="D427" s="579"/>
      <c r="E427" s="596"/>
      <c r="F427" s="570"/>
    </row>
    <row r="428" spans="1:6">
      <c r="A428" s="576"/>
      <c r="B428" s="559" t="s">
        <v>716</v>
      </c>
      <c r="C428" s="560" t="s">
        <v>717</v>
      </c>
      <c r="D428" s="579" t="s">
        <v>706</v>
      </c>
      <c r="E428" s="562">
        <f>'[2]COSTO LAMINADO CDMX-QRO-GDL'!I416</f>
        <v>18370</v>
      </c>
      <c r="F428" s="563" t="s">
        <v>284</v>
      </c>
    </row>
    <row r="429" spans="1:6">
      <c r="A429" s="576"/>
      <c r="B429" s="559"/>
      <c r="C429" s="560" t="s">
        <v>710</v>
      </c>
      <c r="D429" s="579"/>
      <c r="E429" s="596"/>
      <c r="F429" s="570"/>
    </row>
    <row r="430" spans="1:6">
      <c r="A430" s="576"/>
      <c r="B430" s="559"/>
      <c r="C430" s="560" t="s">
        <v>528</v>
      </c>
      <c r="D430" s="579"/>
      <c r="E430" s="596"/>
      <c r="F430" s="570"/>
    </row>
    <row r="431" spans="1:6">
      <c r="A431" s="576"/>
      <c r="B431" s="559"/>
      <c r="C431" s="560" t="s">
        <v>711</v>
      </c>
      <c r="D431" s="579"/>
      <c r="E431" s="596"/>
      <c r="F431" s="570"/>
    </row>
    <row r="432" spans="1:6">
      <c r="A432" s="576"/>
      <c r="B432" s="559"/>
      <c r="C432" s="560"/>
      <c r="D432" s="579"/>
      <c r="E432" s="596"/>
      <c r="F432" s="570"/>
    </row>
    <row r="433" spans="1:6">
      <c r="A433" s="576"/>
      <c r="B433" s="559"/>
      <c r="C433" s="566"/>
      <c r="D433" s="579"/>
      <c r="E433" s="596"/>
      <c r="F433" s="570"/>
    </row>
    <row r="434" spans="1:6">
      <c r="A434" s="576"/>
      <c r="B434" s="559"/>
      <c r="C434" s="560"/>
      <c r="D434" s="579"/>
      <c r="E434" s="596"/>
      <c r="F434" s="570"/>
    </row>
    <row r="435" spans="1:6">
      <c r="A435" s="576"/>
      <c r="B435" s="559"/>
      <c r="C435" s="560"/>
      <c r="D435" s="579"/>
      <c r="E435" s="596"/>
      <c r="F435" s="570"/>
    </row>
    <row r="436" spans="1:6">
      <c r="A436" s="576"/>
      <c r="B436" s="559"/>
      <c r="C436" s="560"/>
      <c r="D436" s="579"/>
      <c r="E436" s="596"/>
      <c r="F436" s="570"/>
    </row>
    <row r="437" spans="1:6">
      <c r="A437" s="576"/>
      <c r="B437" s="559"/>
      <c r="C437" s="560"/>
      <c r="D437" s="579"/>
      <c r="E437" s="596"/>
      <c r="F437" s="570"/>
    </row>
    <row r="438" spans="1:6">
      <c r="A438" s="576"/>
      <c r="B438" s="559"/>
      <c r="C438" s="560"/>
      <c r="D438" s="579"/>
      <c r="E438" s="596"/>
      <c r="F438" s="570"/>
    </row>
    <row r="439" spans="1:6">
      <c r="A439" s="576"/>
      <c r="B439" s="559"/>
      <c r="C439" s="560"/>
      <c r="D439" s="579"/>
      <c r="E439" s="596"/>
      <c r="F439" s="570"/>
    </row>
    <row r="440" spans="1:6">
      <c r="A440" s="576"/>
      <c r="B440" s="559"/>
      <c r="C440" s="560"/>
      <c r="D440" s="579"/>
      <c r="E440" s="596"/>
      <c r="F440" s="570"/>
    </row>
    <row r="441" spans="1:6">
      <c r="A441" s="576"/>
      <c r="B441" s="559" t="s">
        <v>718</v>
      </c>
      <c r="C441" s="560" t="s">
        <v>719</v>
      </c>
      <c r="D441" s="579" t="s">
        <v>706</v>
      </c>
      <c r="E441" s="562">
        <f>'[2]COSTO LAMINADO CDMX-QRO-GDL'!I429</f>
        <v>17934</v>
      </c>
      <c r="F441" s="563" t="s">
        <v>284</v>
      </c>
    </row>
    <row r="442" spans="1:6">
      <c r="A442" s="576"/>
      <c r="B442" s="559"/>
      <c r="C442" s="560" t="s">
        <v>720</v>
      </c>
      <c r="D442" s="579"/>
      <c r="E442" s="596"/>
      <c r="F442" s="570"/>
    </row>
    <row r="443" spans="1:6">
      <c r="A443" s="576"/>
      <c r="B443" s="559"/>
      <c r="C443" s="560" t="s">
        <v>721</v>
      </c>
      <c r="D443" s="579"/>
      <c r="E443" s="596"/>
      <c r="F443" s="570"/>
    </row>
    <row r="444" spans="1:6">
      <c r="A444" s="576"/>
      <c r="B444" s="559"/>
      <c r="C444" s="560" t="s">
        <v>722</v>
      </c>
      <c r="D444" s="579"/>
      <c r="E444" s="596"/>
      <c r="F444" s="570"/>
    </row>
    <row r="445" spans="1:6">
      <c r="A445" s="576"/>
      <c r="B445" s="559"/>
      <c r="C445" s="560" t="s">
        <v>723</v>
      </c>
      <c r="D445" s="579"/>
      <c r="E445" s="596"/>
      <c r="F445" s="570"/>
    </row>
    <row r="446" spans="1:6">
      <c r="A446" s="576"/>
      <c r="B446" s="559"/>
      <c r="C446" s="560"/>
      <c r="D446" s="579"/>
      <c r="E446" s="596"/>
      <c r="F446" s="570"/>
    </row>
    <row r="447" spans="1:6">
      <c r="A447" s="576"/>
      <c r="B447" s="559"/>
      <c r="C447" s="566"/>
      <c r="D447" s="579"/>
      <c r="E447" s="596"/>
      <c r="F447" s="570"/>
    </row>
    <row r="448" spans="1:6">
      <c r="A448" s="576"/>
      <c r="B448" s="559"/>
      <c r="C448" s="560"/>
      <c r="D448" s="579"/>
      <c r="E448" s="596"/>
      <c r="F448" s="570"/>
    </row>
    <row r="449" spans="1:6">
      <c r="A449" s="576"/>
      <c r="B449" s="559"/>
      <c r="C449" s="560"/>
      <c r="D449" s="579"/>
      <c r="E449" s="596"/>
      <c r="F449" s="570"/>
    </row>
    <row r="450" spans="1:6">
      <c r="A450" s="576"/>
      <c r="B450" s="559"/>
      <c r="C450" s="560"/>
      <c r="D450" s="579"/>
      <c r="E450" s="596"/>
      <c r="F450" s="570"/>
    </row>
    <row r="451" spans="1:6">
      <c r="A451" s="576"/>
      <c r="B451" s="559"/>
      <c r="C451" s="560"/>
      <c r="D451" s="579"/>
      <c r="E451" s="596"/>
      <c r="F451" s="570"/>
    </row>
    <row r="452" spans="1:6">
      <c r="A452" s="576"/>
      <c r="B452" s="559"/>
      <c r="C452" s="560"/>
      <c r="D452" s="579"/>
      <c r="E452" s="596"/>
      <c r="F452" s="570"/>
    </row>
    <row r="453" spans="1:6">
      <c r="A453" s="576"/>
      <c r="B453" s="559" t="s">
        <v>724</v>
      </c>
      <c r="C453" s="560" t="s">
        <v>725</v>
      </c>
      <c r="D453" s="579" t="s">
        <v>706</v>
      </c>
      <c r="E453" s="562">
        <f>'[2]COSTO LAMINADO CDMX-QRO-GDL'!I441</f>
        <v>19390</v>
      </c>
      <c r="F453" s="563" t="s">
        <v>284</v>
      </c>
    </row>
    <row r="454" spans="1:6">
      <c r="A454" s="576"/>
      <c r="B454" s="559"/>
      <c r="C454" s="560" t="s">
        <v>726</v>
      </c>
      <c r="D454" s="579"/>
      <c r="E454" s="596"/>
      <c r="F454" s="570"/>
    </row>
    <row r="455" spans="1:6">
      <c r="A455" s="576"/>
      <c r="B455" s="559"/>
      <c r="C455" s="560" t="s">
        <v>727</v>
      </c>
      <c r="D455" s="579"/>
      <c r="E455" s="596"/>
      <c r="F455" s="570"/>
    </row>
    <row r="456" spans="1:6">
      <c r="A456" s="576"/>
      <c r="B456" s="559"/>
      <c r="C456" s="560" t="s">
        <v>728</v>
      </c>
      <c r="D456" s="579"/>
      <c r="E456" s="596"/>
      <c r="F456" s="570"/>
    </row>
    <row r="457" spans="1:6">
      <c r="A457" s="576"/>
      <c r="B457" s="559"/>
      <c r="C457" s="560" t="s">
        <v>729</v>
      </c>
      <c r="D457" s="579"/>
      <c r="E457" s="596"/>
      <c r="F457" s="570"/>
    </row>
    <row r="458" spans="1:6">
      <c r="A458" s="576"/>
      <c r="B458" s="559"/>
      <c r="C458" s="560"/>
      <c r="D458" s="579"/>
      <c r="E458" s="596"/>
      <c r="F458" s="570"/>
    </row>
    <row r="459" spans="1:6">
      <c r="A459" s="576"/>
      <c r="B459" s="559"/>
      <c r="C459" s="560"/>
      <c r="D459" s="579"/>
      <c r="E459" s="596"/>
      <c r="F459" s="570"/>
    </row>
    <row r="460" spans="1:6">
      <c r="A460" s="576"/>
      <c r="B460" s="559"/>
      <c r="C460" s="560"/>
      <c r="D460" s="579"/>
      <c r="E460" s="596"/>
      <c r="F460" s="570"/>
    </row>
    <row r="461" spans="1:6">
      <c r="A461" s="576"/>
      <c r="B461" s="559"/>
      <c r="C461" s="560"/>
      <c r="D461" s="579"/>
      <c r="E461" s="596"/>
      <c r="F461" s="570"/>
    </row>
    <row r="462" spans="1:6">
      <c r="A462" s="576"/>
      <c r="B462" s="559"/>
      <c r="C462" s="560"/>
      <c r="D462" s="579"/>
      <c r="E462" s="596"/>
      <c r="F462" s="570"/>
    </row>
    <row r="463" spans="1:6">
      <c r="A463" s="576"/>
      <c r="B463" s="559"/>
      <c r="C463" s="566"/>
      <c r="D463" s="579"/>
      <c r="E463" s="596"/>
      <c r="F463" s="570"/>
    </row>
    <row r="464" spans="1:6">
      <c r="A464" s="576"/>
      <c r="B464" s="559"/>
      <c r="C464" s="560"/>
      <c r="D464" s="579"/>
      <c r="E464" s="596"/>
      <c r="F464" s="570"/>
    </row>
    <row r="465" spans="1:6">
      <c r="A465" s="576"/>
      <c r="B465" s="559"/>
      <c r="C465" s="560"/>
      <c r="D465" s="579"/>
      <c r="E465" s="596"/>
      <c r="F465" s="570"/>
    </row>
    <row r="466" spans="1:6">
      <c r="A466" s="576"/>
      <c r="B466" s="559"/>
      <c r="C466" s="560"/>
      <c r="D466" s="579"/>
      <c r="E466" s="596"/>
      <c r="F466" s="570"/>
    </row>
    <row r="467" spans="1:6">
      <c r="A467" s="648"/>
      <c r="B467" s="649"/>
      <c r="C467" s="650" t="s">
        <v>730</v>
      </c>
      <c r="D467" s="651"/>
      <c r="E467" s="652"/>
      <c r="F467" s="618"/>
    </row>
    <row r="468" spans="1:6">
      <c r="A468" s="653"/>
      <c r="B468" s="620"/>
      <c r="C468" s="621"/>
      <c r="D468" s="622"/>
      <c r="E468" s="623"/>
      <c r="F468" s="624"/>
    </row>
    <row r="469" spans="1:6">
      <c r="A469" s="654"/>
      <c r="B469" s="625"/>
      <c r="C469" s="626"/>
      <c r="D469" s="627"/>
      <c r="E469" s="628"/>
      <c r="F469" s="570"/>
    </row>
    <row r="470" spans="1:6">
      <c r="A470" s="558"/>
      <c r="B470" s="629"/>
      <c r="C470" s="626"/>
      <c r="D470" s="630"/>
      <c r="E470" s="631"/>
      <c r="F470" s="570"/>
    </row>
    <row r="471" spans="1:6">
      <c r="A471" s="558"/>
      <c r="B471" s="629"/>
      <c r="C471" s="626"/>
      <c r="D471" s="630"/>
      <c r="E471" s="631"/>
      <c r="F471" s="570"/>
    </row>
    <row r="472" spans="1:6">
      <c r="A472" s="558"/>
      <c r="B472" s="629"/>
      <c r="C472" s="626"/>
      <c r="D472" s="630"/>
      <c r="E472" s="631"/>
      <c r="F472" s="570"/>
    </row>
    <row r="473" spans="1:6">
      <c r="A473" s="558"/>
      <c r="B473" s="629"/>
      <c r="C473" s="626"/>
      <c r="D473" s="630"/>
      <c r="E473" s="631"/>
      <c r="F473" s="570"/>
    </row>
    <row r="474" spans="1:6">
      <c r="A474" s="558"/>
      <c r="B474" s="629"/>
      <c r="C474" s="626"/>
      <c r="D474" s="630"/>
      <c r="E474" s="631"/>
      <c r="F474" s="570"/>
    </row>
    <row r="475" spans="1:6">
      <c r="A475" s="558"/>
      <c r="B475" s="629"/>
      <c r="C475" s="626"/>
      <c r="D475" s="630"/>
      <c r="E475" s="631"/>
      <c r="F475" s="570"/>
    </row>
    <row r="476" spans="1:6">
      <c r="A476" s="558"/>
      <c r="B476" s="629"/>
      <c r="C476" s="626"/>
      <c r="D476" s="630"/>
      <c r="E476" s="631"/>
      <c r="F476" s="570"/>
    </row>
    <row r="477" spans="1:6">
      <c r="A477" s="558"/>
      <c r="B477" s="629"/>
      <c r="C477" s="626"/>
      <c r="D477" s="630"/>
      <c r="E477" s="631"/>
      <c r="F477" s="570"/>
    </row>
    <row r="478" spans="1:6">
      <c r="A478" s="558"/>
      <c r="B478" s="629"/>
      <c r="C478" s="626"/>
      <c r="D478" s="630"/>
      <c r="E478" s="631"/>
      <c r="F478" s="570"/>
    </row>
    <row r="479" spans="1:6">
      <c r="A479" s="655"/>
      <c r="B479" s="633"/>
      <c r="C479" s="634"/>
      <c r="D479" s="635"/>
      <c r="E479" s="636"/>
      <c r="F479" s="637"/>
    </row>
    <row r="480" spans="1:6">
      <c r="A480" s="638"/>
      <c r="B480" s="639"/>
      <c r="C480" s="640" t="s">
        <v>731</v>
      </c>
      <c r="D480" s="641"/>
      <c r="E480" s="642"/>
      <c r="F480" s="643"/>
    </row>
    <row r="481" spans="1:6">
      <c r="A481" s="576"/>
      <c r="B481" s="565" t="s">
        <v>732</v>
      </c>
      <c r="C481" s="626" t="s">
        <v>733</v>
      </c>
      <c r="D481" s="561" t="s">
        <v>734</v>
      </c>
      <c r="E481" s="562">
        <f>'[2]COSTO LAMINADO CDMX-QRO-GDL'!I469</f>
        <v>13900</v>
      </c>
      <c r="F481" s="563" t="s">
        <v>284</v>
      </c>
    </row>
    <row r="482" spans="1:6">
      <c r="A482" s="576"/>
      <c r="B482" s="565"/>
      <c r="C482" s="626" t="s">
        <v>735</v>
      </c>
      <c r="D482" s="561"/>
      <c r="E482" s="569"/>
      <c r="F482" s="570"/>
    </row>
    <row r="483" spans="1:6">
      <c r="A483" s="576"/>
      <c r="B483" s="565"/>
      <c r="C483" s="626"/>
      <c r="D483" s="561"/>
      <c r="E483" s="569"/>
      <c r="F483" s="570"/>
    </row>
    <row r="484" spans="1:6">
      <c r="A484" s="576"/>
      <c r="B484" s="565"/>
      <c r="C484" s="626"/>
      <c r="D484" s="561"/>
      <c r="E484" s="569"/>
      <c r="F484" s="570"/>
    </row>
    <row r="485" spans="1:6">
      <c r="A485" s="576"/>
      <c r="B485" s="565"/>
      <c r="C485" s="626"/>
      <c r="D485" s="561"/>
      <c r="E485" s="569"/>
      <c r="F485" s="570"/>
    </row>
    <row r="486" spans="1:6">
      <c r="A486" s="576"/>
      <c r="B486" s="565"/>
      <c r="C486" s="626"/>
      <c r="D486" s="561"/>
      <c r="E486" s="569"/>
      <c r="F486" s="570"/>
    </row>
    <row r="487" spans="1:6">
      <c r="A487" s="576"/>
      <c r="B487" s="565"/>
      <c r="C487" s="626"/>
      <c r="D487" s="561"/>
      <c r="E487" s="569"/>
      <c r="F487" s="570"/>
    </row>
    <row r="488" spans="1:6">
      <c r="A488" s="576"/>
      <c r="B488" s="565"/>
      <c r="C488" s="626"/>
      <c r="D488" s="561"/>
      <c r="E488" s="569"/>
      <c r="F488" s="570"/>
    </row>
    <row r="489" spans="1:6">
      <c r="A489" s="576"/>
      <c r="B489" s="565"/>
      <c r="C489" s="626"/>
      <c r="D489" s="561"/>
      <c r="E489" s="569"/>
      <c r="F489" s="570"/>
    </row>
    <row r="490" spans="1:6">
      <c r="A490" s="576"/>
      <c r="B490" s="565"/>
      <c r="C490" s="626"/>
      <c r="D490" s="561"/>
      <c r="E490" s="569"/>
      <c r="F490" s="570"/>
    </row>
    <row r="491" spans="1:6">
      <c r="A491" s="576"/>
      <c r="B491" s="565"/>
      <c r="C491" s="626"/>
      <c r="D491" s="561"/>
      <c r="E491" s="569"/>
      <c r="F491" s="570"/>
    </row>
    <row r="492" spans="1:6">
      <c r="A492" s="576"/>
      <c r="B492" s="565"/>
      <c r="C492" s="626"/>
      <c r="D492" s="561"/>
      <c r="E492" s="569"/>
      <c r="F492" s="570"/>
    </row>
    <row r="493" spans="1:6">
      <c r="A493" s="576"/>
      <c r="B493" s="565" t="s">
        <v>736</v>
      </c>
      <c r="C493" s="626" t="s">
        <v>733</v>
      </c>
      <c r="D493" s="561" t="s">
        <v>737</v>
      </c>
      <c r="E493" s="562">
        <f>'[2]COSTO LAMINADO CDMX-QRO-GDL'!I481</f>
        <v>8080</v>
      </c>
      <c r="F493" s="563" t="s">
        <v>284</v>
      </c>
    </row>
    <row r="494" spans="1:6">
      <c r="A494" s="576"/>
      <c r="B494" s="656"/>
      <c r="C494" s="626" t="s">
        <v>735</v>
      </c>
      <c r="D494" s="561"/>
      <c r="E494" s="569"/>
      <c r="F494" s="570"/>
    </row>
    <row r="495" spans="1:6">
      <c r="A495" s="576"/>
      <c r="B495" s="565"/>
      <c r="C495" s="626"/>
      <c r="D495" s="561"/>
      <c r="E495" s="569"/>
      <c r="F495" s="570"/>
    </row>
    <row r="496" spans="1:6">
      <c r="A496" s="576"/>
      <c r="B496" s="565"/>
      <c r="C496" s="626"/>
      <c r="D496" s="561"/>
      <c r="E496" s="569"/>
      <c r="F496" s="570"/>
    </row>
    <row r="497" spans="1:6">
      <c r="A497" s="576"/>
      <c r="B497" s="656"/>
      <c r="D497" s="658"/>
      <c r="E497" s="659"/>
      <c r="F497" s="570"/>
    </row>
    <row r="498" spans="1:6">
      <c r="A498" s="576"/>
      <c r="B498" s="656"/>
      <c r="D498" s="658"/>
      <c r="E498" s="659"/>
      <c r="F498" s="570"/>
    </row>
    <row r="499" spans="1:6">
      <c r="A499" s="576"/>
      <c r="B499" s="656"/>
      <c r="D499" s="658"/>
      <c r="E499" s="659"/>
      <c r="F499" s="570"/>
    </row>
    <row r="500" spans="1:6">
      <c r="A500" s="576"/>
      <c r="B500" s="656"/>
      <c r="D500" s="658"/>
      <c r="E500" s="659"/>
      <c r="F500" s="570"/>
    </row>
    <row r="501" spans="1:6">
      <c r="A501" s="576"/>
      <c r="B501" s="565"/>
      <c r="C501" s="626"/>
      <c r="D501" s="561"/>
      <c r="E501" s="569"/>
      <c r="F501" s="570"/>
    </row>
    <row r="502" spans="1:6">
      <c r="A502" s="576"/>
      <c r="B502" s="565"/>
      <c r="C502" s="626"/>
      <c r="D502" s="561"/>
      <c r="E502" s="569"/>
      <c r="F502" s="570"/>
    </row>
    <row r="503" spans="1:6">
      <c r="A503" s="576"/>
      <c r="B503" s="565" t="s">
        <v>738</v>
      </c>
      <c r="C503" s="626" t="s">
        <v>733</v>
      </c>
      <c r="D503" s="561" t="s">
        <v>739</v>
      </c>
      <c r="E503" s="562">
        <f>'[2]COSTO LAMINADO CDMX-QRO-GDL'!I491</f>
        <v>8270</v>
      </c>
      <c r="F503" s="563" t="s">
        <v>284</v>
      </c>
    </row>
    <row r="504" spans="1:6">
      <c r="A504" s="576"/>
      <c r="B504" s="565"/>
      <c r="C504" s="626" t="s">
        <v>735</v>
      </c>
      <c r="D504" s="561"/>
      <c r="E504" s="569"/>
      <c r="F504" s="570"/>
    </row>
    <row r="505" spans="1:6">
      <c r="A505" s="576"/>
      <c r="B505" s="565"/>
      <c r="C505" s="626"/>
      <c r="D505" s="561"/>
      <c r="E505" s="569"/>
      <c r="F505" s="570"/>
    </row>
    <row r="506" spans="1:6">
      <c r="A506" s="576"/>
      <c r="B506" s="565"/>
      <c r="C506" s="626"/>
      <c r="D506" s="561"/>
      <c r="E506" s="569"/>
      <c r="F506" s="570"/>
    </row>
    <row r="507" spans="1:6">
      <c r="A507" s="576"/>
      <c r="B507" s="565"/>
      <c r="C507" s="626"/>
      <c r="D507" s="561"/>
      <c r="E507" s="569"/>
      <c r="F507" s="570"/>
    </row>
    <row r="508" spans="1:6">
      <c r="A508" s="576"/>
      <c r="B508" s="656"/>
      <c r="D508" s="658"/>
      <c r="E508" s="659"/>
      <c r="F508" s="570"/>
    </row>
    <row r="509" spans="1:6">
      <c r="A509" s="576"/>
      <c r="B509" s="656"/>
      <c r="D509" s="658"/>
      <c r="E509" s="659"/>
      <c r="F509" s="570"/>
    </row>
    <row r="510" spans="1:6">
      <c r="A510" s="576"/>
      <c r="B510" s="656"/>
      <c r="D510" s="658"/>
      <c r="E510" s="659"/>
      <c r="F510" s="570"/>
    </row>
    <row r="511" spans="1:6">
      <c r="A511" s="576"/>
      <c r="B511" s="656"/>
      <c r="D511" s="658"/>
      <c r="E511" s="659"/>
      <c r="F511" s="570"/>
    </row>
    <row r="512" spans="1:6">
      <c r="A512" s="576"/>
      <c r="B512" s="656"/>
      <c r="D512" s="658"/>
      <c r="E512" s="659"/>
      <c r="F512" s="570"/>
    </row>
    <row r="513" spans="1:61">
      <c r="A513" s="576"/>
      <c r="B513" s="656"/>
      <c r="D513" s="658"/>
      <c r="E513" s="659"/>
      <c r="F513" s="570"/>
    </row>
    <row r="514" spans="1:61">
      <c r="A514" s="576"/>
      <c r="B514" s="656"/>
      <c r="D514" s="658"/>
      <c r="E514" s="659"/>
      <c r="F514" s="570"/>
    </row>
    <row r="515" spans="1:61">
      <c r="A515" s="576"/>
      <c r="B515" s="656"/>
      <c r="D515" s="658"/>
      <c r="E515" s="659"/>
      <c r="F515" s="570"/>
    </row>
    <row r="516" spans="1:61">
      <c r="A516" s="576"/>
      <c r="B516" s="565"/>
      <c r="C516" s="626"/>
      <c r="D516" s="561"/>
      <c r="E516" s="569"/>
      <c r="F516" s="570"/>
    </row>
    <row r="517" spans="1:61">
      <c r="A517" s="576"/>
      <c r="B517" s="565"/>
      <c r="C517" s="626"/>
      <c r="D517" s="561"/>
      <c r="E517" s="569"/>
      <c r="F517" s="570"/>
    </row>
    <row r="518" spans="1:61" s="538" customFormat="1" ht="15" customHeight="1">
      <c r="A518" s="535" t="s">
        <v>509</v>
      </c>
      <c r="B518" s="536"/>
      <c r="C518" s="1483" t="s">
        <v>740</v>
      </c>
      <c r="D518" s="1485"/>
      <c r="E518" s="1487"/>
      <c r="F518" s="1488"/>
      <c r="G518" s="527"/>
      <c r="H518" s="537"/>
      <c r="I518" s="537"/>
      <c r="J518" s="537"/>
      <c r="K518" s="537"/>
      <c r="L518" s="537"/>
      <c r="M518" s="537"/>
      <c r="N518" s="537"/>
      <c r="O518" s="537"/>
      <c r="P518" s="537"/>
      <c r="Q518" s="537"/>
      <c r="R518" s="537"/>
      <c r="S518" s="537"/>
      <c r="T518" s="537"/>
      <c r="U518" s="537"/>
      <c r="V518" s="537"/>
      <c r="W518" s="537"/>
      <c r="X518" s="537"/>
      <c r="Y518" s="537"/>
      <c r="Z518" s="537"/>
      <c r="AA518" s="537"/>
      <c r="AB518" s="537"/>
      <c r="AC518" s="537"/>
      <c r="AD518" s="537"/>
      <c r="AE518" s="537"/>
      <c r="AF518" s="537"/>
      <c r="AG518" s="537"/>
      <c r="AH518" s="537"/>
      <c r="AI518" s="537"/>
      <c r="AJ518" s="537"/>
      <c r="AK518" s="537"/>
      <c r="AL518" s="537"/>
      <c r="AM518" s="537"/>
      <c r="AN518" s="537"/>
      <c r="AO518" s="537"/>
      <c r="AP518" s="537"/>
      <c r="AQ518" s="537"/>
      <c r="AR518" s="537"/>
      <c r="AS518" s="537"/>
      <c r="AT518" s="537"/>
      <c r="AU518" s="537"/>
      <c r="AV518" s="537"/>
      <c r="AW518" s="537"/>
      <c r="AX518" s="537"/>
      <c r="AY518" s="537"/>
      <c r="AZ518" s="537"/>
      <c r="BA518" s="537"/>
      <c r="BB518" s="537"/>
      <c r="BC518" s="537"/>
      <c r="BD518" s="537"/>
      <c r="BE518" s="537"/>
      <c r="BF518" s="537"/>
      <c r="BG518" s="537"/>
      <c r="BH518" s="537"/>
      <c r="BI518" s="537"/>
    </row>
    <row r="519" spans="1:61" s="542" customFormat="1" ht="15" customHeight="1">
      <c r="A519" s="539" t="s">
        <v>568</v>
      </c>
      <c r="B519" s="540"/>
      <c r="C519" s="1484"/>
      <c r="D519" s="1486"/>
      <c r="E519" s="1489"/>
      <c r="F519" s="1490"/>
      <c r="G519" s="527"/>
      <c r="H519" s="537"/>
      <c r="I519" s="541"/>
      <c r="J519" s="541"/>
      <c r="K519" s="541"/>
      <c r="L519" s="541"/>
      <c r="M519" s="541"/>
      <c r="N519" s="541"/>
      <c r="O519" s="541"/>
      <c r="P519" s="541"/>
      <c r="Q519" s="541"/>
      <c r="R519" s="541"/>
      <c r="S519" s="541"/>
      <c r="T519" s="541"/>
      <c r="U519" s="541"/>
      <c r="V519" s="541"/>
      <c r="W519" s="541"/>
      <c r="X519" s="541"/>
      <c r="Y519" s="541"/>
      <c r="Z519" s="541"/>
      <c r="AA519" s="541"/>
      <c r="AB519" s="541"/>
      <c r="AC519" s="541"/>
      <c r="AD519" s="541"/>
      <c r="AE519" s="541"/>
      <c r="AF519" s="541"/>
      <c r="AG519" s="541"/>
      <c r="AH519" s="541"/>
      <c r="AI519" s="541"/>
      <c r="AJ519" s="541"/>
      <c r="AK519" s="541"/>
      <c r="AL519" s="541"/>
      <c r="AM519" s="541"/>
      <c r="AN519" s="541"/>
      <c r="AO519" s="541"/>
      <c r="AP519" s="541"/>
      <c r="AQ519" s="541"/>
      <c r="AR519" s="541"/>
      <c r="AS519" s="541"/>
      <c r="AT519" s="541"/>
      <c r="AU519" s="541"/>
      <c r="AV519" s="541"/>
      <c r="AW519" s="541"/>
      <c r="AX519" s="541"/>
      <c r="AY519" s="541"/>
      <c r="AZ519" s="541"/>
      <c r="BA519" s="541"/>
      <c r="BB519" s="541"/>
      <c r="BC519" s="541"/>
      <c r="BD519" s="541"/>
      <c r="BE519" s="541"/>
      <c r="BF519" s="541"/>
      <c r="BG519" s="541"/>
      <c r="BH519" s="541"/>
      <c r="BI519" s="541"/>
    </row>
    <row r="520" spans="1:61" s="550" customFormat="1">
      <c r="A520" s="543" t="s">
        <v>512</v>
      </c>
      <c r="B520" s="544" t="s">
        <v>513</v>
      </c>
      <c r="C520" s="201" t="s">
        <v>514</v>
      </c>
      <c r="D520" s="545" t="s">
        <v>515</v>
      </c>
      <c r="E520" s="202" t="s">
        <v>516</v>
      </c>
      <c r="F520" s="546" t="s">
        <v>517</v>
      </c>
      <c r="G520" s="547"/>
      <c r="H520" s="537"/>
      <c r="I520" s="533"/>
      <c r="J520" s="548"/>
      <c r="K520" s="549"/>
      <c r="L520" s="548"/>
      <c r="M520" s="548"/>
      <c r="N520" s="548"/>
      <c r="O520" s="548"/>
      <c r="P520" s="548"/>
      <c r="Q520" s="548"/>
      <c r="R520" s="548"/>
      <c r="S520" s="548"/>
      <c r="T520" s="548"/>
      <c r="U520" s="548"/>
      <c r="V520" s="548"/>
      <c r="W520" s="548"/>
      <c r="X520" s="548"/>
      <c r="Y520" s="548"/>
      <c r="Z520" s="548"/>
      <c r="AA520" s="548"/>
      <c r="AB520" s="548"/>
      <c r="AC520" s="548"/>
      <c r="AD520" s="548"/>
      <c r="AE520" s="548"/>
      <c r="AF520" s="548"/>
      <c r="AG520" s="548"/>
      <c r="AH520" s="548"/>
      <c r="AI520" s="548"/>
      <c r="AJ520" s="548"/>
      <c r="AK520" s="548"/>
      <c r="AL520" s="548"/>
      <c r="AM520" s="548"/>
      <c r="AN520" s="548"/>
      <c r="AO520" s="548"/>
      <c r="AP520" s="548"/>
      <c r="AQ520" s="548"/>
      <c r="AR520" s="548"/>
      <c r="AS520" s="548"/>
      <c r="AT520" s="548"/>
      <c r="AU520" s="548"/>
      <c r="AV520" s="548"/>
      <c r="AW520" s="548"/>
      <c r="AX520" s="548"/>
      <c r="AY520" s="548"/>
      <c r="AZ520" s="548"/>
      <c r="BA520" s="548"/>
      <c r="BB520" s="548"/>
      <c r="BC520" s="548"/>
      <c r="BD520" s="548"/>
      <c r="BE520" s="548"/>
      <c r="BF520" s="548"/>
      <c r="BG520" s="548"/>
      <c r="BH520" s="548"/>
      <c r="BI520" s="548"/>
    </row>
    <row r="521" spans="1:61">
      <c r="A521" s="585"/>
      <c r="B521" s="552"/>
      <c r="C521" s="553" t="s">
        <v>741</v>
      </c>
      <c r="D521" s="554"/>
      <c r="E521" s="586"/>
      <c r="F521" s="575"/>
    </row>
    <row r="522" spans="1:61">
      <c r="A522" s="558"/>
      <c r="B522" s="565" t="s">
        <v>742</v>
      </c>
      <c r="C522" s="589" t="s">
        <v>743</v>
      </c>
      <c r="D522" s="630" t="s">
        <v>744</v>
      </c>
      <c r="E522" s="562">
        <f>'[2]COSTO LAMINADO CDMX-QRO-GDL'!I510</f>
        <v>16990</v>
      </c>
      <c r="F522" s="563" t="s">
        <v>284</v>
      </c>
    </row>
    <row r="523" spans="1:61">
      <c r="A523" s="558"/>
      <c r="B523" s="660"/>
      <c r="C523" s="589" t="s">
        <v>745</v>
      </c>
      <c r="D523" s="661"/>
      <c r="E523" s="662"/>
      <c r="F523" s="570"/>
    </row>
    <row r="524" spans="1:61">
      <c r="A524" s="558"/>
      <c r="B524" s="660"/>
      <c r="C524" s="589" t="s">
        <v>746</v>
      </c>
      <c r="D524" s="661"/>
      <c r="E524" s="662"/>
      <c r="F524" s="570"/>
    </row>
    <row r="525" spans="1:61">
      <c r="A525" s="558"/>
      <c r="B525" s="660"/>
      <c r="C525" s="663" t="s">
        <v>747</v>
      </c>
      <c r="D525" s="661"/>
      <c r="E525" s="662"/>
      <c r="F525" s="570"/>
    </row>
    <row r="526" spans="1:61">
      <c r="A526" s="558"/>
      <c r="B526" s="660"/>
      <c r="C526" s="589"/>
      <c r="D526" s="661"/>
      <c r="E526" s="662"/>
      <c r="F526" s="570"/>
    </row>
    <row r="527" spans="1:61">
      <c r="A527" s="664"/>
      <c r="B527" s="565" t="s">
        <v>748</v>
      </c>
      <c r="C527" s="589" t="s">
        <v>749</v>
      </c>
      <c r="D527" s="630" t="s">
        <v>750</v>
      </c>
      <c r="E527" s="562">
        <f>'[2]COSTO LAMINADO CDMX-QRO-GDL'!I515</f>
        <v>27630</v>
      </c>
      <c r="F527" s="563" t="s">
        <v>284</v>
      </c>
    </row>
    <row r="528" spans="1:61">
      <c r="A528" s="558"/>
      <c r="B528" s="565"/>
      <c r="C528" s="589" t="s">
        <v>745</v>
      </c>
      <c r="D528" s="630"/>
      <c r="E528" s="569"/>
      <c r="F528" s="570"/>
    </row>
    <row r="529" spans="1:6">
      <c r="A529" s="558"/>
      <c r="B529" s="565"/>
      <c r="C529" s="589" t="s">
        <v>746</v>
      </c>
      <c r="D529" s="630"/>
      <c r="E529" s="569"/>
      <c r="F529" s="570"/>
    </row>
    <row r="530" spans="1:6">
      <c r="A530" s="558"/>
      <c r="B530" s="565"/>
      <c r="C530" s="589" t="s">
        <v>747</v>
      </c>
      <c r="D530" s="630"/>
      <c r="E530" s="569"/>
      <c r="F530" s="570"/>
    </row>
    <row r="531" spans="1:6">
      <c r="A531" s="558"/>
      <c r="B531" s="660"/>
      <c r="C531" s="589"/>
      <c r="D531" s="630"/>
      <c r="E531" s="569"/>
      <c r="F531" s="570"/>
    </row>
    <row r="532" spans="1:6">
      <c r="A532" s="558"/>
      <c r="B532" s="565" t="s">
        <v>751</v>
      </c>
      <c r="C532" s="589" t="s">
        <v>752</v>
      </c>
      <c r="D532" s="630" t="s">
        <v>753</v>
      </c>
      <c r="E532" s="562">
        <f>'[2]COSTO LAMINADO CDMX-QRO-GDL'!I515</f>
        <v>27630</v>
      </c>
      <c r="F532" s="563" t="s">
        <v>284</v>
      </c>
    </row>
    <row r="533" spans="1:6">
      <c r="A533" s="558"/>
      <c r="B533" s="565"/>
      <c r="C533" s="589" t="s">
        <v>745</v>
      </c>
      <c r="D533" s="630"/>
      <c r="E533" s="569"/>
      <c r="F533" s="570"/>
    </row>
    <row r="534" spans="1:6">
      <c r="A534" s="558"/>
      <c r="B534" s="660"/>
      <c r="C534" s="589" t="s">
        <v>746</v>
      </c>
      <c r="D534" s="665"/>
      <c r="E534" s="666"/>
      <c r="F534" s="570"/>
    </row>
    <row r="535" spans="1:6">
      <c r="A535" s="558"/>
      <c r="B535" s="660"/>
      <c r="C535" s="589" t="s">
        <v>747</v>
      </c>
      <c r="D535" s="665"/>
      <c r="E535" s="666"/>
      <c r="F535" s="570"/>
    </row>
    <row r="536" spans="1:6">
      <c r="A536" s="558"/>
      <c r="B536" s="660"/>
      <c r="C536" s="589"/>
      <c r="D536" s="665"/>
      <c r="E536" s="666"/>
      <c r="F536" s="570"/>
    </row>
    <row r="537" spans="1:6">
      <c r="A537" s="558"/>
      <c r="B537" s="660"/>
      <c r="C537" s="589"/>
      <c r="D537" s="665"/>
      <c r="E537" s="666"/>
      <c r="F537" s="570"/>
    </row>
    <row r="538" spans="1:6">
      <c r="A538" s="558"/>
      <c r="B538" s="660"/>
      <c r="C538" s="589"/>
      <c r="D538" s="665"/>
      <c r="E538" s="666"/>
      <c r="F538" s="570"/>
    </row>
    <row r="539" spans="1:6">
      <c r="A539" s="558"/>
      <c r="B539" s="565" t="s">
        <v>754</v>
      </c>
      <c r="C539" s="589" t="s">
        <v>755</v>
      </c>
      <c r="D539" s="630" t="s">
        <v>756</v>
      </c>
      <c r="E539" s="562">
        <f>'[2]COSTO LAMINADO CDMX-QRO-GDL'!I522</f>
        <v>44880</v>
      </c>
      <c r="F539" s="563" t="s">
        <v>284</v>
      </c>
    </row>
    <row r="540" spans="1:6">
      <c r="A540" s="558"/>
      <c r="B540" s="660"/>
      <c r="C540" s="589" t="s">
        <v>745</v>
      </c>
      <c r="D540" s="661"/>
      <c r="E540" s="662"/>
      <c r="F540" s="570"/>
    </row>
    <row r="541" spans="1:6">
      <c r="A541" s="558"/>
      <c r="B541" s="660"/>
      <c r="C541" s="589" t="s">
        <v>746</v>
      </c>
      <c r="D541" s="665"/>
      <c r="E541" s="666"/>
      <c r="F541" s="570"/>
    </row>
    <row r="542" spans="1:6">
      <c r="A542" s="558"/>
      <c r="B542" s="660"/>
      <c r="C542" s="663" t="s">
        <v>747</v>
      </c>
      <c r="D542" s="630" t="s">
        <v>757</v>
      </c>
      <c r="E542" s="666">
        <f>'[2]COSTO LAMINADO CDMX-QRO-GDL'!I525</f>
        <v>30000</v>
      </c>
      <c r="F542" s="563" t="s">
        <v>284</v>
      </c>
    </row>
    <row r="543" spans="1:6">
      <c r="A543" s="558"/>
      <c r="B543" s="660"/>
      <c r="C543" s="589"/>
      <c r="D543" s="665"/>
      <c r="E543" s="666"/>
      <c r="F543" s="570"/>
    </row>
    <row r="544" spans="1:6">
      <c r="A544" s="558"/>
      <c r="B544" s="660"/>
      <c r="C544" s="589"/>
      <c r="D544" s="665"/>
      <c r="E544" s="666"/>
      <c r="F544" s="570"/>
    </row>
    <row r="545" spans="1:6">
      <c r="A545" s="558"/>
      <c r="B545" s="565"/>
      <c r="C545" s="589"/>
      <c r="D545" s="665"/>
      <c r="E545" s="666"/>
      <c r="F545" s="570"/>
    </row>
    <row r="546" spans="1:6">
      <c r="A546" s="558"/>
      <c r="B546" s="590"/>
      <c r="C546" s="589"/>
      <c r="D546" s="665"/>
      <c r="E546" s="666"/>
      <c r="F546" s="570"/>
    </row>
    <row r="547" spans="1:6">
      <c r="A547" s="558"/>
      <c r="B547" s="565" t="s">
        <v>758</v>
      </c>
      <c r="C547" s="589" t="s">
        <v>759</v>
      </c>
      <c r="D547" s="630" t="s">
        <v>760</v>
      </c>
      <c r="E547" s="562">
        <f>'[2]COSTO LAMINADO CDMX-QRO-GDL'!I530</f>
        <v>9840</v>
      </c>
      <c r="F547" s="563" t="s">
        <v>284</v>
      </c>
    </row>
    <row r="548" spans="1:6">
      <c r="A548" s="558"/>
      <c r="B548" s="590"/>
      <c r="C548" s="589" t="s">
        <v>761</v>
      </c>
      <c r="D548" s="665"/>
      <c r="E548" s="666"/>
      <c r="F548" s="570"/>
    </row>
    <row r="549" spans="1:6">
      <c r="A549" s="558"/>
      <c r="B549" s="565"/>
      <c r="C549" s="589" t="s">
        <v>762</v>
      </c>
      <c r="D549" s="630"/>
      <c r="E549" s="569"/>
      <c r="F549" s="570"/>
    </row>
    <row r="550" spans="1:6">
      <c r="A550" s="558"/>
      <c r="B550" s="565"/>
      <c r="C550" s="663"/>
      <c r="D550" s="630"/>
      <c r="E550" s="569"/>
      <c r="F550" s="570"/>
    </row>
    <row r="551" spans="1:6">
      <c r="A551" s="558"/>
      <c r="B551" s="565" t="s">
        <v>763</v>
      </c>
      <c r="C551" s="589" t="s">
        <v>759</v>
      </c>
      <c r="D551" s="630" t="s">
        <v>764</v>
      </c>
      <c r="E551" s="562">
        <f>'[2]COSTO LAMINADO CDMX-QRO-GDL'!I534</f>
        <v>10800</v>
      </c>
      <c r="F551" s="563" t="s">
        <v>284</v>
      </c>
    </row>
    <row r="552" spans="1:6">
      <c r="A552" s="558"/>
      <c r="B552" s="590"/>
      <c r="C552" s="589" t="s">
        <v>761</v>
      </c>
      <c r="D552" s="665"/>
      <c r="E552" s="666"/>
      <c r="F552" s="570"/>
    </row>
    <row r="553" spans="1:6">
      <c r="A553" s="558"/>
      <c r="B553" s="565"/>
      <c r="C553" s="589" t="s">
        <v>762</v>
      </c>
      <c r="D553" s="630"/>
      <c r="E553" s="569"/>
      <c r="F553" s="570"/>
    </row>
    <row r="554" spans="1:6">
      <c r="A554" s="558"/>
      <c r="B554" s="565"/>
      <c r="C554" s="589"/>
      <c r="D554" s="630"/>
      <c r="E554" s="569"/>
      <c r="F554" s="570"/>
    </row>
    <row r="555" spans="1:6">
      <c r="A555" s="558"/>
      <c r="B555" s="565" t="s">
        <v>765</v>
      </c>
      <c r="C555" s="589" t="s">
        <v>759</v>
      </c>
      <c r="D555" s="630" t="s">
        <v>766</v>
      </c>
      <c r="E555" s="569">
        <f>'[2]COSTO LAMINADO CDMX-QRO-GDL'!I538</f>
        <v>17460</v>
      </c>
      <c r="F555" s="563" t="s">
        <v>284</v>
      </c>
    </row>
    <row r="556" spans="1:6">
      <c r="A556" s="558"/>
      <c r="B556" s="590"/>
      <c r="C556" s="589" t="s">
        <v>761</v>
      </c>
      <c r="D556" s="665"/>
      <c r="E556" s="569"/>
      <c r="F556" s="570"/>
    </row>
    <row r="557" spans="1:6">
      <c r="A557" s="558"/>
      <c r="B557" s="565"/>
      <c r="C557" s="589" t="s">
        <v>762</v>
      </c>
      <c r="D557" s="630"/>
      <c r="E557" s="569"/>
      <c r="F557" s="570"/>
    </row>
    <row r="558" spans="1:6">
      <c r="A558" s="558"/>
      <c r="B558" s="565"/>
      <c r="C558" s="957" t="s">
        <v>767</v>
      </c>
      <c r="D558" s="630"/>
      <c r="E558" s="569"/>
      <c r="F558" s="570"/>
    </row>
    <row r="559" spans="1:6">
      <c r="A559" s="558"/>
      <c r="B559" s="565"/>
      <c r="C559" s="667"/>
      <c r="D559" s="630"/>
      <c r="E559" s="569"/>
      <c r="F559" s="570"/>
    </row>
    <row r="560" spans="1:6">
      <c r="A560" s="558"/>
      <c r="B560" s="565"/>
      <c r="C560" s="589"/>
      <c r="D560" s="630"/>
      <c r="E560" s="569"/>
      <c r="F560" s="570"/>
    </row>
    <row r="561" spans="1:6">
      <c r="A561" s="585"/>
      <c r="B561" s="552"/>
      <c r="C561" s="553" t="s">
        <v>768</v>
      </c>
      <c r="D561" s="554"/>
      <c r="E561" s="644"/>
      <c r="F561" s="575"/>
    </row>
    <row r="562" spans="1:6">
      <c r="A562" s="576"/>
      <c r="B562" s="559" t="s">
        <v>769</v>
      </c>
      <c r="C562" s="560" t="s">
        <v>770</v>
      </c>
      <c r="D562" s="630" t="s">
        <v>771</v>
      </c>
      <c r="E562" s="562">
        <f>'[2]COSTO LAMINADO CDMX-QRO-GDL'!I545</f>
        <v>18170</v>
      </c>
      <c r="F562" s="563" t="s">
        <v>284</v>
      </c>
    </row>
    <row r="563" spans="1:6">
      <c r="A563" s="576"/>
      <c r="B563" s="668"/>
      <c r="C563" s="560" t="s">
        <v>772</v>
      </c>
      <c r="D563" s="665"/>
      <c r="E563" s="666"/>
      <c r="F563" s="570"/>
    </row>
    <row r="564" spans="1:6">
      <c r="A564" s="594"/>
      <c r="B564" s="669"/>
      <c r="C564" s="670" t="s">
        <v>773</v>
      </c>
      <c r="D564" s="665"/>
      <c r="E564" s="666"/>
      <c r="F564" s="570"/>
    </row>
    <row r="565" spans="1:6">
      <c r="A565" s="594"/>
      <c r="B565" s="559"/>
      <c r="C565" s="560" t="s">
        <v>774</v>
      </c>
      <c r="D565" s="630"/>
      <c r="E565" s="569"/>
      <c r="F565" s="570"/>
    </row>
    <row r="566" spans="1:6">
      <c r="A566" s="576"/>
      <c r="B566" s="559"/>
      <c r="C566" s="560"/>
      <c r="D566" s="630"/>
      <c r="E566" s="569"/>
      <c r="F566" s="570"/>
    </row>
    <row r="567" spans="1:6">
      <c r="A567" s="576"/>
      <c r="B567" s="559" t="s">
        <v>775</v>
      </c>
      <c r="C567" s="560" t="s">
        <v>776</v>
      </c>
      <c r="D567" s="630" t="s">
        <v>777</v>
      </c>
      <c r="E567" s="562">
        <f>'[2]COSTO LAMINADO CDMX-QRO-GDL'!I550</f>
        <v>24170</v>
      </c>
      <c r="F567" s="563" t="s">
        <v>284</v>
      </c>
    </row>
    <row r="568" spans="1:6">
      <c r="A568" s="576"/>
      <c r="B568" s="559"/>
      <c r="C568" s="560" t="s">
        <v>772</v>
      </c>
      <c r="D568" s="630"/>
      <c r="E568" s="569"/>
      <c r="F568" s="570"/>
    </row>
    <row r="569" spans="1:6">
      <c r="A569" s="576"/>
      <c r="B569" s="559"/>
      <c r="C569" s="560" t="s">
        <v>778</v>
      </c>
      <c r="D569" s="630"/>
      <c r="E569" s="569"/>
      <c r="F569" s="570"/>
    </row>
    <row r="570" spans="1:6">
      <c r="A570" s="576"/>
      <c r="B570" s="559"/>
      <c r="C570" s="560" t="s">
        <v>779</v>
      </c>
      <c r="D570" s="630"/>
      <c r="E570" s="646"/>
      <c r="F570" s="570"/>
    </row>
    <row r="571" spans="1:6">
      <c r="A571" s="585"/>
      <c r="B571" s="552"/>
      <c r="C571" s="553" t="s">
        <v>780</v>
      </c>
      <c r="D571" s="554"/>
      <c r="E571" s="644"/>
      <c r="F571" s="575"/>
    </row>
    <row r="572" spans="1:6">
      <c r="A572" s="576"/>
      <c r="B572" s="559" t="s">
        <v>781</v>
      </c>
      <c r="C572" s="560" t="s">
        <v>782</v>
      </c>
      <c r="D572" s="630" t="s">
        <v>783</v>
      </c>
      <c r="E572" s="562">
        <f>'[2]COSTO LAMINADO CDMX-QRO-GDL'!I555</f>
        <v>19400</v>
      </c>
      <c r="F572" s="563" t="s">
        <v>284</v>
      </c>
    </row>
    <row r="573" spans="1:6">
      <c r="A573" s="576"/>
      <c r="B573" s="668"/>
      <c r="C573" s="560" t="s">
        <v>772</v>
      </c>
      <c r="D573" s="665"/>
      <c r="E573" s="666"/>
      <c r="F573" s="570"/>
    </row>
    <row r="574" spans="1:6">
      <c r="A574" s="594"/>
      <c r="B574" s="669"/>
      <c r="C574" s="670" t="s">
        <v>773</v>
      </c>
      <c r="D574" s="665"/>
      <c r="E574" s="666"/>
      <c r="F574" s="570"/>
    </row>
    <row r="575" spans="1:6">
      <c r="A575" s="594"/>
      <c r="B575" s="559"/>
      <c r="C575" s="560" t="s">
        <v>774</v>
      </c>
      <c r="D575" s="630"/>
      <c r="E575" s="569"/>
      <c r="F575" s="570"/>
    </row>
    <row r="576" spans="1:6">
      <c r="A576" s="576"/>
      <c r="B576" s="559"/>
      <c r="C576" s="560"/>
      <c r="D576" s="630"/>
      <c r="E576" s="569"/>
      <c r="F576" s="570"/>
    </row>
    <row r="577" spans="1:61">
      <c r="A577" s="576"/>
      <c r="B577" s="559"/>
      <c r="C577" s="560"/>
      <c r="D577" s="630"/>
      <c r="E577" s="562"/>
      <c r="F577" s="563"/>
    </row>
    <row r="578" spans="1:61">
      <c r="A578" s="576"/>
      <c r="B578" s="559"/>
      <c r="C578" s="560"/>
      <c r="D578" s="630"/>
      <c r="E578" s="569"/>
      <c r="F578" s="570"/>
    </row>
    <row r="579" spans="1:61">
      <c r="A579" s="576"/>
      <c r="B579" s="559"/>
      <c r="C579" s="560"/>
      <c r="D579" s="630"/>
      <c r="E579" s="569"/>
      <c r="F579" s="570"/>
    </row>
    <row r="580" spans="1:61">
      <c r="A580" s="576"/>
      <c r="B580" s="559"/>
      <c r="C580" s="560"/>
      <c r="D580" s="630"/>
      <c r="E580" s="646"/>
      <c r="F580" s="570"/>
    </row>
    <row r="581" spans="1:61" s="538" customFormat="1" ht="15" customHeight="1">
      <c r="A581" s="535" t="s">
        <v>509</v>
      </c>
      <c r="B581" s="536"/>
      <c r="C581" s="1483" t="s">
        <v>784</v>
      </c>
      <c r="D581" s="1485"/>
      <c r="E581" s="1487"/>
      <c r="F581" s="1488"/>
      <c r="G581" s="527"/>
      <c r="H581" s="537"/>
      <c r="I581" s="537"/>
      <c r="J581" s="537"/>
      <c r="K581" s="537"/>
      <c r="L581" s="537"/>
      <c r="M581" s="537"/>
      <c r="N581" s="537"/>
      <c r="O581" s="537"/>
      <c r="P581" s="537"/>
      <c r="Q581" s="537"/>
      <c r="R581" s="537"/>
      <c r="S581" s="537"/>
      <c r="T581" s="537"/>
      <c r="U581" s="537"/>
      <c r="V581" s="537"/>
      <c r="W581" s="537"/>
      <c r="X581" s="537"/>
      <c r="Y581" s="537"/>
      <c r="Z581" s="537"/>
      <c r="AA581" s="537"/>
      <c r="AB581" s="537"/>
      <c r="AC581" s="537"/>
      <c r="AD581" s="537"/>
      <c r="AE581" s="537"/>
      <c r="AF581" s="537"/>
      <c r="AG581" s="537"/>
      <c r="AH581" s="537"/>
      <c r="AI581" s="537"/>
      <c r="AJ581" s="537"/>
      <c r="AK581" s="537"/>
      <c r="AL581" s="537"/>
      <c r="AM581" s="537"/>
      <c r="AN581" s="537"/>
      <c r="AO581" s="537"/>
      <c r="AP581" s="537"/>
      <c r="AQ581" s="537"/>
      <c r="AR581" s="537"/>
      <c r="AS581" s="537"/>
      <c r="AT581" s="537"/>
      <c r="AU581" s="537"/>
      <c r="AV581" s="537"/>
      <c r="AW581" s="537"/>
      <c r="AX581" s="537"/>
      <c r="AY581" s="537"/>
      <c r="AZ581" s="537"/>
      <c r="BA581" s="537"/>
      <c r="BB581" s="537"/>
      <c r="BC581" s="537"/>
      <c r="BD581" s="537"/>
      <c r="BE581" s="537"/>
      <c r="BF581" s="537"/>
      <c r="BG581" s="537"/>
      <c r="BH581" s="537"/>
      <c r="BI581" s="537"/>
    </row>
    <row r="582" spans="1:61" s="542" customFormat="1" ht="15" customHeight="1">
      <c r="A582" s="539" t="s">
        <v>568</v>
      </c>
      <c r="B582" s="540"/>
      <c r="C582" s="1484"/>
      <c r="D582" s="1486"/>
      <c r="E582" s="1489"/>
      <c r="F582" s="1490"/>
      <c r="G582" s="527"/>
      <c r="H582" s="537"/>
      <c r="I582" s="541"/>
      <c r="J582" s="541"/>
      <c r="K582" s="541"/>
      <c r="L582" s="541"/>
      <c r="M582" s="541"/>
      <c r="N582" s="541"/>
      <c r="O582" s="541"/>
      <c r="P582" s="541"/>
      <c r="Q582" s="541"/>
      <c r="R582" s="541"/>
      <c r="S582" s="541"/>
      <c r="T582" s="541"/>
      <c r="U582" s="541"/>
      <c r="V582" s="541"/>
      <c r="W582" s="541"/>
      <c r="X582" s="541"/>
      <c r="Y582" s="541"/>
      <c r="Z582" s="541"/>
      <c r="AA582" s="541"/>
      <c r="AB582" s="541"/>
      <c r="AC582" s="541"/>
      <c r="AD582" s="541"/>
      <c r="AE582" s="541"/>
      <c r="AF582" s="541"/>
      <c r="AG582" s="541"/>
      <c r="AH582" s="541"/>
      <c r="AI582" s="541"/>
      <c r="AJ582" s="541"/>
      <c r="AK582" s="541"/>
      <c r="AL582" s="541"/>
      <c r="AM582" s="541"/>
      <c r="AN582" s="541"/>
      <c r="AO582" s="541"/>
      <c r="AP582" s="541"/>
      <c r="AQ582" s="541"/>
      <c r="AR582" s="541"/>
      <c r="AS582" s="541"/>
      <c r="AT582" s="541"/>
      <c r="AU582" s="541"/>
      <c r="AV582" s="541"/>
      <c r="AW582" s="541"/>
      <c r="AX582" s="541"/>
      <c r="AY582" s="541"/>
      <c r="AZ582" s="541"/>
      <c r="BA582" s="541"/>
      <c r="BB582" s="541"/>
      <c r="BC582" s="541"/>
      <c r="BD582" s="541"/>
      <c r="BE582" s="541"/>
      <c r="BF582" s="541"/>
      <c r="BG582" s="541"/>
      <c r="BH582" s="541"/>
      <c r="BI582" s="541"/>
    </row>
    <row r="583" spans="1:61" s="550" customFormat="1">
      <c r="A583" s="543" t="s">
        <v>512</v>
      </c>
      <c r="B583" s="544" t="s">
        <v>513</v>
      </c>
      <c r="C583" s="201" t="s">
        <v>514</v>
      </c>
      <c r="D583" s="545" t="s">
        <v>515</v>
      </c>
      <c r="E583" s="202" t="s">
        <v>516</v>
      </c>
      <c r="F583" s="546" t="s">
        <v>517</v>
      </c>
      <c r="G583" s="547"/>
      <c r="H583" s="537"/>
      <c r="I583" s="533"/>
      <c r="J583" s="548"/>
      <c r="K583" s="549"/>
      <c r="L583" s="548"/>
      <c r="M583" s="548"/>
      <c r="N583" s="548"/>
      <c r="O583" s="548"/>
      <c r="P583" s="548"/>
      <c r="Q583" s="548"/>
      <c r="R583" s="548"/>
      <c r="S583" s="548"/>
      <c r="T583" s="548"/>
      <c r="U583" s="548"/>
      <c r="V583" s="548"/>
      <c r="W583" s="548"/>
      <c r="X583" s="548"/>
      <c r="Y583" s="548"/>
      <c r="Z583" s="548"/>
      <c r="AA583" s="548"/>
      <c r="AB583" s="548"/>
      <c r="AC583" s="548"/>
      <c r="AD583" s="548"/>
      <c r="AE583" s="548"/>
      <c r="AF583" s="548"/>
      <c r="AG583" s="548"/>
      <c r="AH583" s="548"/>
      <c r="AI583" s="548"/>
      <c r="AJ583" s="548"/>
      <c r="AK583" s="548"/>
      <c r="AL583" s="548"/>
      <c r="AM583" s="548"/>
      <c r="AN583" s="548"/>
      <c r="AO583" s="548"/>
      <c r="AP583" s="548"/>
      <c r="AQ583" s="548"/>
      <c r="AR583" s="548"/>
      <c r="AS583" s="548"/>
      <c r="AT583" s="548"/>
      <c r="AU583" s="548"/>
      <c r="AV583" s="548"/>
      <c r="AW583" s="548"/>
      <c r="AX583" s="548"/>
      <c r="AY583" s="548"/>
      <c r="AZ583" s="548"/>
      <c r="BA583" s="548"/>
      <c r="BB583" s="548"/>
      <c r="BC583" s="548"/>
      <c r="BD583" s="548"/>
      <c r="BE583" s="548"/>
      <c r="BF583" s="548"/>
      <c r="BG583" s="548"/>
      <c r="BH583" s="548"/>
      <c r="BI583" s="548"/>
    </row>
    <row r="584" spans="1:61">
      <c r="A584" s="585"/>
      <c r="B584" s="552"/>
      <c r="C584" s="553" t="s">
        <v>785</v>
      </c>
      <c r="D584" s="554"/>
      <c r="E584" s="586"/>
      <c r="F584" s="575"/>
    </row>
    <row r="585" spans="1:61">
      <c r="A585" s="576"/>
      <c r="B585" s="559" t="s">
        <v>786</v>
      </c>
      <c r="C585" s="560" t="s">
        <v>787</v>
      </c>
      <c r="D585" s="579" t="s">
        <v>788</v>
      </c>
      <c r="E585" s="562">
        <f>'[2]COSTO LAMINADO CDMX-QRO-GDL'!I570</f>
        <v>5060</v>
      </c>
      <c r="F585" s="563" t="s">
        <v>284</v>
      </c>
    </row>
    <row r="586" spans="1:61">
      <c r="A586" s="576"/>
      <c r="B586" s="559" t="s">
        <v>789</v>
      </c>
      <c r="C586" s="560" t="s">
        <v>790</v>
      </c>
      <c r="D586" s="579" t="s">
        <v>791</v>
      </c>
      <c r="E586" s="562">
        <f>'[2]COSTO LAMINADO CDMX-QRO-GDL'!I571</f>
        <v>5130</v>
      </c>
      <c r="F586" s="563" t="s">
        <v>284</v>
      </c>
    </row>
    <row r="587" spans="1:61">
      <c r="A587" s="576"/>
      <c r="B587" s="559" t="s">
        <v>792</v>
      </c>
      <c r="C587" s="560" t="s">
        <v>793</v>
      </c>
      <c r="D587" s="579" t="s">
        <v>794</v>
      </c>
      <c r="E587" s="562">
        <f>'[2]COSTO LAMINADO CDMX-QRO-GDL'!I572</f>
        <v>5880</v>
      </c>
      <c r="F587" s="563" t="s">
        <v>284</v>
      </c>
    </row>
    <row r="588" spans="1:61">
      <c r="A588" s="576"/>
      <c r="B588" s="559"/>
      <c r="C588" s="566"/>
      <c r="D588" s="579"/>
      <c r="E588" s="596"/>
      <c r="F588" s="570"/>
    </row>
    <row r="589" spans="1:61">
      <c r="A589" s="576"/>
      <c r="B589" s="559"/>
      <c r="C589" s="566"/>
      <c r="D589" s="579"/>
      <c r="E589" s="596"/>
      <c r="F589" s="570"/>
    </row>
    <row r="590" spans="1:61">
      <c r="A590" s="576"/>
      <c r="B590" s="559"/>
      <c r="C590" s="560"/>
      <c r="D590" s="579"/>
      <c r="E590" s="596"/>
      <c r="F590" s="570"/>
    </row>
    <row r="591" spans="1:61">
      <c r="A591" s="576"/>
      <c r="B591" s="559"/>
      <c r="C591" s="560"/>
      <c r="D591" s="579"/>
      <c r="E591" s="596"/>
      <c r="F591" s="570"/>
    </row>
    <row r="592" spans="1:61">
      <c r="A592" s="585"/>
      <c r="B592" s="552"/>
      <c r="C592" s="553" t="s">
        <v>795</v>
      </c>
      <c r="D592" s="554"/>
      <c r="E592" s="586"/>
      <c r="F592" s="575"/>
    </row>
    <row r="593" spans="1:61">
      <c r="A593" s="576"/>
      <c r="B593" s="559" t="s">
        <v>796</v>
      </c>
      <c r="C593" s="560" t="s">
        <v>797</v>
      </c>
      <c r="D593" s="579" t="s">
        <v>788</v>
      </c>
      <c r="E593" s="562">
        <f>'[2]COSTO LAMINADO CDMX-QRO-GDL'!I578</f>
        <v>3470</v>
      </c>
      <c r="F593" s="563" t="s">
        <v>284</v>
      </c>
    </row>
    <row r="594" spans="1:61">
      <c r="A594" s="576"/>
      <c r="B594" s="559" t="s">
        <v>798</v>
      </c>
      <c r="C594" s="560" t="s">
        <v>799</v>
      </c>
      <c r="D594" s="579" t="s">
        <v>791</v>
      </c>
      <c r="E594" s="562">
        <f>'[2]COSTO LAMINADO CDMX-QRO-GDL'!I579</f>
        <v>3690</v>
      </c>
      <c r="F594" s="563" t="s">
        <v>284</v>
      </c>
    </row>
    <row r="595" spans="1:61">
      <c r="A595" s="576"/>
      <c r="B595" s="559" t="s">
        <v>800</v>
      </c>
      <c r="C595" s="566"/>
      <c r="D595" s="579" t="s">
        <v>794</v>
      </c>
      <c r="E595" s="562">
        <f>'[2]COSTO LAMINADO CDMX-QRO-GDL'!I580</f>
        <v>4410</v>
      </c>
      <c r="F595" s="563" t="s">
        <v>284</v>
      </c>
    </row>
    <row r="596" spans="1:61">
      <c r="A596" s="576"/>
      <c r="B596" s="559"/>
      <c r="C596" s="560"/>
      <c r="D596" s="579"/>
      <c r="E596" s="596"/>
      <c r="F596" s="570"/>
    </row>
    <row r="597" spans="1:61">
      <c r="A597" s="576"/>
      <c r="B597" s="559"/>
      <c r="C597" s="560"/>
      <c r="D597" s="579"/>
      <c r="E597" s="596"/>
      <c r="F597" s="570"/>
    </row>
    <row r="598" spans="1:61">
      <c r="A598" s="576"/>
      <c r="B598" s="559"/>
      <c r="C598" s="560"/>
      <c r="D598" s="579"/>
      <c r="E598" s="596"/>
      <c r="F598" s="570"/>
    </row>
    <row r="599" spans="1:61">
      <c r="A599" s="576"/>
      <c r="B599" s="559"/>
      <c r="C599" s="560"/>
      <c r="D599" s="579"/>
      <c r="E599" s="671"/>
      <c r="F599" s="570"/>
    </row>
    <row r="600" spans="1:61" s="538" customFormat="1" ht="15" customHeight="1">
      <c r="A600" s="535" t="s">
        <v>509</v>
      </c>
      <c r="B600" s="536"/>
      <c r="C600" s="1483" t="s">
        <v>801</v>
      </c>
      <c r="D600" s="1485"/>
      <c r="E600" s="1487"/>
      <c r="F600" s="1488"/>
      <c r="G600" s="527"/>
      <c r="H600" s="537"/>
      <c r="I600" s="537"/>
      <c r="J600" s="537"/>
      <c r="K600" s="537"/>
      <c r="L600" s="537"/>
      <c r="M600" s="537"/>
      <c r="N600" s="537"/>
      <c r="O600" s="537"/>
      <c r="P600" s="537"/>
      <c r="Q600" s="537"/>
      <c r="R600" s="537"/>
      <c r="S600" s="537"/>
      <c r="T600" s="537"/>
      <c r="U600" s="537"/>
      <c r="V600" s="537"/>
      <c r="W600" s="537"/>
      <c r="X600" s="537"/>
      <c r="Y600" s="537"/>
      <c r="Z600" s="537"/>
      <c r="AA600" s="537"/>
      <c r="AB600" s="537"/>
      <c r="AC600" s="537"/>
      <c r="AD600" s="537"/>
      <c r="AE600" s="537"/>
      <c r="AF600" s="537"/>
      <c r="AG600" s="537"/>
      <c r="AH600" s="537"/>
      <c r="AI600" s="537"/>
      <c r="AJ600" s="537"/>
      <c r="AK600" s="537"/>
      <c r="AL600" s="537"/>
      <c r="AM600" s="537"/>
      <c r="AN600" s="537"/>
      <c r="AO600" s="537"/>
      <c r="AP600" s="537"/>
      <c r="AQ600" s="537"/>
      <c r="AR600" s="537"/>
      <c r="AS600" s="537"/>
      <c r="AT600" s="537"/>
      <c r="AU600" s="537"/>
      <c r="AV600" s="537"/>
      <c r="AW600" s="537"/>
      <c r="AX600" s="537"/>
      <c r="AY600" s="537"/>
      <c r="AZ600" s="537"/>
      <c r="BA600" s="537"/>
      <c r="BB600" s="537"/>
      <c r="BC600" s="537"/>
      <c r="BD600" s="537"/>
      <c r="BE600" s="537"/>
      <c r="BF600" s="537"/>
      <c r="BG600" s="537"/>
      <c r="BH600" s="537"/>
      <c r="BI600" s="537"/>
    </row>
    <row r="601" spans="1:61" s="542" customFormat="1" ht="15" customHeight="1">
      <c r="A601" s="539" t="s">
        <v>568</v>
      </c>
      <c r="B601" s="540"/>
      <c r="C601" s="1484"/>
      <c r="D601" s="1486"/>
      <c r="E601" s="1489"/>
      <c r="F601" s="1490"/>
      <c r="G601" s="527"/>
      <c r="H601" s="537"/>
      <c r="I601" s="541"/>
      <c r="J601" s="541"/>
      <c r="K601" s="541"/>
      <c r="L601" s="541"/>
      <c r="M601" s="541"/>
      <c r="N601" s="541"/>
      <c r="O601" s="541"/>
      <c r="P601" s="541"/>
      <c r="Q601" s="541"/>
      <c r="R601" s="541"/>
      <c r="S601" s="541"/>
      <c r="T601" s="541"/>
      <c r="U601" s="541"/>
      <c r="V601" s="541"/>
      <c r="W601" s="541"/>
      <c r="X601" s="541"/>
      <c r="Y601" s="541"/>
      <c r="Z601" s="541"/>
      <c r="AA601" s="541"/>
      <c r="AB601" s="541"/>
      <c r="AC601" s="541"/>
      <c r="AD601" s="541"/>
      <c r="AE601" s="541"/>
      <c r="AF601" s="541"/>
      <c r="AG601" s="541"/>
      <c r="AH601" s="541"/>
      <c r="AI601" s="541"/>
      <c r="AJ601" s="541"/>
      <c r="AK601" s="541"/>
      <c r="AL601" s="541"/>
      <c r="AM601" s="541"/>
      <c r="AN601" s="541"/>
      <c r="AO601" s="541"/>
      <c r="AP601" s="541"/>
      <c r="AQ601" s="541"/>
      <c r="AR601" s="541"/>
      <c r="AS601" s="541"/>
      <c r="AT601" s="541"/>
      <c r="AU601" s="541"/>
      <c r="AV601" s="541"/>
      <c r="AW601" s="541"/>
      <c r="AX601" s="541"/>
      <c r="AY601" s="541"/>
      <c r="AZ601" s="541"/>
      <c r="BA601" s="541"/>
      <c r="BB601" s="541"/>
      <c r="BC601" s="541"/>
      <c r="BD601" s="541"/>
      <c r="BE601" s="541"/>
      <c r="BF601" s="541"/>
      <c r="BG601" s="541"/>
      <c r="BH601" s="541"/>
      <c r="BI601" s="541"/>
    </row>
    <row r="602" spans="1:61" s="550" customFormat="1">
      <c r="A602" s="543" t="s">
        <v>512</v>
      </c>
      <c r="B602" s="544" t="s">
        <v>513</v>
      </c>
      <c r="C602" s="201" t="s">
        <v>514</v>
      </c>
      <c r="D602" s="545" t="s">
        <v>515</v>
      </c>
      <c r="E602" s="202" t="s">
        <v>516</v>
      </c>
      <c r="F602" s="546" t="s">
        <v>517</v>
      </c>
      <c r="G602" s="547"/>
      <c r="H602" s="537"/>
      <c r="I602" s="533"/>
      <c r="J602" s="548"/>
      <c r="K602" s="549"/>
      <c r="L602" s="548"/>
      <c r="M602" s="548"/>
      <c r="N602" s="548"/>
      <c r="O602" s="548"/>
      <c r="P602" s="548"/>
      <c r="Q602" s="548"/>
      <c r="R602" s="548"/>
      <c r="S602" s="548"/>
      <c r="T602" s="548"/>
      <c r="U602" s="548"/>
      <c r="V602" s="548"/>
      <c r="W602" s="548"/>
      <c r="X602" s="548"/>
      <c r="Y602" s="548"/>
      <c r="Z602" s="548"/>
      <c r="AA602" s="548"/>
      <c r="AB602" s="548"/>
      <c r="AC602" s="548"/>
      <c r="AD602" s="548"/>
      <c r="AE602" s="548"/>
      <c r="AF602" s="548"/>
      <c r="AG602" s="548"/>
      <c r="AH602" s="548"/>
      <c r="AI602" s="548"/>
      <c r="AJ602" s="548"/>
      <c r="AK602" s="548"/>
      <c r="AL602" s="548"/>
      <c r="AM602" s="548"/>
      <c r="AN602" s="548"/>
      <c r="AO602" s="548"/>
      <c r="AP602" s="548"/>
      <c r="AQ602" s="548"/>
      <c r="AR602" s="548"/>
      <c r="AS602" s="548"/>
      <c r="AT602" s="548"/>
      <c r="AU602" s="548"/>
      <c r="AV602" s="548"/>
      <c r="AW602" s="548"/>
      <c r="AX602" s="548"/>
      <c r="AY602" s="548"/>
      <c r="AZ602" s="548"/>
      <c r="BA602" s="548"/>
      <c r="BB602" s="548"/>
      <c r="BC602" s="548"/>
      <c r="BD602" s="548"/>
      <c r="BE602" s="548"/>
      <c r="BF602" s="548"/>
      <c r="BG602" s="548"/>
      <c r="BH602" s="548"/>
      <c r="BI602" s="548"/>
    </row>
    <row r="603" spans="1:61">
      <c r="A603" s="585"/>
      <c r="B603" s="552"/>
      <c r="C603" s="553" t="s">
        <v>802</v>
      </c>
      <c r="D603" s="554"/>
      <c r="E603" s="586"/>
      <c r="F603" s="575"/>
    </row>
    <row r="604" spans="1:61">
      <c r="A604" s="576"/>
      <c r="B604" s="559" t="s">
        <v>803</v>
      </c>
      <c r="C604" s="560" t="s">
        <v>804</v>
      </c>
      <c r="D604" s="579" t="s">
        <v>805</v>
      </c>
      <c r="E604" s="562">
        <f>'[2]COSTO LAMINADO CDMX-QRO-GDL'!I589</f>
        <v>3850</v>
      </c>
      <c r="F604" s="563" t="s">
        <v>284</v>
      </c>
    </row>
    <row r="605" spans="1:61">
      <c r="A605" s="576"/>
      <c r="B605" s="559"/>
      <c r="C605" s="560" t="s">
        <v>806</v>
      </c>
      <c r="D605" s="579"/>
      <c r="E605" s="596"/>
      <c r="F605" s="570"/>
    </row>
    <row r="606" spans="1:61">
      <c r="A606" s="576"/>
      <c r="B606" s="559"/>
      <c r="C606" s="560"/>
      <c r="D606" s="579"/>
      <c r="E606" s="596"/>
      <c r="F606" s="570"/>
    </row>
    <row r="607" spans="1:61">
      <c r="A607" s="576"/>
      <c r="B607" s="559"/>
      <c r="C607" s="560"/>
      <c r="D607" s="579"/>
      <c r="E607" s="596"/>
      <c r="F607" s="570"/>
    </row>
    <row r="608" spans="1:61">
      <c r="A608" s="576"/>
      <c r="B608" s="559"/>
      <c r="C608" s="560"/>
      <c r="D608" s="579"/>
      <c r="E608" s="596"/>
      <c r="F608" s="570"/>
    </row>
    <row r="609" spans="1:61">
      <c r="A609" s="576"/>
      <c r="B609" s="559" t="s">
        <v>807</v>
      </c>
      <c r="C609" s="560" t="s">
        <v>804</v>
      </c>
      <c r="D609" s="579" t="s">
        <v>808</v>
      </c>
      <c r="E609" s="562">
        <f>'[2]COSTO LAMINADO CDMX-QRO-GDL'!I594</f>
        <v>4970</v>
      </c>
      <c r="F609" s="563" t="s">
        <v>284</v>
      </c>
    </row>
    <row r="610" spans="1:61">
      <c r="A610" s="576"/>
      <c r="B610" s="559"/>
      <c r="C610" s="560" t="s">
        <v>806</v>
      </c>
      <c r="D610" s="579"/>
      <c r="E610" s="596"/>
      <c r="F610" s="570"/>
    </row>
    <row r="611" spans="1:61">
      <c r="A611" s="576"/>
      <c r="B611" s="559"/>
      <c r="C611" s="560"/>
      <c r="D611" s="579"/>
      <c r="E611" s="596"/>
      <c r="F611" s="570"/>
    </row>
    <row r="612" spans="1:61">
      <c r="A612" s="576"/>
      <c r="B612" s="559"/>
      <c r="C612" s="560"/>
      <c r="D612" s="579"/>
      <c r="E612" s="596"/>
      <c r="F612" s="570"/>
    </row>
    <row r="613" spans="1:61">
      <c r="A613" s="576"/>
      <c r="B613" s="559"/>
      <c r="C613" s="560"/>
      <c r="D613" s="579"/>
      <c r="E613" s="596"/>
      <c r="F613" s="570"/>
    </row>
    <row r="614" spans="1:61">
      <c r="A614" s="576"/>
      <c r="B614" s="559" t="s">
        <v>809</v>
      </c>
      <c r="C614" s="560" t="s">
        <v>804</v>
      </c>
      <c r="D614" s="579" t="s">
        <v>810</v>
      </c>
      <c r="E614" s="562">
        <f>'[2]COSTO LAMINADO CDMX-QRO-GDL'!I599</f>
        <v>5430</v>
      </c>
      <c r="F614" s="563" t="s">
        <v>284</v>
      </c>
    </row>
    <row r="615" spans="1:61">
      <c r="A615" s="576"/>
      <c r="B615" s="559"/>
      <c r="C615" s="560" t="s">
        <v>806</v>
      </c>
      <c r="D615" s="579"/>
      <c r="E615" s="596"/>
      <c r="F615" s="570"/>
    </row>
    <row r="616" spans="1:61">
      <c r="A616" s="576"/>
      <c r="B616" s="559"/>
      <c r="C616" s="560"/>
      <c r="D616" s="579"/>
      <c r="E616" s="596"/>
      <c r="F616" s="570"/>
    </row>
    <row r="617" spans="1:61">
      <c r="A617" s="576"/>
      <c r="B617" s="559"/>
      <c r="C617" s="560"/>
      <c r="D617" s="579"/>
      <c r="E617" s="596"/>
      <c r="F617" s="570"/>
    </row>
    <row r="618" spans="1:61">
      <c r="A618" s="576"/>
      <c r="B618" s="559"/>
      <c r="C618" s="560"/>
      <c r="D618" s="579"/>
      <c r="E618" s="671"/>
      <c r="F618" s="570"/>
    </row>
    <row r="619" spans="1:61" s="538" customFormat="1" ht="15" customHeight="1">
      <c r="A619" s="535" t="s">
        <v>509</v>
      </c>
      <c r="B619" s="536"/>
      <c r="C619" s="1483" t="s">
        <v>811</v>
      </c>
      <c r="D619" s="1485"/>
      <c r="E619" s="1487"/>
      <c r="F619" s="1488"/>
      <c r="G619" s="527"/>
      <c r="H619" s="537"/>
      <c r="I619" s="537"/>
      <c r="J619" s="537"/>
      <c r="K619" s="537"/>
      <c r="L619" s="537"/>
      <c r="M619" s="537"/>
      <c r="N619" s="537"/>
      <c r="O619" s="537"/>
      <c r="P619" s="537"/>
      <c r="Q619" s="537"/>
      <c r="R619" s="537"/>
      <c r="S619" s="537"/>
      <c r="T619" s="537"/>
      <c r="U619" s="537"/>
      <c r="V619" s="537"/>
      <c r="W619" s="537"/>
      <c r="X619" s="537"/>
      <c r="Y619" s="537"/>
      <c r="Z619" s="537"/>
      <c r="AA619" s="537"/>
      <c r="AB619" s="537"/>
      <c r="AC619" s="537"/>
      <c r="AD619" s="537"/>
      <c r="AE619" s="537"/>
      <c r="AF619" s="537"/>
      <c r="AG619" s="537"/>
      <c r="AH619" s="537"/>
      <c r="AI619" s="537"/>
      <c r="AJ619" s="537"/>
      <c r="AK619" s="537"/>
      <c r="AL619" s="537"/>
      <c r="AM619" s="537"/>
      <c r="AN619" s="537"/>
      <c r="AO619" s="537"/>
      <c r="AP619" s="537"/>
      <c r="AQ619" s="537"/>
      <c r="AR619" s="537"/>
      <c r="AS619" s="537"/>
      <c r="AT619" s="537"/>
      <c r="AU619" s="537"/>
      <c r="AV619" s="537"/>
      <c r="AW619" s="537"/>
      <c r="AX619" s="537"/>
      <c r="AY619" s="537"/>
      <c r="AZ619" s="537"/>
      <c r="BA619" s="537"/>
      <c r="BB619" s="537"/>
      <c r="BC619" s="537"/>
      <c r="BD619" s="537"/>
      <c r="BE619" s="537"/>
      <c r="BF619" s="537"/>
      <c r="BG619" s="537"/>
      <c r="BH619" s="537"/>
      <c r="BI619" s="537"/>
    </row>
    <row r="620" spans="1:61" s="542" customFormat="1" ht="15" customHeight="1">
      <c r="A620" s="539" t="s">
        <v>568</v>
      </c>
      <c r="B620" s="540"/>
      <c r="C620" s="1484"/>
      <c r="D620" s="1486"/>
      <c r="E620" s="1489"/>
      <c r="F620" s="1490"/>
      <c r="G620" s="527"/>
      <c r="H620" s="537"/>
      <c r="I620" s="541"/>
      <c r="J620" s="541"/>
      <c r="K620" s="541"/>
      <c r="L620" s="541"/>
      <c r="M620" s="541"/>
      <c r="N620" s="541"/>
      <c r="O620" s="541"/>
      <c r="P620" s="541"/>
      <c r="Q620" s="541"/>
      <c r="R620" s="541"/>
      <c r="S620" s="541"/>
      <c r="T620" s="541"/>
      <c r="U620" s="541"/>
      <c r="V620" s="541"/>
      <c r="W620" s="541"/>
      <c r="X620" s="541"/>
      <c r="Y620" s="541"/>
      <c r="Z620" s="541"/>
      <c r="AA620" s="541"/>
      <c r="AB620" s="541"/>
      <c r="AC620" s="541"/>
      <c r="AD620" s="541"/>
      <c r="AE620" s="541"/>
      <c r="AF620" s="541"/>
      <c r="AG620" s="541"/>
      <c r="AH620" s="541"/>
      <c r="AI620" s="541"/>
      <c r="AJ620" s="541"/>
      <c r="AK620" s="541"/>
      <c r="AL620" s="541"/>
      <c r="AM620" s="541"/>
      <c r="AN620" s="541"/>
      <c r="AO620" s="541"/>
      <c r="AP620" s="541"/>
      <c r="AQ620" s="541"/>
      <c r="AR620" s="541"/>
      <c r="AS620" s="541"/>
      <c r="AT620" s="541"/>
      <c r="AU620" s="541"/>
      <c r="AV620" s="541"/>
      <c r="AW620" s="541"/>
      <c r="AX620" s="541"/>
      <c r="AY620" s="541"/>
      <c r="AZ620" s="541"/>
      <c r="BA620" s="541"/>
      <c r="BB620" s="541"/>
      <c r="BC620" s="541"/>
      <c r="BD620" s="541"/>
      <c r="BE620" s="541"/>
      <c r="BF620" s="541"/>
      <c r="BG620" s="541"/>
      <c r="BH620" s="541"/>
      <c r="BI620" s="541"/>
    </row>
    <row r="621" spans="1:61" s="550" customFormat="1">
      <c r="A621" s="543" t="s">
        <v>512</v>
      </c>
      <c r="B621" s="544" t="s">
        <v>513</v>
      </c>
      <c r="C621" s="201" t="s">
        <v>514</v>
      </c>
      <c r="D621" s="545" t="s">
        <v>515</v>
      </c>
      <c r="E621" s="202" t="s">
        <v>516</v>
      </c>
      <c r="F621" s="546" t="s">
        <v>517</v>
      </c>
      <c r="G621" s="547"/>
      <c r="H621" s="537"/>
      <c r="I621" s="533"/>
      <c r="J621" s="548"/>
      <c r="K621" s="549"/>
      <c r="L621" s="548"/>
      <c r="M621" s="548"/>
      <c r="N621" s="548"/>
      <c r="O621" s="548"/>
      <c r="P621" s="548"/>
      <c r="Q621" s="548"/>
      <c r="R621" s="548"/>
      <c r="S621" s="548"/>
      <c r="T621" s="548"/>
      <c r="U621" s="548"/>
      <c r="V621" s="548"/>
      <c r="W621" s="548"/>
      <c r="X621" s="548"/>
      <c r="Y621" s="548"/>
      <c r="Z621" s="548"/>
      <c r="AA621" s="548"/>
      <c r="AB621" s="548"/>
      <c r="AC621" s="548"/>
      <c r="AD621" s="548"/>
      <c r="AE621" s="548"/>
      <c r="AF621" s="548"/>
      <c r="AG621" s="548"/>
      <c r="AH621" s="548"/>
      <c r="AI621" s="548"/>
      <c r="AJ621" s="548"/>
      <c r="AK621" s="548"/>
      <c r="AL621" s="548"/>
      <c r="AM621" s="548"/>
      <c r="AN621" s="548"/>
      <c r="AO621" s="548"/>
      <c r="AP621" s="548"/>
      <c r="AQ621" s="548"/>
      <c r="AR621" s="548"/>
      <c r="AS621" s="548"/>
      <c r="AT621" s="548"/>
      <c r="AU621" s="548"/>
      <c r="AV621" s="548"/>
      <c r="AW621" s="548"/>
      <c r="AX621" s="548"/>
      <c r="AY621" s="548"/>
      <c r="AZ621" s="548"/>
      <c r="BA621" s="548"/>
      <c r="BB621" s="548"/>
      <c r="BC621" s="548"/>
      <c r="BD621" s="548"/>
      <c r="BE621" s="548"/>
      <c r="BF621" s="548"/>
      <c r="BG621" s="548"/>
      <c r="BH621" s="548"/>
      <c r="BI621" s="548"/>
    </row>
    <row r="622" spans="1:61">
      <c r="A622" s="585"/>
      <c r="B622" s="552"/>
      <c r="C622" s="553" t="s">
        <v>812</v>
      </c>
      <c r="D622" s="554"/>
      <c r="E622" s="586"/>
      <c r="F622" s="575"/>
    </row>
    <row r="623" spans="1:61">
      <c r="A623" s="576"/>
      <c r="B623" s="565" t="s">
        <v>813</v>
      </c>
      <c r="C623" s="626" t="s">
        <v>814</v>
      </c>
      <c r="D623" s="561" t="s">
        <v>815</v>
      </c>
      <c r="E623" s="562">
        <f>'[2]COSTO LAMINADO CDMX-QRO-GDL'!I613</f>
        <v>19640</v>
      </c>
      <c r="F623" s="563" t="s">
        <v>284</v>
      </c>
    </row>
    <row r="624" spans="1:61">
      <c r="A624" s="576"/>
      <c r="B624" s="565" t="s">
        <v>816</v>
      </c>
      <c r="C624" s="626" t="s">
        <v>817</v>
      </c>
      <c r="D624" s="561" t="s">
        <v>818</v>
      </c>
      <c r="E624" s="562">
        <f>'[2]COSTO LAMINADO CDMX-QRO-GDL'!I614</f>
        <v>20590</v>
      </c>
      <c r="F624" s="563" t="s">
        <v>284</v>
      </c>
    </row>
    <row r="625" spans="1:6">
      <c r="A625" s="576"/>
      <c r="B625" s="565"/>
      <c r="C625" s="626" t="s">
        <v>819</v>
      </c>
      <c r="D625" s="561"/>
      <c r="E625" s="569"/>
      <c r="F625" s="570"/>
    </row>
    <row r="626" spans="1:6">
      <c r="A626" s="576"/>
      <c r="B626" s="565"/>
      <c r="C626" s="626"/>
      <c r="D626" s="561"/>
      <c r="E626" s="569"/>
      <c r="F626" s="570"/>
    </row>
    <row r="627" spans="1:6">
      <c r="A627" s="576"/>
      <c r="B627" s="565"/>
      <c r="C627" s="626"/>
      <c r="D627" s="561"/>
      <c r="E627" s="569"/>
      <c r="F627" s="570"/>
    </row>
    <row r="628" spans="1:6">
      <c r="A628" s="576"/>
      <c r="B628" s="565"/>
      <c r="C628" s="626"/>
      <c r="D628" s="561"/>
      <c r="E628" s="569"/>
      <c r="F628" s="570"/>
    </row>
    <row r="629" spans="1:6">
      <c r="A629" s="576"/>
      <c r="B629" s="565"/>
      <c r="C629" s="626"/>
      <c r="D629" s="561"/>
      <c r="E629" s="569"/>
      <c r="F629" s="570"/>
    </row>
    <row r="630" spans="1:6">
      <c r="A630" s="576"/>
      <c r="B630" s="565"/>
      <c r="C630" s="626"/>
      <c r="D630" s="561"/>
      <c r="E630" s="569"/>
      <c r="F630" s="570"/>
    </row>
    <row r="631" spans="1:6">
      <c r="A631" s="576"/>
      <c r="B631" s="565"/>
      <c r="C631" s="626"/>
      <c r="D631" s="561"/>
      <c r="E631" s="569"/>
      <c r="F631" s="570"/>
    </row>
    <row r="632" spans="1:6">
      <c r="A632" s="576"/>
      <c r="B632" s="565"/>
      <c r="C632" s="626"/>
      <c r="D632" s="561"/>
      <c r="E632" s="569"/>
      <c r="F632" s="570"/>
    </row>
    <row r="633" spans="1:6">
      <c r="A633" s="576"/>
      <c r="B633" s="565"/>
      <c r="C633" s="626"/>
      <c r="D633" s="561"/>
      <c r="E633" s="569"/>
      <c r="F633" s="570"/>
    </row>
    <row r="634" spans="1:6">
      <c r="A634" s="576"/>
      <c r="B634" s="565"/>
      <c r="C634" s="626"/>
      <c r="D634" s="561"/>
      <c r="E634" s="569"/>
      <c r="F634" s="570"/>
    </row>
    <row r="635" spans="1:6">
      <c r="A635" s="576"/>
      <c r="B635" s="565"/>
      <c r="C635" s="626"/>
      <c r="D635" s="561"/>
      <c r="E635" s="569"/>
      <c r="F635" s="570"/>
    </row>
    <row r="636" spans="1:6">
      <c r="A636" s="576"/>
      <c r="B636" s="565" t="s">
        <v>820</v>
      </c>
      <c r="C636" s="626" t="s">
        <v>821</v>
      </c>
      <c r="D636" s="561" t="s">
        <v>822</v>
      </c>
      <c r="E636" s="562">
        <f>'[2]COSTO LAMINADO CDMX-QRO-GDL'!I626</f>
        <v>9080</v>
      </c>
      <c r="F636" s="563" t="s">
        <v>284</v>
      </c>
    </row>
    <row r="637" spans="1:6">
      <c r="A637" s="576"/>
      <c r="B637" s="565"/>
      <c r="C637" s="626" t="s">
        <v>823</v>
      </c>
      <c r="D637" s="561"/>
      <c r="E637" s="569"/>
      <c r="F637" s="570"/>
    </row>
    <row r="638" spans="1:6">
      <c r="A638" s="576"/>
      <c r="B638" s="565"/>
      <c r="C638" s="626" t="s">
        <v>824</v>
      </c>
      <c r="D638" s="561"/>
      <c r="E638" s="569"/>
      <c r="F638" s="570"/>
    </row>
    <row r="639" spans="1:6">
      <c r="A639" s="576"/>
      <c r="B639" s="565"/>
      <c r="C639" s="626"/>
      <c r="D639" s="561"/>
      <c r="E639" s="569"/>
      <c r="F639" s="570"/>
    </row>
    <row r="640" spans="1:6">
      <c r="A640" s="576"/>
      <c r="B640" s="565"/>
      <c r="C640" s="626"/>
      <c r="D640" s="561"/>
      <c r="E640" s="569"/>
      <c r="F640" s="570"/>
    </row>
    <row r="641" spans="1:6">
      <c r="A641" s="576"/>
      <c r="B641" s="565"/>
      <c r="C641" s="626"/>
      <c r="D641" s="561"/>
      <c r="E641" s="569"/>
      <c r="F641" s="570"/>
    </row>
    <row r="642" spans="1:6">
      <c r="A642" s="576"/>
      <c r="B642" s="565"/>
      <c r="C642" s="626"/>
      <c r="D642" s="561"/>
      <c r="E642" s="569"/>
      <c r="F642" s="570"/>
    </row>
    <row r="643" spans="1:6">
      <c r="A643" s="576"/>
      <c r="B643" s="565"/>
      <c r="C643" s="626"/>
      <c r="D643" s="561"/>
      <c r="E643" s="569"/>
      <c r="F643" s="570"/>
    </row>
    <row r="644" spans="1:6">
      <c r="A644" s="576"/>
      <c r="B644" s="565"/>
      <c r="C644" s="626"/>
      <c r="D644" s="561"/>
      <c r="E644" s="569"/>
      <c r="F644" s="570"/>
    </row>
    <row r="645" spans="1:6">
      <c r="A645" s="576"/>
      <c r="B645" s="565"/>
      <c r="C645" s="626"/>
      <c r="D645" s="561"/>
      <c r="E645" s="569"/>
      <c r="F645" s="570"/>
    </row>
    <row r="646" spans="1:6">
      <c r="A646" s="576"/>
      <c r="B646" s="565"/>
      <c r="C646" s="626"/>
      <c r="D646" s="561"/>
      <c r="E646" s="569"/>
      <c r="F646" s="570"/>
    </row>
    <row r="647" spans="1:6">
      <c r="A647" s="576"/>
      <c r="B647" s="565"/>
      <c r="C647" s="626"/>
      <c r="D647" s="561"/>
      <c r="E647" s="569"/>
      <c r="F647" s="570"/>
    </row>
    <row r="648" spans="1:6">
      <c r="A648" s="672"/>
      <c r="B648" s="673"/>
      <c r="C648" s="674" t="s">
        <v>825</v>
      </c>
      <c r="D648" s="675"/>
      <c r="E648" s="676"/>
      <c r="F648" s="575"/>
    </row>
    <row r="649" spans="1:6">
      <c r="A649" s="558"/>
      <c r="B649" s="629"/>
      <c r="C649" s="626"/>
      <c r="D649" s="677"/>
      <c r="E649" s="678"/>
      <c r="F649" s="570"/>
    </row>
    <row r="650" spans="1:6">
      <c r="A650" s="558"/>
      <c r="B650" s="629"/>
      <c r="C650" s="626"/>
      <c r="D650" s="677"/>
      <c r="E650" s="678"/>
      <c r="F650" s="570"/>
    </row>
    <row r="651" spans="1:6">
      <c r="A651" s="558"/>
      <c r="B651" s="629"/>
      <c r="C651" s="626"/>
      <c r="D651" s="677"/>
      <c r="E651" s="678"/>
      <c r="F651" s="570"/>
    </row>
    <row r="652" spans="1:6">
      <c r="A652" s="558"/>
      <c r="B652" s="629"/>
      <c r="C652" s="626"/>
      <c r="D652" s="677"/>
      <c r="E652" s="678"/>
      <c r="F652" s="570"/>
    </row>
    <row r="653" spans="1:6">
      <c r="A653" s="558"/>
      <c r="B653" s="629"/>
      <c r="C653" s="626"/>
      <c r="D653" s="677"/>
      <c r="E653" s="678"/>
      <c r="F653" s="570"/>
    </row>
    <row r="654" spans="1:6">
      <c r="A654" s="558"/>
      <c r="B654" s="629"/>
      <c r="C654" s="626"/>
      <c r="D654" s="677"/>
      <c r="E654" s="678"/>
      <c r="F654" s="570"/>
    </row>
    <row r="655" spans="1:6">
      <c r="A655" s="558"/>
      <c r="B655" s="629"/>
      <c r="C655" s="626"/>
      <c r="D655" s="677"/>
      <c r="E655" s="678"/>
      <c r="F655" s="570"/>
    </row>
    <row r="656" spans="1:6">
      <c r="A656" s="558"/>
      <c r="B656" s="629"/>
      <c r="C656" s="626"/>
      <c r="D656" s="677"/>
      <c r="E656" s="678"/>
      <c r="F656" s="570"/>
    </row>
    <row r="657" spans="1:61">
      <c r="A657" s="558"/>
      <c r="B657" s="629"/>
      <c r="C657" s="626"/>
      <c r="D657" s="677"/>
      <c r="E657" s="678"/>
      <c r="F657" s="570"/>
    </row>
    <row r="658" spans="1:61">
      <c r="A658" s="558"/>
      <c r="B658" s="629"/>
      <c r="C658" s="626"/>
      <c r="D658" s="677"/>
      <c r="E658" s="678"/>
      <c r="F658" s="570"/>
    </row>
    <row r="659" spans="1:61">
      <c r="A659" s="558"/>
      <c r="B659" s="629"/>
      <c r="C659" s="626"/>
      <c r="D659" s="677"/>
      <c r="E659" s="678"/>
      <c r="F659" s="570"/>
    </row>
    <row r="660" spans="1:61">
      <c r="A660" s="558"/>
      <c r="B660" s="629"/>
      <c r="C660" s="626"/>
      <c r="D660" s="677"/>
      <c r="E660" s="678"/>
      <c r="F660" s="570"/>
    </row>
    <row r="661" spans="1:61">
      <c r="A661" s="558"/>
      <c r="B661" s="629"/>
      <c r="C661" s="626"/>
      <c r="D661" s="677"/>
      <c r="E661" s="678"/>
      <c r="F661" s="570"/>
    </row>
    <row r="662" spans="1:61">
      <c r="A662" s="558"/>
      <c r="B662" s="629"/>
      <c r="C662" s="626"/>
      <c r="D662" s="677"/>
      <c r="E662" s="678"/>
      <c r="F662" s="570"/>
    </row>
    <row r="663" spans="1:61">
      <c r="A663" s="558"/>
      <c r="B663" s="629"/>
      <c r="C663" s="626"/>
      <c r="D663" s="677"/>
      <c r="E663" s="678"/>
      <c r="F663" s="570"/>
    </row>
    <row r="664" spans="1:61">
      <c r="A664" s="679"/>
      <c r="B664" s="629"/>
      <c r="C664" s="626"/>
      <c r="D664" s="677"/>
      <c r="E664" s="678"/>
      <c r="F664" s="570"/>
    </row>
    <row r="665" spans="1:61">
      <c r="A665" s="679"/>
      <c r="B665" s="629"/>
      <c r="C665" s="626"/>
      <c r="D665" s="677"/>
      <c r="E665" s="678"/>
      <c r="F665" s="570"/>
    </row>
    <row r="666" spans="1:61">
      <c r="A666" s="679"/>
      <c r="B666" s="629"/>
      <c r="C666" s="626"/>
      <c r="D666" s="630"/>
      <c r="E666" s="631"/>
      <c r="F666" s="570"/>
    </row>
    <row r="667" spans="1:61">
      <c r="A667" s="558"/>
      <c r="B667" s="629"/>
      <c r="C667" s="626"/>
      <c r="D667" s="630"/>
      <c r="E667" s="631"/>
      <c r="F667" s="570"/>
    </row>
    <row r="668" spans="1:61">
      <c r="A668" s="679"/>
      <c r="B668" s="680"/>
      <c r="C668" s="681"/>
      <c r="D668" s="665"/>
      <c r="E668" s="682"/>
      <c r="F668" s="570"/>
    </row>
    <row r="669" spans="1:61" s="538" customFormat="1" ht="15" customHeight="1">
      <c r="A669" s="535" t="s">
        <v>509</v>
      </c>
      <c r="B669" s="536"/>
      <c r="C669" s="1483" t="s">
        <v>826</v>
      </c>
      <c r="D669" s="1485"/>
      <c r="E669" s="1487"/>
      <c r="F669" s="1488"/>
      <c r="G669" s="527"/>
      <c r="H669" s="537"/>
      <c r="I669" s="537"/>
      <c r="J669" s="537"/>
      <c r="K669" s="537"/>
      <c r="L669" s="537"/>
      <c r="M669" s="537"/>
      <c r="N669" s="537"/>
      <c r="O669" s="537"/>
      <c r="P669" s="537"/>
      <c r="Q669" s="537"/>
      <c r="R669" s="537"/>
      <c r="S669" s="537"/>
      <c r="T669" s="537"/>
      <c r="U669" s="537"/>
      <c r="V669" s="537"/>
      <c r="W669" s="537"/>
      <c r="X669" s="537"/>
      <c r="Y669" s="537"/>
      <c r="Z669" s="537"/>
      <c r="AA669" s="537"/>
      <c r="AB669" s="537"/>
      <c r="AC669" s="537"/>
      <c r="AD669" s="537"/>
      <c r="AE669" s="537"/>
      <c r="AF669" s="537"/>
      <c r="AG669" s="537"/>
      <c r="AH669" s="537"/>
      <c r="AI669" s="537"/>
      <c r="AJ669" s="537"/>
      <c r="AK669" s="537"/>
      <c r="AL669" s="537"/>
      <c r="AM669" s="537"/>
      <c r="AN669" s="537"/>
      <c r="AO669" s="537"/>
      <c r="AP669" s="537"/>
      <c r="AQ669" s="537"/>
      <c r="AR669" s="537"/>
      <c r="AS669" s="537"/>
      <c r="AT669" s="537"/>
      <c r="AU669" s="537"/>
      <c r="AV669" s="537"/>
      <c r="AW669" s="537"/>
      <c r="AX669" s="537"/>
      <c r="AY669" s="537"/>
      <c r="AZ669" s="537"/>
      <c r="BA669" s="537"/>
      <c r="BB669" s="537"/>
      <c r="BC669" s="537"/>
      <c r="BD669" s="537"/>
      <c r="BE669" s="537"/>
      <c r="BF669" s="537"/>
      <c r="BG669" s="537"/>
      <c r="BH669" s="537"/>
      <c r="BI669" s="537"/>
    </row>
    <row r="670" spans="1:61" s="542" customFormat="1" ht="15" customHeight="1">
      <c r="A670" s="539" t="s">
        <v>568</v>
      </c>
      <c r="B670" s="540"/>
      <c r="C670" s="1484"/>
      <c r="D670" s="1486"/>
      <c r="E670" s="1489"/>
      <c r="F670" s="1490"/>
      <c r="G670" s="527"/>
      <c r="H670" s="537"/>
      <c r="I670" s="541"/>
      <c r="J670" s="541"/>
      <c r="K670" s="541"/>
      <c r="L670" s="541"/>
      <c r="M670" s="541"/>
      <c r="N670" s="541"/>
      <c r="O670" s="541"/>
      <c r="P670" s="541"/>
      <c r="Q670" s="541"/>
      <c r="R670" s="541"/>
      <c r="S670" s="541"/>
      <c r="T670" s="541"/>
      <c r="U670" s="541"/>
      <c r="V670" s="541"/>
      <c r="W670" s="541"/>
      <c r="X670" s="541"/>
      <c r="Y670" s="541"/>
      <c r="Z670" s="541"/>
      <c r="AA670" s="541"/>
      <c r="AB670" s="541"/>
      <c r="AC670" s="541"/>
      <c r="AD670" s="541"/>
      <c r="AE670" s="541"/>
      <c r="AF670" s="541"/>
      <c r="AG670" s="541"/>
      <c r="AH670" s="541"/>
      <c r="AI670" s="541"/>
      <c r="AJ670" s="541"/>
      <c r="AK670" s="541"/>
      <c r="AL670" s="541"/>
      <c r="AM670" s="541"/>
      <c r="AN670" s="541"/>
      <c r="AO670" s="541"/>
      <c r="AP670" s="541"/>
      <c r="AQ670" s="541"/>
      <c r="AR670" s="541"/>
      <c r="AS670" s="541"/>
      <c r="AT670" s="541"/>
      <c r="AU670" s="541"/>
      <c r="AV670" s="541"/>
      <c r="AW670" s="541"/>
      <c r="AX670" s="541"/>
      <c r="AY670" s="541"/>
      <c r="AZ670" s="541"/>
      <c r="BA670" s="541"/>
      <c r="BB670" s="541"/>
      <c r="BC670" s="541"/>
      <c r="BD670" s="541"/>
      <c r="BE670" s="541"/>
      <c r="BF670" s="541"/>
      <c r="BG670" s="541"/>
      <c r="BH670" s="541"/>
      <c r="BI670" s="541"/>
    </row>
    <row r="671" spans="1:61" s="550" customFormat="1">
      <c r="A671" s="543" t="s">
        <v>512</v>
      </c>
      <c r="B671" s="544" t="s">
        <v>513</v>
      </c>
      <c r="C671" s="201" t="s">
        <v>514</v>
      </c>
      <c r="D671" s="545" t="s">
        <v>515</v>
      </c>
      <c r="E671" s="202" t="s">
        <v>516</v>
      </c>
      <c r="F671" s="546" t="s">
        <v>517</v>
      </c>
      <c r="G671" s="547"/>
      <c r="H671" s="537"/>
      <c r="I671" s="533"/>
      <c r="J671" s="548"/>
      <c r="K671" s="549"/>
      <c r="L671" s="548"/>
      <c r="M671" s="548"/>
      <c r="N671" s="548"/>
      <c r="O671" s="548"/>
      <c r="P671" s="548"/>
      <c r="Q671" s="548"/>
      <c r="R671" s="548"/>
      <c r="S671" s="548"/>
      <c r="T671" s="548"/>
      <c r="U671" s="548"/>
      <c r="V671" s="548"/>
      <c r="W671" s="548"/>
      <c r="X671" s="548"/>
      <c r="Y671" s="548"/>
      <c r="Z671" s="548"/>
      <c r="AA671" s="548"/>
      <c r="AB671" s="548"/>
      <c r="AC671" s="548"/>
      <c r="AD671" s="548"/>
      <c r="AE671" s="548"/>
      <c r="AF671" s="548"/>
      <c r="AG671" s="548"/>
      <c r="AH671" s="548"/>
      <c r="AI671" s="548"/>
      <c r="AJ671" s="548"/>
      <c r="AK671" s="548"/>
      <c r="AL671" s="548"/>
      <c r="AM671" s="548"/>
      <c r="AN671" s="548"/>
      <c r="AO671" s="548"/>
      <c r="AP671" s="548"/>
      <c r="AQ671" s="548"/>
      <c r="AR671" s="548"/>
      <c r="AS671" s="548"/>
      <c r="AT671" s="548"/>
      <c r="AU671" s="548"/>
      <c r="AV671" s="548"/>
      <c r="AW671" s="548"/>
      <c r="AX671" s="548"/>
      <c r="AY671" s="548"/>
      <c r="AZ671" s="548"/>
      <c r="BA671" s="548"/>
      <c r="BB671" s="548"/>
      <c r="BC671" s="548"/>
      <c r="BD671" s="548"/>
      <c r="BE671" s="548"/>
      <c r="BF671" s="548"/>
      <c r="BG671" s="548"/>
      <c r="BH671" s="548"/>
      <c r="BI671" s="548"/>
    </row>
    <row r="672" spans="1:61">
      <c r="A672" s="585"/>
      <c r="B672" s="552"/>
      <c r="C672" s="553" t="s">
        <v>827</v>
      </c>
      <c r="D672" s="554"/>
      <c r="E672" s="586"/>
      <c r="F672" s="597"/>
    </row>
    <row r="673" spans="1:6">
      <c r="A673" s="576"/>
      <c r="B673" s="559" t="s">
        <v>828</v>
      </c>
      <c r="C673" s="560" t="s">
        <v>829</v>
      </c>
      <c r="D673" s="683" t="s">
        <v>830</v>
      </c>
      <c r="E673" s="562">
        <f>'[2]COSTO LAMINADO CDMX-QRO-GDL'!I663</f>
        <v>3070</v>
      </c>
      <c r="F673" s="563" t="s">
        <v>284</v>
      </c>
    </row>
    <row r="674" spans="1:6">
      <c r="A674" s="576"/>
      <c r="B674" s="559"/>
      <c r="C674" s="560" t="s">
        <v>831</v>
      </c>
      <c r="D674" s="605"/>
      <c r="E674" s="596"/>
      <c r="F674" s="609"/>
    </row>
    <row r="675" spans="1:6">
      <c r="A675" s="576"/>
      <c r="B675" s="559"/>
      <c r="C675" s="560" t="s">
        <v>832</v>
      </c>
      <c r="D675" s="605"/>
      <c r="E675" s="596"/>
      <c r="F675" s="684"/>
    </row>
    <row r="676" spans="1:6">
      <c r="A676" s="576"/>
      <c r="B676" s="559"/>
      <c r="C676" s="560"/>
      <c r="D676" s="605"/>
      <c r="E676" s="596"/>
      <c r="F676" s="684"/>
    </row>
    <row r="677" spans="1:6">
      <c r="A677" s="576"/>
      <c r="B677" s="559"/>
      <c r="C677" s="560"/>
      <c r="D677" s="605"/>
      <c r="E677" s="596"/>
      <c r="F677" s="684"/>
    </row>
    <row r="678" spans="1:6">
      <c r="A678" s="576"/>
      <c r="B678" s="559"/>
      <c r="C678" s="560"/>
      <c r="D678" s="605"/>
      <c r="E678" s="596"/>
      <c r="F678" s="684"/>
    </row>
    <row r="679" spans="1:6">
      <c r="A679" s="576"/>
      <c r="B679" s="559"/>
      <c r="C679" s="560"/>
      <c r="D679" s="605"/>
      <c r="E679" s="596"/>
      <c r="F679" s="684"/>
    </row>
    <row r="680" spans="1:6">
      <c r="A680" s="576"/>
      <c r="B680" s="559" t="s">
        <v>833</v>
      </c>
      <c r="C680" s="560" t="s">
        <v>834</v>
      </c>
      <c r="D680" s="605" t="s">
        <v>835</v>
      </c>
      <c r="E680" s="562">
        <f>'[2]COSTO LAMINADO CDMX-QRO-GDL'!I670</f>
        <v>2800</v>
      </c>
      <c r="F680" s="563" t="s">
        <v>284</v>
      </c>
    </row>
    <row r="681" spans="1:6">
      <c r="A681" s="576"/>
      <c r="B681" s="559"/>
      <c r="C681" s="560" t="s">
        <v>836</v>
      </c>
      <c r="D681" s="605"/>
      <c r="E681" s="596"/>
      <c r="F681" s="684"/>
    </row>
    <row r="682" spans="1:6">
      <c r="A682" s="576"/>
      <c r="B682" s="559"/>
      <c r="C682" s="560" t="s">
        <v>837</v>
      </c>
      <c r="D682" s="605"/>
      <c r="E682" s="596"/>
      <c r="F682" s="684"/>
    </row>
    <row r="683" spans="1:6">
      <c r="A683" s="576"/>
      <c r="B683" s="559"/>
      <c r="C683" s="560"/>
      <c r="D683" s="605"/>
      <c r="E683" s="596"/>
      <c r="F683" s="684"/>
    </row>
    <row r="684" spans="1:6">
      <c r="A684" s="576"/>
      <c r="B684" s="559"/>
      <c r="C684" s="566"/>
      <c r="D684" s="605"/>
      <c r="E684" s="596"/>
      <c r="F684" s="684"/>
    </row>
    <row r="685" spans="1:6">
      <c r="A685" s="576"/>
      <c r="B685" s="559"/>
      <c r="C685" s="560"/>
      <c r="D685" s="605"/>
      <c r="E685" s="596"/>
      <c r="F685" s="684"/>
    </row>
    <row r="686" spans="1:6">
      <c r="A686" s="576"/>
      <c r="B686" s="559" t="s">
        <v>838</v>
      </c>
      <c r="C686" s="560" t="s">
        <v>839</v>
      </c>
      <c r="D686" s="605" t="s">
        <v>840</v>
      </c>
      <c r="E686" s="562">
        <f>'[2]COSTO LAMINADO CDMX-QRO-GDL'!I676</f>
        <v>3260</v>
      </c>
      <c r="F686" s="563" t="s">
        <v>284</v>
      </c>
    </row>
    <row r="687" spans="1:6">
      <c r="A687" s="576"/>
      <c r="B687" s="559"/>
      <c r="C687" s="560" t="s">
        <v>836</v>
      </c>
      <c r="D687" s="605"/>
      <c r="E687" s="596"/>
      <c r="F687" s="684"/>
    </row>
    <row r="688" spans="1:6">
      <c r="A688" s="576"/>
      <c r="B688" s="559"/>
      <c r="C688" s="560" t="s">
        <v>837</v>
      </c>
      <c r="D688" s="605"/>
      <c r="E688" s="596"/>
      <c r="F688" s="684"/>
    </row>
    <row r="689" spans="1:6">
      <c r="A689" s="576"/>
      <c r="B689" s="559"/>
      <c r="C689" s="560"/>
      <c r="D689" s="605"/>
      <c r="E689" s="596"/>
      <c r="F689" s="684"/>
    </row>
    <row r="690" spans="1:6">
      <c r="A690" s="576"/>
      <c r="B690" s="559"/>
      <c r="C690" s="566"/>
      <c r="D690" s="605"/>
      <c r="E690" s="596"/>
      <c r="F690" s="684"/>
    </row>
    <row r="691" spans="1:6">
      <c r="A691" s="576"/>
      <c r="B691" s="559"/>
      <c r="C691" s="560"/>
      <c r="D691" s="685"/>
      <c r="E691" s="596"/>
      <c r="F691" s="684"/>
    </row>
    <row r="692" spans="1:6">
      <c r="A692" s="585"/>
      <c r="B692" s="552"/>
      <c r="C692" s="553" t="s">
        <v>841</v>
      </c>
      <c r="D692" s="554"/>
      <c r="E692" s="586"/>
      <c r="F692" s="597"/>
    </row>
    <row r="693" spans="1:6">
      <c r="A693" s="686"/>
      <c r="B693" s="559" t="s">
        <v>842</v>
      </c>
      <c r="C693" s="687" t="s">
        <v>843</v>
      </c>
      <c r="D693" s="688" t="s">
        <v>844</v>
      </c>
      <c r="E693" s="562">
        <f>'[2]COSTO LAMINADO CDMX-QRO-GDL'!I683</f>
        <v>4330</v>
      </c>
      <c r="F693" s="563" t="s">
        <v>284</v>
      </c>
    </row>
    <row r="694" spans="1:6">
      <c r="A694" s="576"/>
      <c r="B694" s="559" t="s">
        <v>845</v>
      </c>
      <c r="C694" s="560" t="s">
        <v>831</v>
      </c>
      <c r="D694" s="689" t="s">
        <v>846</v>
      </c>
      <c r="E694" s="562">
        <f>'[2]COSTO LAMINADO CDMX-QRO-GDL'!I684</f>
        <v>5430</v>
      </c>
      <c r="F694" s="563" t="s">
        <v>284</v>
      </c>
    </row>
    <row r="695" spans="1:6">
      <c r="A695" s="576"/>
      <c r="B695" s="559"/>
      <c r="C695" s="560" t="s">
        <v>832</v>
      </c>
      <c r="D695" s="689"/>
      <c r="E695" s="569"/>
      <c r="F695" s="684"/>
    </row>
    <row r="696" spans="1:6">
      <c r="A696" s="576"/>
      <c r="B696" s="559"/>
      <c r="C696" s="560"/>
      <c r="D696" s="689"/>
      <c r="E696" s="569"/>
      <c r="F696" s="684"/>
    </row>
    <row r="697" spans="1:6">
      <c r="A697" s="576"/>
      <c r="B697" s="559"/>
      <c r="C697" s="560"/>
      <c r="D697" s="689"/>
      <c r="E697" s="569"/>
      <c r="F697" s="684"/>
    </row>
    <row r="698" spans="1:6">
      <c r="A698" s="576"/>
      <c r="B698" s="559"/>
      <c r="C698" s="560"/>
      <c r="D698" s="689"/>
      <c r="E698" s="569"/>
      <c r="F698" s="684"/>
    </row>
    <row r="699" spans="1:6">
      <c r="A699" s="576"/>
      <c r="B699" s="559"/>
      <c r="C699" s="560"/>
      <c r="D699" s="689"/>
      <c r="E699" s="569"/>
      <c r="F699" s="684"/>
    </row>
    <row r="700" spans="1:6">
      <c r="A700" s="576"/>
      <c r="B700" s="559" t="s">
        <v>847</v>
      </c>
      <c r="C700" s="560" t="s">
        <v>848</v>
      </c>
      <c r="D700" s="689"/>
      <c r="E700" s="562">
        <f>'[2]COSTO LAMINADO CDMX-QRO-GDL'!I690</f>
        <v>4330</v>
      </c>
      <c r="F700" s="563" t="s">
        <v>284</v>
      </c>
    </row>
    <row r="701" spans="1:6">
      <c r="A701" s="576"/>
      <c r="B701" s="559"/>
      <c r="C701" s="560" t="s">
        <v>849</v>
      </c>
      <c r="D701" s="689" t="s">
        <v>850</v>
      </c>
      <c r="E701" s="562"/>
      <c r="F701" s="563"/>
    </row>
    <row r="702" spans="1:6">
      <c r="A702" s="576"/>
      <c r="B702" s="559"/>
      <c r="C702" s="560" t="s">
        <v>851</v>
      </c>
      <c r="D702" s="689"/>
      <c r="E702" s="569"/>
      <c r="F702" s="684"/>
    </row>
    <row r="703" spans="1:6">
      <c r="A703" s="576"/>
      <c r="B703" s="559"/>
      <c r="C703" s="560"/>
      <c r="D703" s="689"/>
      <c r="E703" s="569"/>
      <c r="F703" s="684"/>
    </row>
    <row r="704" spans="1:6">
      <c r="A704" s="576"/>
      <c r="B704" s="559"/>
      <c r="C704" s="560"/>
      <c r="D704" s="689"/>
      <c r="E704" s="569"/>
      <c r="F704" s="684"/>
    </row>
    <row r="705" spans="1:6">
      <c r="A705" s="576"/>
      <c r="B705" s="559"/>
      <c r="C705" s="560"/>
      <c r="D705" s="689"/>
      <c r="E705" s="569"/>
      <c r="F705" s="684"/>
    </row>
    <row r="706" spans="1:6">
      <c r="A706" s="576"/>
      <c r="B706" s="559"/>
      <c r="C706" s="560"/>
      <c r="D706" s="689"/>
      <c r="E706" s="569"/>
      <c r="F706" s="684"/>
    </row>
    <row r="707" spans="1:6">
      <c r="A707" s="576"/>
      <c r="B707" s="559" t="s">
        <v>852</v>
      </c>
      <c r="C707" s="560" t="s">
        <v>853</v>
      </c>
      <c r="D707" s="689"/>
      <c r="E707" s="562">
        <f>'[2]COSTO LAMINADO CDMX-QRO-GDL'!I697</f>
        <v>4330</v>
      </c>
      <c r="F707" s="563" t="s">
        <v>284</v>
      </c>
    </row>
    <row r="708" spans="1:6">
      <c r="A708" s="576"/>
      <c r="B708" s="559"/>
      <c r="C708" s="560" t="s">
        <v>854</v>
      </c>
      <c r="D708" s="689" t="s">
        <v>855</v>
      </c>
      <c r="E708" s="569"/>
      <c r="F708" s="684"/>
    </row>
    <row r="709" spans="1:6">
      <c r="A709" s="576"/>
      <c r="B709" s="559"/>
      <c r="C709" s="560" t="s">
        <v>851</v>
      </c>
      <c r="D709" s="689"/>
      <c r="E709" s="569"/>
      <c r="F709" s="684"/>
    </row>
    <row r="710" spans="1:6">
      <c r="A710" s="576"/>
      <c r="B710" s="559"/>
      <c r="C710" s="560"/>
      <c r="D710" s="689"/>
      <c r="E710" s="569"/>
      <c r="F710" s="684"/>
    </row>
    <row r="711" spans="1:6">
      <c r="A711" s="576"/>
      <c r="B711" s="559"/>
      <c r="C711" s="560"/>
      <c r="D711" s="689"/>
      <c r="E711" s="569"/>
      <c r="F711" s="684"/>
    </row>
    <row r="712" spans="1:6">
      <c r="A712" s="576"/>
      <c r="B712" s="559"/>
      <c r="C712" s="560"/>
      <c r="D712" s="689"/>
      <c r="E712" s="569"/>
      <c r="F712" s="684"/>
    </row>
    <row r="713" spans="1:6">
      <c r="A713" s="576"/>
      <c r="B713" s="559"/>
      <c r="C713" s="560"/>
      <c r="D713" s="689"/>
      <c r="E713" s="569"/>
      <c r="F713" s="684"/>
    </row>
    <row r="714" spans="1:6">
      <c r="A714" s="576"/>
      <c r="B714" s="559"/>
      <c r="C714" s="560"/>
      <c r="D714" s="561"/>
      <c r="E714" s="569"/>
      <c r="F714" s="684"/>
    </row>
    <row r="715" spans="1:6">
      <c r="A715" s="585"/>
      <c r="B715" s="552"/>
      <c r="C715" s="553" t="s">
        <v>856</v>
      </c>
      <c r="D715" s="554"/>
      <c r="E715" s="586"/>
      <c r="F715" s="597"/>
    </row>
    <row r="716" spans="1:6">
      <c r="A716" s="576"/>
      <c r="B716" s="559" t="s">
        <v>857</v>
      </c>
      <c r="C716" s="560" t="s">
        <v>858</v>
      </c>
      <c r="D716" s="579"/>
      <c r="E716" s="562">
        <f>'[2]COSTO LAMINADO CDMX-QRO-GDL'!I706</f>
        <v>4230</v>
      </c>
      <c r="F716" s="563" t="s">
        <v>284</v>
      </c>
    </row>
    <row r="717" spans="1:6">
      <c r="A717" s="576"/>
      <c r="B717" s="559"/>
      <c r="C717" s="560" t="s">
        <v>859</v>
      </c>
      <c r="D717" s="579"/>
      <c r="E717" s="596"/>
      <c r="F717" s="684"/>
    </row>
    <row r="718" spans="1:6">
      <c r="A718" s="576"/>
      <c r="B718" s="559"/>
      <c r="C718" s="560" t="s">
        <v>860</v>
      </c>
      <c r="D718" s="579"/>
      <c r="E718" s="596"/>
      <c r="F718" s="684"/>
    </row>
    <row r="719" spans="1:6">
      <c r="A719" s="576"/>
      <c r="B719" s="559"/>
      <c r="C719" s="690" t="s">
        <v>861</v>
      </c>
      <c r="D719" s="579"/>
      <c r="E719" s="596"/>
      <c r="F719" s="684"/>
    </row>
    <row r="720" spans="1:6">
      <c r="A720" s="576"/>
      <c r="B720" s="660"/>
      <c r="C720" s="670"/>
      <c r="D720" s="691"/>
      <c r="E720" s="666"/>
      <c r="F720" s="684"/>
    </row>
    <row r="721" spans="1:61">
      <c r="A721" s="576"/>
      <c r="B721" s="660"/>
      <c r="C721" s="670"/>
      <c r="D721" s="691"/>
      <c r="E721" s="666"/>
      <c r="F721" s="684"/>
    </row>
    <row r="722" spans="1:61">
      <c r="A722" s="576"/>
      <c r="B722" s="660"/>
      <c r="C722" s="670"/>
      <c r="D722" s="691"/>
      <c r="E722" s="666"/>
      <c r="F722" s="684"/>
    </row>
    <row r="723" spans="1:61">
      <c r="A723" s="576"/>
      <c r="B723" s="660"/>
      <c r="C723" s="670"/>
      <c r="D723" s="691"/>
      <c r="E723" s="666"/>
      <c r="F723" s="684"/>
    </row>
    <row r="724" spans="1:61">
      <c r="A724" s="576"/>
      <c r="B724" s="559" t="s">
        <v>862</v>
      </c>
      <c r="C724" s="560" t="s">
        <v>863</v>
      </c>
      <c r="D724" s="579"/>
      <c r="E724" s="562">
        <f>'[2]COSTO LAMINADO CDMX-QRO-GDL'!I714</f>
        <v>5110</v>
      </c>
      <c r="F724" s="563" t="s">
        <v>284</v>
      </c>
    </row>
    <row r="725" spans="1:61">
      <c r="A725" s="576"/>
      <c r="B725" s="559"/>
      <c r="C725" s="560" t="s">
        <v>864</v>
      </c>
      <c r="D725" s="579"/>
      <c r="E725" s="666"/>
      <c r="F725" s="684"/>
    </row>
    <row r="726" spans="1:61">
      <c r="A726" s="576"/>
      <c r="B726" s="559"/>
      <c r="C726" s="560" t="s">
        <v>865</v>
      </c>
      <c r="D726" s="579"/>
      <c r="E726" s="666"/>
      <c r="F726" s="684"/>
    </row>
    <row r="727" spans="1:61">
      <c r="A727" s="576"/>
      <c r="B727" s="559"/>
      <c r="C727" s="690" t="s">
        <v>861</v>
      </c>
      <c r="D727" s="579"/>
      <c r="E727" s="666"/>
      <c r="F727" s="684"/>
    </row>
    <row r="728" spans="1:61">
      <c r="A728" s="576"/>
      <c r="B728" s="559"/>
      <c r="C728" s="690"/>
      <c r="D728" s="579"/>
      <c r="E728" s="666"/>
      <c r="F728" s="684"/>
    </row>
    <row r="729" spans="1:61">
      <c r="A729" s="576"/>
      <c r="B729" s="559"/>
      <c r="C729" s="560"/>
      <c r="D729" s="579"/>
      <c r="E729" s="666"/>
      <c r="F729" s="684"/>
    </row>
    <row r="730" spans="1:61">
      <c r="A730" s="576"/>
      <c r="B730" s="559"/>
      <c r="C730" s="560"/>
      <c r="D730" s="579"/>
      <c r="E730" s="666"/>
      <c r="F730" s="684"/>
    </row>
    <row r="731" spans="1:61">
      <c r="A731" s="576"/>
      <c r="B731" s="559"/>
      <c r="C731" s="560"/>
      <c r="D731" s="579"/>
      <c r="E731" s="666"/>
      <c r="F731" s="684"/>
    </row>
    <row r="732" spans="1:61">
      <c r="A732" s="576"/>
      <c r="B732" s="629"/>
      <c r="C732" s="560"/>
      <c r="D732" s="561"/>
      <c r="E732" s="666"/>
      <c r="F732" s="692"/>
    </row>
    <row r="733" spans="1:61" s="538" customFormat="1" ht="15" customHeight="1">
      <c r="A733" s="535" t="s">
        <v>509</v>
      </c>
      <c r="B733" s="536"/>
      <c r="C733" s="1483" t="s">
        <v>866</v>
      </c>
      <c r="D733" s="1485"/>
      <c r="E733" s="1487"/>
      <c r="F733" s="1488"/>
      <c r="G733" s="527"/>
      <c r="H733" s="537"/>
      <c r="I733" s="537"/>
      <c r="J733" s="537"/>
      <c r="K733" s="537"/>
      <c r="L733" s="537"/>
      <c r="M733" s="537"/>
      <c r="N733" s="537"/>
      <c r="O733" s="537"/>
      <c r="P733" s="537"/>
      <c r="Q733" s="537"/>
      <c r="R733" s="537"/>
      <c r="S733" s="537"/>
      <c r="T733" s="537"/>
      <c r="U733" s="537"/>
      <c r="V733" s="537"/>
      <c r="W733" s="537"/>
      <c r="X733" s="537"/>
      <c r="Y733" s="537"/>
      <c r="Z733" s="537"/>
      <c r="AA733" s="537"/>
      <c r="AB733" s="537"/>
      <c r="AC733" s="537"/>
      <c r="AD733" s="537"/>
      <c r="AE733" s="537"/>
      <c r="AF733" s="537"/>
      <c r="AG733" s="537"/>
      <c r="AH733" s="537"/>
      <c r="AI733" s="537"/>
      <c r="AJ733" s="537"/>
      <c r="AK733" s="537"/>
      <c r="AL733" s="537"/>
      <c r="AM733" s="537"/>
      <c r="AN733" s="537"/>
      <c r="AO733" s="537"/>
      <c r="AP733" s="537"/>
      <c r="AQ733" s="537"/>
      <c r="AR733" s="537"/>
      <c r="AS733" s="537"/>
      <c r="AT733" s="537"/>
      <c r="AU733" s="537"/>
      <c r="AV733" s="537"/>
      <c r="AW733" s="537"/>
      <c r="AX733" s="537"/>
      <c r="AY733" s="537"/>
      <c r="AZ733" s="537"/>
      <c r="BA733" s="537"/>
      <c r="BB733" s="537"/>
      <c r="BC733" s="537"/>
      <c r="BD733" s="537"/>
      <c r="BE733" s="537"/>
      <c r="BF733" s="537"/>
      <c r="BG733" s="537"/>
      <c r="BH733" s="537"/>
      <c r="BI733" s="537"/>
    </row>
    <row r="734" spans="1:61" s="542" customFormat="1" ht="15" customHeight="1">
      <c r="A734" s="539" t="s">
        <v>568</v>
      </c>
      <c r="B734" s="540"/>
      <c r="C734" s="1484"/>
      <c r="D734" s="1486"/>
      <c r="E734" s="1489"/>
      <c r="F734" s="1490"/>
      <c r="G734" s="527"/>
      <c r="H734" s="537"/>
      <c r="I734" s="541"/>
      <c r="J734" s="541"/>
      <c r="K734" s="541"/>
      <c r="L734" s="541"/>
      <c r="M734" s="541"/>
      <c r="N734" s="541"/>
      <c r="O734" s="541"/>
      <c r="P734" s="541"/>
      <c r="Q734" s="541"/>
      <c r="R734" s="541"/>
      <c r="S734" s="541"/>
      <c r="T734" s="541"/>
      <c r="U734" s="541"/>
      <c r="V734" s="541"/>
      <c r="W734" s="541"/>
      <c r="X734" s="541"/>
      <c r="Y734" s="541"/>
      <c r="Z734" s="541"/>
      <c r="AA734" s="541"/>
      <c r="AB734" s="541"/>
      <c r="AC734" s="541"/>
      <c r="AD734" s="541"/>
      <c r="AE734" s="541"/>
      <c r="AF734" s="541"/>
      <c r="AG734" s="541"/>
      <c r="AH734" s="541"/>
      <c r="AI734" s="541"/>
      <c r="AJ734" s="541"/>
      <c r="AK734" s="541"/>
      <c r="AL734" s="541"/>
      <c r="AM734" s="541"/>
      <c r="AN734" s="541"/>
      <c r="AO734" s="541"/>
      <c r="AP734" s="541"/>
      <c r="AQ734" s="541"/>
      <c r="AR734" s="541"/>
      <c r="AS734" s="541"/>
      <c r="AT734" s="541"/>
      <c r="AU734" s="541"/>
      <c r="AV734" s="541"/>
      <c r="AW734" s="541"/>
      <c r="AX734" s="541"/>
      <c r="AY734" s="541"/>
      <c r="AZ734" s="541"/>
      <c r="BA734" s="541"/>
      <c r="BB734" s="541"/>
      <c r="BC734" s="541"/>
      <c r="BD734" s="541"/>
      <c r="BE734" s="541"/>
      <c r="BF734" s="541"/>
      <c r="BG734" s="541"/>
      <c r="BH734" s="541"/>
      <c r="BI734" s="541"/>
    </row>
    <row r="735" spans="1:61" s="550" customFormat="1">
      <c r="A735" s="543" t="s">
        <v>512</v>
      </c>
      <c r="B735" s="544" t="s">
        <v>513</v>
      </c>
      <c r="C735" s="201" t="s">
        <v>514</v>
      </c>
      <c r="D735" s="545" t="s">
        <v>515</v>
      </c>
      <c r="E735" s="202" t="s">
        <v>516</v>
      </c>
      <c r="F735" s="546" t="s">
        <v>517</v>
      </c>
      <c r="G735" s="547"/>
      <c r="H735" s="537"/>
      <c r="I735" s="533"/>
      <c r="J735" s="548"/>
      <c r="K735" s="549"/>
      <c r="L735" s="548"/>
      <c r="M735" s="548"/>
      <c r="N735" s="548"/>
      <c r="O735" s="548"/>
      <c r="P735" s="548"/>
      <c r="Q735" s="548"/>
      <c r="R735" s="548"/>
      <c r="S735" s="548"/>
      <c r="T735" s="548"/>
      <c r="U735" s="548"/>
      <c r="V735" s="548"/>
      <c r="W735" s="548"/>
      <c r="X735" s="548"/>
      <c r="Y735" s="548"/>
      <c r="Z735" s="548"/>
      <c r="AA735" s="548"/>
      <c r="AB735" s="548"/>
      <c r="AC735" s="548"/>
      <c r="AD735" s="548"/>
      <c r="AE735" s="548"/>
      <c r="AF735" s="548"/>
      <c r="AG735" s="548"/>
      <c r="AH735" s="548"/>
      <c r="AI735" s="548"/>
      <c r="AJ735" s="548"/>
      <c r="AK735" s="548"/>
      <c r="AL735" s="548"/>
      <c r="AM735" s="548"/>
      <c r="AN735" s="548"/>
      <c r="AO735" s="548"/>
      <c r="AP735" s="548"/>
      <c r="AQ735" s="548"/>
      <c r="AR735" s="548"/>
      <c r="AS735" s="548"/>
      <c r="AT735" s="548"/>
      <c r="AU735" s="548"/>
      <c r="AV735" s="548"/>
      <c r="AW735" s="548"/>
      <c r="AX735" s="548"/>
      <c r="AY735" s="548"/>
      <c r="AZ735" s="548"/>
      <c r="BA735" s="548"/>
      <c r="BB735" s="548"/>
      <c r="BC735" s="548"/>
      <c r="BD735" s="548"/>
      <c r="BE735" s="548"/>
      <c r="BF735" s="548"/>
      <c r="BG735" s="548"/>
      <c r="BH735" s="548"/>
      <c r="BI735" s="548"/>
    </row>
    <row r="736" spans="1:61">
      <c r="A736" s="585"/>
      <c r="B736" s="552"/>
      <c r="C736" s="553" t="s">
        <v>867</v>
      </c>
      <c r="D736" s="554"/>
      <c r="E736" s="586"/>
      <c r="F736" s="575"/>
    </row>
    <row r="737" spans="1:61">
      <c r="A737" s="576"/>
      <c r="B737" s="559" t="s">
        <v>868</v>
      </c>
      <c r="C737" s="560" t="s">
        <v>869</v>
      </c>
      <c r="D737" s="579" t="s">
        <v>870</v>
      </c>
      <c r="E737" s="562">
        <f>'[2]COSTO LAMINADO CDMX-QRO-GDL'!I727</f>
        <v>5070</v>
      </c>
      <c r="F737" s="563" t="s">
        <v>284</v>
      </c>
    </row>
    <row r="738" spans="1:61">
      <c r="A738" s="576"/>
      <c r="B738" s="559" t="s">
        <v>871</v>
      </c>
      <c r="C738" s="560" t="s">
        <v>872</v>
      </c>
      <c r="D738" s="579" t="s">
        <v>873</v>
      </c>
      <c r="E738" s="562">
        <f>'[2]COSTO LAMINADO CDMX-QRO-GDL'!I728</f>
        <v>5340</v>
      </c>
      <c r="F738" s="563" t="s">
        <v>284</v>
      </c>
    </row>
    <row r="739" spans="1:61">
      <c r="A739" s="576"/>
      <c r="B739" s="559" t="s">
        <v>874</v>
      </c>
      <c r="C739" s="560" t="s">
        <v>875</v>
      </c>
      <c r="D739" s="579" t="s">
        <v>876</v>
      </c>
      <c r="E739" s="562">
        <f>'[2]COSTO LAMINADO CDMX-QRO-GDL'!I729</f>
        <v>5380</v>
      </c>
      <c r="F739" s="563" t="s">
        <v>284</v>
      </c>
    </row>
    <row r="740" spans="1:61">
      <c r="A740" s="576"/>
      <c r="B740" s="559" t="s">
        <v>877</v>
      </c>
      <c r="C740" s="560"/>
      <c r="D740" s="579" t="s">
        <v>878</v>
      </c>
      <c r="E740" s="562">
        <f>'[2]COSTO LAMINADO CDMX-QRO-GDL'!I730</f>
        <v>5780</v>
      </c>
      <c r="F740" s="563" t="s">
        <v>284</v>
      </c>
    </row>
    <row r="741" spans="1:61">
      <c r="A741" s="576"/>
      <c r="B741" s="559" t="s">
        <v>879</v>
      </c>
      <c r="C741" s="560"/>
      <c r="D741" s="579" t="s">
        <v>880</v>
      </c>
      <c r="E741" s="562">
        <f>'[2]COSTO LAMINADO CDMX-QRO-GDL'!I731</f>
        <v>5830</v>
      </c>
      <c r="F741" s="563" t="s">
        <v>284</v>
      </c>
    </row>
    <row r="742" spans="1:61">
      <c r="A742" s="576"/>
      <c r="B742" s="559" t="s">
        <v>881</v>
      </c>
      <c r="C742" s="560"/>
      <c r="D742" s="579" t="s">
        <v>882</v>
      </c>
      <c r="E742" s="562">
        <f>'[2]COSTO LAMINADO CDMX-QRO-GDL'!I732</f>
        <v>6240</v>
      </c>
      <c r="F742" s="563" t="s">
        <v>284</v>
      </c>
    </row>
    <row r="743" spans="1:61">
      <c r="A743" s="576"/>
      <c r="B743" s="559" t="s">
        <v>883</v>
      </c>
      <c r="C743" s="560"/>
      <c r="D743" s="579" t="s">
        <v>884</v>
      </c>
      <c r="E743" s="562">
        <f>'[2]COSTO LAMINADO CDMX-QRO-GDL'!I733</f>
        <v>6290</v>
      </c>
      <c r="F743" s="563" t="s">
        <v>284</v>
      </c>
    </row>
    <row r="744" spans="1:61">
      <c r="A744" s="576"/>
      <c r="B744" s="559" t="s">
        <v>885</v>
      </c>
      <c r="C744" s="560"/>
      <c r="D744" s="579" t="s">
        <v>886</v>
      </c>
      <c r="E744" s="562">
        <f>'[2]COSTO LAMINADO CDMX-QRO-GDL'!I734</f>
        <v>7100</v>
      </c>
      <c r="F744" s="563" t="s">
        <v>284</v>
      </c>
    </row>
    <row r="745" spans="1:61">
      <c r="A745" s="576"/>
      <c r="B745" s="559" t="s">
        <v>887</v>
      </c>
      <c r="C745" s="560"/>
      <c r="D745" s="579" t="s">
        <v>888</v>
      </c>
      <c r="E745" s="562">
        <f>'[2]COSTO LAMINADO CDMX-QRO-GDL'!I735</f>
        <v>7120</v>
      </c>
      <c r="F745" s="563" t="s">
        <v>284</v>
      </c>
    </row>
    <row r="746" spans="1:61">
      <c r="A746" s="576"/>
      <c r="B746" s="559" t="s">
        <v>889</v>
      </c>
      <c r="C746" s="560"/>
      <c r="D746" s="579" t="s">
        <v>890</v>
      </c>
      <c r="E746" s="562">
        <f>'[2]COSTO LAMINADO CDMX-QRO-GDL'!I736</f>
        <v>7200</v>
      </c>
      <c r="F746" s="563" t="s">
        <v>284</v>
      </c>
    </row>
    <row r="747" spans="1:61">
      <c r="A747" s="576"/>
      <c r="B747" s="559" t="s">
        <v>891</v>
      </c>
      <c r="C747" s="560"/>
      <c r="D747" s="579" t="s">
        <v>892</v>
      </c>
      <c r="E747" s="562">
        <f>'[2]COSTO LAMINADO CDMX-QRO-GDL'!I737</f>
        <v>7560</v>
      </c>
      <c r="F747" s="563" t="s">
        <v>284</v>
      </c>
    </row>
    <row r="748" spans="1:61">
      <c r="A748" s="576"/>
      <c r="B748" s="559" t="s">
        <v>893</v>
      </c>
      <c r="C748" s="560"/>
      <c r="D748" s="579" t="s">
        <v>894</v>
      </c>
      <c r="E748" s="562">
        <f>'[2]COSTO LAMINADO CDMX-QRO-GDL'!I738</f>
        <v>7560</v>
      </c>
      <c r="F748" s="563" t="s">
        <v>284</v>
      </c>
    </row>
    <row r="749" spans="1:61">
      <c r="A749" s="576"/>
      <c r="B749" s="559" t="s">
        <v>895</v>
      </c>
      <c r="C749" s="560"/>
      <c r="D749" s="579" t="s">
        <v>896</v>
      </c>
      <c r="E749" s="562">
        <f>'[2]COSTO LAMINADO CDMX-QRO-GDL'!I739</f>
        <v>7850</v>
      </c>
      <c r="F749" s="563" t="s">
        <v>284</v>
      </c>
    </row>
    <row r="750" spans="1:61" s="538" customFormat="1" ht="15" customHeight="1">
      <c r="A750" s="535" t="s">
        <v>509</v>
      </c>
      <c r="B750" s="536"/>
      <c r="C750" s="1483" t="s">
        <v>897</v>
      </c>
      <c r="D750" s="1485" t="s">
        <v>567</v>
      </c>
      <c r="E750" s="1487">
        <v>43252</v>
      </c>
      <c r="F750" s="1488"/>
      <c r="G750" s="527"/>
      <c r="H750" s="537"/>
      <c r="I750" s="537"/>
      <c r="J750" s="537"/>
      <c r="K750" s="537"/>
      <c r="L750" s="537"/>
      <c r="M750" s="537"/>
      <c r="N750" s="537"/>
      <c r="O750" s="537"/>
      <c r="P750" s="537"/>
      <c r="Q750" s="537"/>
      <c r="R750" s="537"/>
      <c r="S750" s="537"/>
      <c r="T750" s="537"/>
      <c r="U750" s="537"/>
      <c r="V750" s="537"/>
      <c r="W750" s="537"/>
      <c r="X750" s="537"/>
      <c r="Y750" s="537"/>
      <c r="Z750" s="537"/>
      <c r="AA750" s="537"/>
      <c r="AB750" s="537"/>
      <c r="AC750" s="537"/>
      <c r="AD750" s="537"/>
      <c r="AE750" s="537"/>
      <c r="AF750" s="537"/>
      <c r="AG750" s="537"/>
      <c r="AH750" s="537"/>
      <c r="AI750" s="537"/>
      <c r="AJ750" s="537"/>
      <c r="AK750" s="537"/>
      <c r="AL750" s="537"/>
      <c r="AM750" s="537"/>
      <c r="AN750" s="537"/>
      <c r="AO750" s="537"/>
      <c r="AP750" s="537"/>
      <c r="AQ750" s="537"/>
      <c r="AR750" s="537"/>
      <c r="AS750" s="537"/>
      <c r="AT750" s="537"/>
      <c r="AU750" s="537"/>
      <c r="AV750" s="537"/>
      <c r="AW750" s="537"/>
      <c r="AX750" s="537"/>
      <c r="AY750" s="537"/>
      <c r="AZ750" s="537"/>
      <c r="BA750" s="537"/>
      <c r="BB750" s="537"/>
      <c r="BC750" s="537"/>
      <c r="BD750" s="537"/>
      <c r="BE750" s="537"/>
      <c r="BF750" s="537"/>
      <c r="BG750" s="537"/>
      <c r="BH750" s="537"/>
      <c r="BI750" s="537"/>
    </row>
    <row r="751" spans="1:61" s="542" customFormat="1" ht="15" customHeight="1">
      <c r="A751" s="539" t="s">
        <v>568</v>
      </c>
      <c r="B751" s="540"/>
      <c r="C751" s="1484"/>
      <c r="D751" s="1486"/>
      <c r="E751" s="1489"/>
      <c r="F751" s="1490"/>
      <c r="G751" s="527"/>
      <c r="H751" s="537"/>
      <c r="I751" s="541"/>
      <c r="J751" s="541"/>
      <c r="K751" s="541"/>
      <c r="L751" s="541"/>
      <c r="M751" s="541"/>
      <c r="N751" s="541"/>
      <c r="O751" s="541"/>
      <c r="P751" s="541"/>
      <c r="Q751" s="541"/>
      <c r="R751" s="541"/>
      <c r="S751" s="541"/>
      <c r="T751" s="541"/>
      <c r="U751" s="541"/>
      <c r="V751" s="541"/>
      <c r="W751" s="541"/>
      <c r="X751" s="541"/>
      <c r="Y751" s="541"/>
      <c r="Z751" s="541"/>
      <c r="AA751" s="541"/>
      <c r="AB751" s="541"/>
      <c r="AC751" s="541"/>
      <c r="AD751" s="541"/>
      <c r="AE751" s="541"/>
      <c r="AF751" s="541"/>
      <c r="AG751" s="541"/>
      <c r="AH751" s="541"/>
      <c r="AI751" s="541"/>
      <c r="AJ751" s="541"/>
      <c r="AK751" s="541"/>
      <c r="AL751" s="541"/>
      <c r="AM751" s="541"/>
      <c r="AN751" s="541"/>
      <c r="AO751" s="541"/>
      <c r="AP751" s="541"/>
      <c r="AQ751" s="541"/>
      <c r="AR751" s="541"/>
      <c r="AS751" s="541"/>
      <c r="AT751" s="541"/>
      <c r="AU751" s="541"/>
      <c r="AV751" s="541"/>
      <c r="AW751" s="541"/>
      <c r="AX751" s="541"/>
      <c r="AY751" s="541"/>
      <c r="AZ751" s="541"/>
      <c r="BA751" s="541"/>
      <c r="BB751" s="541"/>
      <c r="BC751" s="541"/>
      <c r="BD751" s="541"/>
      <c r="BE751" s="541"/>
      <c r="BF751" s="541"/>
      <c r="BG751" s="541"/>
      <c r="BH751" s="541"/>
      <c r="BI751" s="541"/>
    </row>
    <row r="752" spans="1:61" s="550" customFormat="1">
      <c r="A752" s="543" t="s">
        <v>512</v>
      </c>
      <c r="B752" s="544" t="s">
        <v>513</v>
      </c>
      <c r="C752" s="201" t="s">
        <v>514</v>
      </c>
      <c r="D752" s="545" t="s">
        <v>515</v>
      </c>
      <c r="E752" s="202" t="s">
        <v>516</v>
      </c>
      <c r="F752" s="546" t="s">
        <v>517</v>
      </c>
      <c r="G752" s="547"/>
      <c r="H752" s="537"/>
      <c r="I752" s="533"/>
      <c r="J752" s="548"/>
      <c r="K752" s="549"/>
      <c r="L752" s="548"/>
      <c r="M752" s="548"/>
      <c r="N752" s="548"/>
      <c r="O752" s="548"/>
      <c r="P752" s="548"/>
      <c r="Q752" s="548"/>
      <c r="R752" s="548"/>
      <c r="S752" s="548"/>
      <c r="T752" s="548"/>
      <c r="U752" s="548"/>
      <c r="V752" s="548"/>
      <c r="W752" s="548"/>
      <c r="X752" s="548"/>
      <c r="Y752" s="548"/>
      <c r="Z752" s="548"/>
      <c r="AA752" s="548"/>
      <c r="AB752" s="548"/>
      <c r="AC752" s="548"/>
      <c r="AD752" s="548"/>
      <c r="AE752" s="548"/>
      <c r="AF752" s="548"/>
      <c r="AG752" s="548"/>
      <c r="AH752" s="548"/>
      <c r="AI752" s="548"/>
      <c r="AJ752" s="548"/>
      <c r="AK752" s="548"/>
      <c r="AL752" s="548"/>
      <c r="AM752" s="548"/>
      <c r="AN752" s="548"/>
      <c r="AO752" s="548"/>
      <c r="AP752" s="548"/>
      <c r="AQ752" s="548"/>
      <c r="AR752" s="548"/>
      <c r="AS752" s="548"/>
      <c r="AT752" s="548"/>
      <c r="AU752" s="548"/>
      <c r="AV752" s="548"/>
      <c r="AW752" s="548"/>
      <c r="AX752" s="548"/>
      <c r="AY752" s="548"/>
      <c r="AZ752" s="548"/>
      <c r="BA752" s="548"/>
      <c r="BB752" s="548"/>
      <c r="BC752" s="548"/>
      <c r="BD752" s="548"/>
      <c r="BE752" s="548"/>
      <c r="BF752" s="548"/>
      <c r="BG752" s="548"/>
      <c r="BH752" s="548"/>
      <c r="BI752" s="548"/>
    </row>
    <row r="753" spans="1:6">
      <c r="A753" s="585"/>
      <c r="B753" s="552"/>
      <c r="C753" s="553" t="s">
        <v>898</v>
      </c>
      <c r="D753" s="554"/>
      <c r="E753" s="586"/>
      <c r="F753" s="597"/>
    </row>
    <row r="754" spans="1:6">
      <c r="A754" s="576"/>
      <c r="B754" s="559" t="s">
        <v>899</v>
      </c>
      <c r="C754" s="560" t="s">
        <v>900</v>
      </c>
      <c r="D754" s="693" t="s">
        <v>901</v>
      </c>
      <c r="E754" s="562">
        <f>'[2]COSTO LAMINADO CDMX-QRO-GDL'!I744</f>
        <v>3800</v>
      </c>
      <c r="F754" s="563" t="s">
        <v>284</v>
      </c>
    </row>
    <row r="755" spans="1:6">
      <c r="A755" s="576"/>
      <c r="B755" s="559" t="s">
        <v>902</v>
      </c>
      <c r="C755" s="560" t="s">
        <v>903</v>
      </c>
      <c r="D755" s="693" t="s">
        <v>904</v>
      </c>
      <c r="E755" s="562">
        <f>'[2]COSTO LAMINADO CDMX-QRO-GDL'!I745</f>
        <v>3840</v>
      </c>
      <c r="F755" s="563" t="s">
        <v>284</v>
      </c>
    </row>
    <row r="756" spans="1:6">
      <c r="A756" s="576"/>
      <c r="B756" s="559" t="s">
        <v>905</v>
      </c>
      <c r="C756" s="560" t="s">
        <v>906</v>
      </c>
      <c r="D756" s="693" t="s">
        <v>907</v>
      </c>
      <c r="E756" s="562">
        <f>'[2]COSTO LAMINADO CDMX-QRO-GDL'!I746</f>
        <v>4310</v>
      </c>
      <c r="F756" s="563" t="s">
        <v>284</v>
      </c>
    </row>
    <row r="757" spans="1:6">
      <c r="A757" s="576"/>
      <c r="B757" s="559" t="s">
        <v>908</v>
      </c>
      <c r="C757" s="560" t="s">
        <v>909</v>
      </c>
      <c r="D757" s="693" t="s">
        <v>910</v>
      </c>
      <c r="E757" s="562">
        <f>'[2]COSTO LAMINADO CDMX-QRO-GDL'!I747</f>
        <v>4400</v>
      </c>
      <c r="F757" s="563" t="s">
        <v>284</v>
      </c>
    </row>
    <row r="758" spans="1:6">
      <c r="A758" s="576"/>
      <c r="B758" s="559"/>
      <c r="C758" s="560"/>
      <c r="D758" s="579"/>
      <c r="E758" s="596"/>
      <c r="F758" s="570"/>
    </row>
    <row r="759" spans="1:6">
      <c r="A759" s="576"/>
      <c r="B759" s="559"/>
      <c r="C759" s="560"/>
      <c r="D759" s="579"/>
      <c r="E759" s="596"/>
      <c r="F759" s="570"/>
    </row>
    <row r="760" spans="1:6">
      <c r="A760" s="576"/>
      <c r="B760" s="559"/>
      <c r="C760" s="560"/>
      <c r="D760" s="579"/>
      <c r="E760" s="596"/>
      <c r="F760" s="570"/>
    </row>
    <row r="761" spans="1:6">
      <c r="A761" s="585"/>
      <c r="B761" s="552"/>
      <c r="C761" s="553" t="s">
        <v>911</v>
      </c>
      <c r="D761" s="554"/>
      <c r="E761" s="586"/>
      <c r="F761" s="597"/>
    </row>
    <row r="762" spans="1:6">
      <c r="A762" s="576"/>
      <c r="B762" s="559" t="s">
        <v>912</v>
      </c>
      <c r="C762" s="694" t="s">
        <v>913</v>
      </c>
      <c r="D762" s="683" t="s">
        <v>880</v>
      </c>
      <c r="E762" s="562">
        <f>'[2]COSTO LAMINADO CDMX-QRO-GDL'!I752</f>
        <v>3240</v>
      </c>
      <c r="F762" s="563" t="s">
        <v>284</v>
      </c>
    </row>
    <row r="763" spans="1:6">
      <c r="A763" s="576"/>
      <c r="B763" s="559"/>
      <c r="C763" s="694" t="s">
        <v>914</v>
      </c>
      <c r="D763" s="605"/>
      <c r="E763" s="596"/>
      <c r="F763" s="570"/>
    </row>
    <row r="764" spans="1:6">
      <c r="A764" s="576"/>
      <c r="B764" s="559"/>
      <c r="C764" s="694" t="s">
        <v>915</v>
      </c>
      <c r="D764" s="605"/>
      <c r="E764" s="596"/>
      <c r="F764" s="570"/>
    </row>
    <row r="765" spans="1:6">
      <c r="A765" s="576"/>
      <c r="B765" s="559"/>
      <c r="C765" s="694"/>
      <c r="D765" s="605"/>
      <c r="E765" s="596"/>
      <c r="F765" s="570"/>
    </row>
    <row r="766" spans="1:6">
      <c r="A766" s="576"/>
      <c r="B766" s="559" t="s">
        <v>916</v>
      </c>
      <c r="C766" s="694" t="s">
        <v>913</v>
      </c>
      <c r="D766" s="605" t="s">
        <v>917</v>
      </c>
      <c r="E766" s="562">
        <f>'[2]COSTO LAMINADO CDMX-QRO-GDL'!I756</f>
        <v>3420</v>
      </c>
      <c r="F766" s="563" t="s">
        <v>284</v>
      </c>
    </row>
    <row r="767" spans="1:6">
      <c r="A767" s="576"/>
      <c r="B767" s="565"/>
      <c r="C767" s="626" t="s">
        <v>914</v>
      </c>
      <c r="D767" s="605"/>
      <c r="E767" s="596"/>
      <c r="F767" s="570"/>
    </row>
    <row r="768" spans="1:6">
      <c r="A768" s="576"/>
      <c r="B768" s="565"/>
      <c r="C768" s="626" t="s">
        <v>915</v>
      </c>
      <c r="D768" s="605"/>
      <c r="E768" s="596"/>
      <c r="F768" s="570"/>
    </row>
    <row r="769" spans="1:6">
      <c r="A769" s="558"/>
      <c r="B769" s="695"/>
      <c r="C769" s="626"/>
      <c r="D769" s="696"/>
      <c r="E769" s="596"/>
      <c r="F769" s="570"/>
    </row>
    <row r="770" spans="1:6">
      <c r="A770" s="585"/>
      <c r="B770" s="552"/>
      <c r="C770" s="553" t="s">
        <v>918</v>
      </c>
      <c r="D770" s="554"/>
      <c r="E770" s="586"/>
      <c r="F770" s="597"/>
    </row>
    <row r="771" spans="1:6">
      <c r="A771" s="576"/>
      <c r="B771" s="559" t="s">
        <v>919</v>
      </c>
      <c r="C771" s="560" t="s">
        <v>920</v>
      </c>
      <c r="D771" s="693" t="s">
        <v>921</v>
      </c>
      <c r="E771" s="562">
        <f>'[2]COSTO LAMINADO CDMX-QRO-GDL'!I761</f>
        <v>1990</v>
      </c>
      <c r="F771" s="563" t="s">
        <v>284</v>
      </c>
    </row>
    <row r="772" spans="1:6">
      <c r="A772" s="576"/>
      <c r="B772" s="559" t="s">
        <v>922</v>
      </c>
      <c r="C772" s="560" t="s">
        <v>923</v>
      </c>
      <c r="D772" s="693" t="s">
        <v>924</v>
      </c>
      <c r="E772" s="562">
        <f>'[2]COSTO LAMINADO CDMX-QRO-GDL'!I762</f>
        <v>2030</v>
      </c>
      <c r="F772" s="563" t="s">
        <v>284</v>
      </c>
    </row>
    <row r="773" spans="1:6">
      <c r="A773" s="576"/>
      <c r="B773" s="559"/>
      <c r="C773" s="560"/>
      <c r="D773" s="579"/>
      <c r="E773" s="596"/>
      <c r="F773" s="570"/>
    </row>
    <row r="774" spans="1:6">
      <c r="A774" s="576"/>
      <c r="B774" s="559"/>
      <c r="C774" s="560"/>
      <c r="D774" s="579"/>
      <c r="E774" s="596"/>
      <c r="F774" s="570"/>
    </row>
    <row r="775" spans="1:6">
      <c r="A775" s="576"/>
      <c r="B775" s="559"/>
      <c r="C775" s="566"/>
      <c r="D775" s="579"/>
      <c r="E775" s="596"/>
      <c r="F775" s="570"/>
    </row>
    <row r="776" spans="1:6">
      <c r="A776" s="585"/>
      <c r="B776" s="552"/>
      <c r="C776" s="553" t="s">
        <v>925</v>
      </c>
      <c r="D776" s="554"/>
      <c r="E776" s="586"/>
      <c r="F776" s="597"/>
    </row>
    <row r="777" spans="1:6">
      <c r="A777" s="697"/>
      <c r="B777" s="698" t="s">
        <v>926</v>
      </c>
      <c r="C777" s="681" t="s">
        <v>927</v>
      </c>
      <c r="D777" s="699" t="s">
        <v>928</v>
      </c>
      <c r="E777" s="562">
        <f>'[2]COSTO LAMINADO CDMX-QRO-GDL'!I767</f>
        <v>1400</v>
      </c>
      <c r="F777" s="563" t="s">
        <v>284</v>
      </c>
    </row>
    <row r="778" spans="1:6">
      <c r="A778" s="679"/>
      <c r="B778" s="565" t="s">
        <v>929</v>
      </c>
      <c r="C778" s="681" t="s">
        <v>930</v>
      </c>
      <c r="D778" s="689" t="s">
        <v>931</v>
      </c>
      <c r="E778" s="562">
        <f>'[2]COSTO LAMINADO CDMX-QRO-GDL'!I768</f>
        <v>1528.5714285714287</v>
      </c>
      <c r="F778" s="563" t="s">
        <v>284</v>
      </c>
    </row>
    <row r="779" spans="1:6">
      <c r="A779" s="679"/>
      <c r="B779" s="565" t="s">
        <v>932</v>
      </c>
      <c r="C779" s="700" t="s">
        <v>933</v>
      </c>
      <c r="D779" s="689" t="s">
        <v>934</v>
      </c>
      <c r="E779" s="562">
        <f>'[2]COSTO LAMINADO CDMX-QRO-GDL'!I769</f>
        <v>1664.2857142857144</v>
      </c>
      <c r="F779" s="563" t="s">
        <v>284</v>
      </c>
    </row>
    <row r="780" spans="1:6">
      <c r="A780" s="679"/>
      <c r="B780" s="565" t="s">
        <v>935</v>
      </c>
      <c r="C780" s="701" t="s">
        <v>936</v>
      </c>
      <c r="D780" s="689" t="s">
        <v>937</v>
      </c>
      <c r="E780" s="562">
        <f>'[2]COSTO LAMINADO CDMX-QRO-GDL'!I770</f>
        <v>1807.1428571428573</v>
      </c>
      <c r="F780" s="563" t="s">
        <v>284</v>
      </c>
    </row>
    <row r="781" spans="1:6">
      <c r="A781" s="679"/>
      <c r="B781" s="565" t="s">
        <v>938</v>
      </c>
      <c r="C781" s="701" t="s">
        <v>939</v>
      </c>
      <c r="D781" s="689" t="s">
        <v>940</v>
      </c>
      <c r="E781" s="562">
        <f>'[2]COSTO LAMINADO CDMX-QRO-GDL'!I771</f>
        <v>1942.8571428571429</v>
      </c>
      <c r="F781" s="563" t="s">
        <v>284</v>
      </c>
    </row>
    <row r="782" spans="1:6">
      <c r="A782" s="679"/>
      <c r="B782" s="565" t="s">
        <v>941</v>
      </c>
      <c r="C782" s="700"/>
      <c r="D782" s="689" t="s">
        <v>942</v>
      </c>
      <c r="E782" s="562">
        <f>'[2]COSTO LAMINADO CDMX-QRO-GDL'!I772</f>
        <v>2092.8571428571431</v>
      </c>
      <c r="F782" s="563" t="s">
        <v>284</v>
      </c>
    </row>
    <row r="783" spans="1:6">
      <c r="A783" s="679"/>
      <c r="B783" s="565" t="s">
        <v>943</v>
      </c>
      <c r="C783" s="701"/>
      <c r="D783" s="689" t="s">
        <v>944</v>
      </c>
      <c r="E783" s="562">
        <f>'[2]COSTO LAMINADO CDMX-QRO-GDL'!I773</f>
        <v>2228.5714285714289</v>
      </c>
      <c r="F783" s="563" t="s">
        <v>284</v>
      </c>
    </row>
    <row r="784" spans="1:6">
      <c r="A784" s="679"/>
      <c r="B784" s="565" t="s">
        <v>945</v>
      </c>
      <c r="C784" s="681"/>
      <c r="D784" s="689" t="s">
        <v>946</v>
      </c>
      <c r="E784" s="562">
        <f>'[2]COSTO LAMINADO CDMX-QRO-GDL'!I774</f>
        <v>2371.4285714285716</v>
      </c>
      <c r="F784" s="563" t="s">
        <v>284</v>
      </c>
    </row>
    <row r="785" spans="1:6">
      <c r="A785" s="679"/>
      <c r="B785" s="565" t="s">
        <v>947</v>
      </c>
      <c r="C785" s="681"/>
      <c r="D785" s="689" t="s">
        <v>948</v>
      </c>
      <c r="E785" s="562">
        <f>'[2]COSTO LAMINADO CDMX-QRO-GDL'!I775</f>
        <v>2514.2857142857142</v>
      </c>
      <c r="F785" s="563" t="s">
        <v>284</v>
      </c>
    </row>
    <row r="786" spans="1:6">
      <c r="A786" s="702"/>
      <c r="B786" s="565" t="s">
        <v>949</v>
      </c>
      <c r="C786" s="681"/>
      <c r="D786" s="689" t="s">
        <v>950</v>
      </c>
      <c r="E786" s="562">
        <f>'[2]COSTO LAMINADO CDMX-QRO-GDL'!I776</f>
        <v>2571.4285714285716</v>
      </c>
      <c r="F786" s="563" t="s">
        <v>284</v>
      </c>
    </row>
    <row r="787" spans="1:6">
      <c r="A787" s="702"/>
      <c r="B787" s="565" t="s">
        <v>951</v>
      </c>
      <c r="C787" s="681"/>
      <c r="D787" s="703" t="s">
        <v>952</v>
      </c>
      <c r="E787" s="562">
        <f>'[2]COSTO LAMINADO CDMX-QRO-GDL'!I777</f>
        <v>2635.7142857142858</v>
      </c>
      <c r="F787" s="563" t="s">
        <v>284</v>
      </c>
    </row>
    <row r="788" spans="1:6">
      <c r="A788" s="585"/>
      <c r="B788" s="552"/>
      <c r="C788" s="553" t="s">
        <v>953</v>
      </c>
      <c r="D788" s="554"/>
      <c r="E788" s="586"/>
      <c r="F788" s="597"/>
    </row>
    <row r="789" spans="1:6">
      <c r="A789" s="558"/>
      <c r="B789" s="629"/>
      <c r="C789" s="626"/>
      <c r="D789" s="630"/>
      <c r="E789" s="631"/>
      <c r="F789" s="570"/>
    </row>
    <row r="790" spans="1:6">
      <c r="A790" s="558"/>
      <c r="B790" s="629"/>
      <c r="C790" s="626"/>
      <c r="D790" s="630"/>
      <c r="E790" s="631"/>
      <c r="F790" s="570"/>
    </row>
    <row r="791" spans="1:6">
      <c r="A791" s="558"/>
      <c r="B791" s="629"/>
      <c r="C791" s="626"/>
      <c r="D791" s="630"/>
      <c r="E791" s="631"/>
      <c r="F791" s="570"/>
    </row>
    <row r="792" spans="1:6">
      <c r="A792" s="558"/>
      <c r="B792" s="629"/>
      <c r="C792" s="626"/>
      <c r="D792" s="630"/>
      <c r="E792" s="631"/>
      <c r="F792" s="570"/>
    </row>
    <row r="793" spans="1:6">
      <c r="A793" s="558"/>
      <c r="B793" s="629"/>
      <c r="C793" s="626"/>
      <c r="D793" s="630"/>
      <c r="E793" s="631"/>
      <c r="F793" s="570"/>
    </row>
    <row r="794" spans="1:6">
      <c r="A794" s="558"/>
      <c r="B794" s="629"/>
      <c r="C794" s="626"/>
      <c r="D794" s="630"/>
      <c r="E794" s="631"/>
      <c r="F794" s="570"/>
    </row>
    <row r="795" spans="1:6">
      <c r="A795" s="558"/>
      <c r="B795" s="629"/>
      <c r="C795" s="626"/>
      <c r="D795" s="630"/>
      <c r="E795" s="631"/>
      <c r="F795" s="570"/>
    </row>
    <row r="796" spans="1:6">
      <c r="A796" s="558"/>
      <c r="B796" s="629"/>
      <c r="C796" s="626"/>
      <c r="D796" s="630"/>
      <c r="E796" s="631"/>
      <c r="F796" s="570"/>
    </row>
    <row r="797" spans="1:6">
      <c r="A797" s="558"/>
      <c r="B797" s="629"/>
      <c r="C797" s="626"/>
      <c r="D797" s="630"/>
      <c r="E797" s="631"/>
      <c r="F797" s="570"/>
    </row>
    <row r="798" spans="1:6">
      <c r="A798" s="558"/>
      <c r="B798" s="629"/>
      <c r="C798" s="626"/>
      <c r="D798" s="630"/>
      <c r="E798" s="631"/>
      <c r="F798" s="570"/>
    </row>
    <row r="799" spans="1:6">
      <c r="A799" s="558"/>
      <c r="B799" s="629"/>
      <c r="C799" s="626"/>
      <c r="D799" s="630"/>
      <c r="E799" s="631"/>
      <c r="F799" s="570"/>
    </row>
    <row r="800" spans="1:6">
      <c r="A800" s="558"/>
      <c r="B800" s="629"/>
      <c r="C800" s="626"/>
      <c r="D800" s="630"/>
      <c r="E800" s="631"/>
      <c r="F800" s="570"/>
    </row>
    <row r="801" spans="1:61">
      <c r="A801" s="558"/>
      <c r="B801" s="629"/>
      <c r="C801" s="626"/>
      <c r="D801" s="630"/>
      <c r="E801" s="631"/>
      <c r="F801" s="570"/>
    </row>
    <row r="802" spans="1:61">
      <c r="A802" s="558"/>
      <c r="B802" s="629"/>
      <c r="C802" s="626"/>
      <c r="D802" s="630"/>
      <c r="E802" s="631"/>
      <c r="F802" s="570"/>
    </row>
    <row r="803" spans="1:61">
      <c r="A803" s="558"/>
      <c r="B803" s="629"/>
      <c r="C803" s="626"/>
      <c r="D803" s="630"/>
      <c r="E803" s="631"/>
      <c r="F803" s="570"/>
    </row>
    <row r="804" spans="1:61">
      <c r="A804" s="558"/>
      <c r="B804" s="629"/>
      <c r="C804" s="626"/>
      <c r="D804" s="630"/>
      <c r="E804" s="631"/>
      <c r="F804" s="570"/>
    </row>
    <row r="805" spans="1:61" s="538" customFormat="1" ht="15" customHeight="1">
      <c r="A805" s="535" t="s">
        <v>509</v>
      </c>
      <c r="B805" s="536"/>
      <c r="C805" s="1483" t="s">
        <v>954</v>
      </c>
      <c r="D805" s="1491"/>
      <c r="E805" s="1487"/>
      <c r="F805" s="1488"/>
      <c r="G805" s="527"/>
      <c r="H805" s="537"/>
      <c r="I805" s="537"/>
      <c r="J805" s="537"/>
      <c r="K805" s="537"/>
      <c r="L805" s="537"/>
      <c r="M805" s="537"/>
      <c r="N805" s="537"/>
      <c r="O805" s="537"/>
      <c r="P805" s="537"/>
      <c r="Q805" s="537"/>
      <c r="R805" s="537"/>
      <c r="S805" s="537"/>
      <c r="T805" s="537"/>
      <c r="U805" s="537"/>
      <c r="V805" s="537"/>
      <c r="W805" s="537"/>
      <c r="X805" s="537"/>
      <c r="Y805" s="537"/>
      <c r="Z805" s="537"/>
      <c r="AA805" s="537"/>
      <c r="AB805" s="537"/>
      <c r="AC805" s="537"/>
      <c r="AD805" s="537"/>
      <c r="AE805" s="537"/>
      <c r="AF805" s="537"/>
      <c r="AG805" s="537"/>
      <c r="AH805" s="537"/>
      <c r="AI805" s="537"/>
      <c r="AJ805" s="537"/>
      <c r="AK805" s="537"/>
      <c r="AL805" s="537"/>
      <c r="AM805" s="537"/>
      <c r="AN805" s="537"/>
      <c r="AO805" s="537"/>
      <c r="AP805" s="537"/>
      <c r="AQ805" s="537"/>
      <c r="AR805" s="537"/>
      <c r="AS805" s="537"/>
      <c r="AT805" s="537"/>
      <c r="AU805" s="537"/>
      <c r="AV805" s="537"/>
      <c r="AW805" s="537"/>
      <c r="AX805" s="537"/>
      <c r="AY805" s="537"/>
      <c r="AZ805" s="537"/>
      <c r="BA805" s="537"/>
      <c r="BB805" s="537"/>
      <c r="BC805" s="537"/>
      <c r="BD805" s="537"/>
      <c r="BE805" s="537"/>
      <c r="BF805" s="537"/>
      <c r="BG805" s="537"/>
      <c r="BH805" s="537"/>
      <c r="BI805" s="537"/>
    </row>
    <row r="806" spans="1:61" s="542" customFormat="1" ht="15" customHeight="1">
      <c r="A806" s="539" t="s">
        <v>568</v>
      </c>
      <c r="B806" s="540"/>
      <c r="C806" s="1484"/>
      <c r="D806" s="1492"/>
      <c r="E806" s="1489"/>
      <c r="F806" s="1490"/>
      <c r="G806" s="527"/>
      <c r="H806" s="537"/>
      <c r="I806" s="541"/>
      <c r="J806" s="541"/>
      <c r="K806" s="541"/>
      <c r="L806" s="541"/>
      <c r="M806" s="541"/>
      <c r="N806" s="541"/>
      <c r="O806" s="541"/>
      <c r="P806" s="541"/>
      <c r="Q806" s="541"/>
      <c r="R806" s="541"/>
      <c r="S806" s="541"/>
      <c r="T806" s="541"/>
      <c r="U806" s="541"/>
      <c r="V806" s="541"/>
      <c r="W806" s="541"/>
      <c r="X806" s="541"/>
      <c r="Y806" s="541"/>
      <c r="Z806" s="541"/>
      <c r="AA806" s="541"/>
      <c r="AB806" s="541"/>
      <c r="AC806" s="541"/>
      <c r="AD806" s="541"/>
      <c r="AE806" s="541"/>
      <c r="AF806" s="541"/>
      <c r="AG806" s="541"/>
      <c r="AH806" s="541"/>
      <c r="AI806" s="541"/>
      <c r="AJ806" s="541"/>
      <c r="AK806" s="541"/>
      <c r="AL806" s="541"/>
      <c r="AM806" s="541"/>
      <c r="AN806" s="541"/>
      <c r="AO806" s="541"/>
      <c r="AP806" s="541"/>
      <c r="AQ806" s="541"/>
      <c r="AR806" s="541"/>
      <c r="AS806" s="541"/>
      <c r="AT806" s="541"/>
      <c r="AU806" s="541"/>
      <c r="AV806" s="541"/>
      <c r="AW806" s="541"/>
      <c r="AX806" s="541"/>
      <c r="AY806" s="541"/>
      <c r="AZ806" s="541"/>
      <c r="BA806" s="541"/>
      <c r="BB806" s="541"/>
      <c r="BC806" s="541"/>
      <c r="BD806" s="541"/>
      <c r="BE806" s="541"/>
      <c r="BF806" s="541"/>
      <c r="BG806" s="541"/>
      <c r="BH806" s="541"/>
      <c r="BI806" s="541"/>
    </row>
    <row r="807" spans="1:61" s="550" customFormat="1">
      <c r="A807" s="543" t="s">
        <v>512</v>
      </c>
      <c r="B807" s="544" t="s">
        <v>513</v>
      </c>
      <c r="C807" s="201" t="s">
        <v>514</v>
      </c>
      <c r="D807" s="545" t="s">
        <v>515</v>
      </c>
      <c r="E807" s="202" t="s">
        <v>516</v>
      </c>
      <c r="F807" s="546" t="s">
        <v>517</v>
      </c>
      <c r="G807" s="547"/>
      <c r="H807" s="537"/>
      <c r="I807" s="533"/>
      <c r="J807" s="548"/>
      <c r="K807" s="549"/>
      <c r="L807" s="548"/>
      <c r="M807" s="548"/>
      <c r="N807" s="548"/>
      <c r="O807" s="548"/>
      <c r="P807" s="548"/>
      <c r="Q807" s="548"/>
      <c r="R807" s="548"/>
      <c r="S807" s="548"/>
      <c r="T807" s="548"/>
      <c r="U807" s="548"/>
      <c r="V807" s="548"/>
      <c r="W807" s="548"/>
      <c r="X807" s="548"/>
      <c r="Y807" s="548"/>
      <c r="Z807" s="548"/>
      <c r="AA807" s="548"/>
      <c r="AB807" s="548"/>
      <c r="AC807" s="548"/>
      <c r="AD807" s="548"/>
      <c r="AE807" s="548"/>
      <c r="AF807" s="548"/>
      <c r="AG807" s="548"/>
      <c r="AH807" s="548"/>
      <c r="AI807" s="548"/>
      <c r="AJ807" s="548"/>
      <c r="AK807" s="548"/>
      <c r="AL807" s="548"/>
      <c r="AM807" s="548"/>
      <c r="AN807" s="548"/>
      <c r="AO807" s="548"/>
      <c r="AP807" s="548"/>
      <c r="AQ807" s="548"/>
      <c r="AR807" s="548"/>
      <c r="AS807" s="548"/>
      <c r="AT807" s="548"/>
      <c r="AU807" s="548"/>
      <c r="AV807" s="548"/>
      <c r="AW807" s="548"/>
      <c r="AX807" s="548"/>
      <c r="AY807" s="548"/>
      <c r="AZ807" s="548"/>
      <c r="BA807" s="548"/>
      <c r="BB807" s="548"/>
      <c r="BC807" s="548"/>
      <c r="BD807" s="548"/>
      <c r="BE807" s="548"/>
      <c r="BF807" s="548"/>
      <c r="BG807" s="548"/>
      <c r="BH807" s="548"/>
      <c r="BI807" s="548"/>
    </row>
    <row r="808" spans="1:61">
      <c r="A808" s="571"/>
      <c r="B808" s="704"/>
      <c r="C808" s="553" t="s">
        <v>955</v>
      </c>
      <c r="D808" s="705"/>
      <c r="E808" s="706"/>
      <c r="F808" s="575"/>
    </row>
    <row r="809" spans="1:61">
      <c r="A809" s="558"/>
      <c r="B809" s="565" t="s">
        <v>956</v>
      </c>
      <c r="C809" s="589" t="s">
        <v>957</v>
      </c>
      <c r="D809" s="693" t="s">
        <v>870</v>
      </c>
      <c r="E809" s="562">
        <f>'[2]COSTO LAMINADO CDMX-QRO-GDL'!I799</f>
        <v>3621.4285714285716</v>
      </c>
      <c r="F809" s="563" t="s">
        <v>284</v>
      </c>
    </row>
    <row r="810" spans="1:61">
      <c r="A810" s="558"/>
      <c r="B810" s="565" t="s">
        <v>958</v>
      </c>
      <c r="C810" s="589" t="s">
        <v>959</v>
      </c>
      <c r="D810" s="693" t="s">
        <v>873</v>
      </c>
      <c r="E810" s="562">
        <f>'[2]COSTO LAMINADO CDMX-QRO-GDL'!I800</f>
        <v>3814.2857142857147</v>
      </c>
      <c r="F810" s="563" t="s">
        <v>284</v>
      </c>
    </row>
    <row r="811" spans="1:61">
      <c r="A811" s="558"/>
      <c r="B811" s="565" t="s">
        <v>960</v>
      </c>
      <c r="C811" s="589" t="s">
        <v>961</v>
      </c>
      <c r="D811" s="693" t="s">
        <v>876</v>
      </c>
      <c r="E811" s="562">
        <f>'[2]COSTO LAMINADO CDMX-QRO-GDL'!I801</f>
        <v>3842.8571428571431</v>
      </c>
      <c r="F811" s="563" t="s">
        <v>284</v>
      </c>
    </row>
    <row r="812" spans="1:61">
      <c r="A812" s="558"/>
      <c r="B812" s="565" t="s">
        <v>962</v>
      </c>
      <c r="C812" s="589" t="s">
        <v>963</v>
      </c>
      <c r="D812" s="693" t="s">
        <v>878</v>
      </c>
      <c r="E812" s="562">
        <f>'[2]COSTO LAMINADO CDMX-QRO-GDL'!I802</f>
        <v>4128.5714285714284</v>
      </c>
      <c r="F812" s="563" t="s">
        <v>284</v>
      </c>
    </row>
    <row r="813" spans="1:61">
      <c r="A813" s="558"/>
      <c r="B813" s="565" t="s">
        <v>964</v>
      </c>
      <c r="C813" s="707" t="s">
        <v>965</v>
      </c>
      <c r="D813" s="693" t="s">
        <v>880</v>
      </c>
      <c r="E813" s="562">
        <f>'[2]COSTO LAMINADO CDMX-QRO-GDL'!I803</f>
        <v>4164.2857142857147</v>
      </c>
      <c r="F813" s="563" t="s">
        <v>284</v>
      </c>
    </row>
    <row r="814" spans="1:61">
      <c r="A814" s="558"/>
      <c r="B814" s="565" t="s">
        <v>966</v>
      </c>
      <c r="C814" s="589"/>
      <c r="D814" s="693" t="s">
        <v>882</v>
      </c>
      <c r="E814" s="562">
        <f>'[2]COSTO LAMINADO CDMX-QRO-GDL'!I804</f>
        <v>4457.1428571428578</v>
      </c>
      <c r="F814" s="563" t="s">
        <v>284</v>
      </c>
    </row>
    <row r="815" spans="1:61">
      <c r="A815" s="558"/>
      <c r="B815" s="565" t="s">
        <v>967</v>
      </c>
      <c r="C815" s="589"/>
      <c r="D815" s="693" t="s">
        <v>884</v>
      </c>
      <c r="E815" s="562">
        <f>'[2]COSTO LAMINADO CDMX-QRO-GDL'!I805</f>
        <v>4492.8571428571431</v>
      </c>
      <c r="F815" s="563" t="s">
        <v>284</v>
      </c>
    </row>
    <row r="816" spans="1:61">
      <c r="A816" s="558"/>
      <c r="B816" s="565" t="s">
        <v>968</v>
      </c>
      <c r="C816" s="589"/>
      <c r="D816" s="693" t="s">
        <v>886</v>
      </c>
      <c r="E816" s="562">
        <f>'[2]COSTO LAMINADO CDMX-QRO-GDL'!I806</f>
        <v>5071.4285714285716</v>
      </c>
      <c r="F816" s="563" t="s">
        <v>284</v>
      </c>
    </row>
    <row r="817" spans="1:6">
      <c r="A817" s="558"/>
      <c r="B817" s="565" t="s">
        <v>969</v>
      </c>
      <c r="C817" s="589"/>
      <c r="D817" s="693" t="s">
        <v>888</v>
      </c>
      <c r="E817" s="562">
        <f>'[2]COSTO LAMINADO CDMX-QRO-GDL'!I807</f>
        <v>5114.2857142857147</v>
      </c>
      <c r="F817" s="563" t="s">
        <v>284</v>
      </c>
    </row>
    <row r="818" spans="1:6">
      <c r="A818" s="558"/>
      <c r="B818" s="565" t="s">
        <v>970</v>
      </c>
      <c r="C818" s="589"/>
      <c r="D818" s="693" t="s">
        <v>890</v>
      </c>
      <c r="E818" s="562">
        <f>'[2]COSTO LAMINADO CDMX-QRO-GDL'!I808</f>
        <v>5142.8571428571431</v>
      </c>
      <c r="F818" s="563" t="s">
        <v>284</v>
      </c>
    </row>
    <row r="819" spans="1:6">
      <c r="A819" s="558"/>
      <c r="B819" s="565" t="s">
        <v>971</v>
      </c>
      <c r="C819" s="589"/>
      <c r="D819" s="693" t="s">
        <v>892</v>
      </c>
      <c r="E819" s="562">
        <f>'[2]COSTO LAMINADO CDMX-QRO-GDL'!I809</f>
        <v>5428.5714285714294</v>
      </c>
      <c r="F819" s="563" t="s">
        <v>284</v>
      </c>
    </row>
    <row r="820" spans="1:6">
      <c r="A820" s="558"/>
      <c r="B820" s="565" t="s">
        <v>972</v>
      </c>
      <c r="C820" s="589"/>
      <c r="D820" s="693" t="s">
        <v>894</v>
      </c>
      <c r="E820" s="562">
        <f>'[2]COSTO LAMINADO CDMX-QRO-GDL'!I810</f>
        <v>5428.5714285714294</v>
      </c>
      <c r="F820" s="563" t="s">
        <v>284</v>
      </c>
    </row>
    <row r="821" spans="1:6">
      <c r="A821" s="558"/>
      <c r="B821" s="565" t="s">
        <v>973</v>
      </c>
      <c r="C821" s="589"/>
      <c r="D821" s="693" t="s">
        <v>896</v>
      </c>
      <c r="E821" s="562">
        <f>'[2]COSTO LAMINADO CDMX-QRO-GDL'!I811</f>
        <v>5642.8571428571431</v>
      </c>
      <c r="F821" s="563" t="s">
        <v>284</v>
      </c>
    </row>
    <row r="822" spans="1:6">
      <c r="A822" s="558"/>
      <c r="B822" s="565"/>
      <c r="C822" s="589"/>
      <c r="D822" s="693"/>
      <c r="E822" s="562"/>
      <c r="F822" s="563"/>
    </row>
    <row r="823" spans="1:6">
      <c r="A823" s="558"/>
      <c r="B823" s="565" t="s">
        <v>974</v>
      </c>
      <c r="C823" s="589" t="s">
        <v>975</v>
      </c>
      <c r="D823" s="693" t="s">
        <v>976</v>
      </c>
      <c r="E823" s="562">
        <f>'[2]COSTO LAMINADO CDMX-QRO-GDL'!I813</f>
        <v>10721.428571428572</v>
      </c>
      <c r="F823" s="563" t="s">
        <v>284</v>
      </c>
    </row>
    <row r="824" spans="1:6">
      <c r="A824" s="558"/>
      <c r="B824" s="565" t="s">
        <v>977</v>
      </c>
      <c r="C824" s="589" t="s">
        <v>978</v>
      </c>
      <c r="D824" s="693" t="s">
        <v>979</v>
      </c>
      <c r="E824" s="562">
        <f>'[2]COSTO LAMINADO CDMX-QRO-GDL'!I814</f>
        <v>11014.285714285716</v>
      </c>
      <c r="F824" s="563" t="s">
        <v>284</v>
      </c>
    </row>
    <row r="825" spans="1:6">
      <c r="A825" s="558"/>
      <c r="B825" s="565" t="s">
        <v>980</v>
      </c>
      <c r="C825" s="589" t="s">
        <v>961</v>
      </c>
      <c r="D825" s="693" t="s">
        <v>981</v>
      </c>
      <c r="E825" s="562">
        <f>'[2]COSTO LAMINADO CDMX-QRO-GDL'!I815</f>
        <v>11828.571428571429</v>
      </c>
      <c r="F825" s="563" t="s">
        <v>284</v>
      </c>
    </row>
    <row r="826" spans="1:6">
      <c r="A826" s="558"/>
      <c r="B826" s="565" t="s">
        <v>982</v>
      </c>
      <c r="C826" s="589" t="s">
        <v>909</v>
      </c>
      <c r="D826" s="693" t="s">
        <v>983</v>
      </c>
      <c r="E826" s="562">
        <f>'[2]COSTO LAMINADO CDMX-QRO-GDL'!I816</f>
        <v>13685.714285714286</v>
      </c>
      <c r="F826" s="563" t="s">
        <v>284</v>
      </c>
    </row>
    <row r="827" spans="1:6">
      <c r="A827" s="558"/>
      <c r="B827" s="565" t="s">
        <v>984</v>
      </c>
      <c r="C827" s="707" t="s">
        <v>965</v>
      </c>
      <c r="D827" s="693" t="s">
        <v>985</v>
      </c>
      <c r="E827" s="562">
        <f>'[2]COSTO LAMINADO CDMX-QRO-GDL'!I817</f>
        <v>14142.857142857143</v>
      </c>
      <c r="F827" s="563" t="s">
        <v>284</v>
      </c>
    </row>
    <row r="828" spans="1:6">
      <c r="A828" s="558"/>
      <c r="B828" s="565" t="s">
        <v>986</v>
      </c>
      <c r="C828" s="589"/>
      <c r="D828" s="693" t="s">
        <v>987</v>
      </c>
      <c r="E828" s="562">
        <f>'[2]COSTO LAMINADO CDMX-QRO-GDL'!I818</f>
        <v>16042.857142857143</v>
      </c>
      <c r="F828" s="563" t="s">
        <v>284</v>
      </c>
    </row>
    <row r="829" spans="1:6">
      <c r="A829" s="558"/>
      <c r="B829" s="565" t="s">
        <v>988</v>
      </c>
      <c r="C829" s="589"/>
      <c r="D829" s="693" t="s">
        <v>989</v>
      </c>
      <c r="E829" s="562">
        <f>'[2]COSTO LAMINADO CDMX-QRO-GDL'!I819</f>
        <v>16064.285714285716</v>
      </c>
      <c r="F829" s="563" t="s">
        <v>284</v>
      </c>
    </row>
    <row r="830" spans="1:6">
      <c r="A830" s="558"/>
      <c r="B830" s="565"/>
      <c r="C830" s="589"/>
      <c r="D830" s="693"/>
      <c r="E830" s="562"/>
      <c r="F830" s="563"/>
    </row>
    <row r="831" spans="1:6">
      <c r="A831" s="558"/>
      <c r="B831" s="565" t="s">
        <v>990</v>
      </c>
      <c r="C831" s="589" t="s">
        <v>975</v>
      </c>
      <c r="D831" s="693" t="s">
        <v>991</v>
      </c>
      <c r="E831" s="562">
        <f>'[2]COSTO LAMINADO CDMX-QRO-GDL'!I821</f>
        <v>10785.714285714286</v>
      </c>
      <c r="F831" s="563" t="s">
        <v>284</v>
      </c>
    </row>
    <row r="832" spans="1:6">
      <c r="A832" s="558"/>
      <c r="B832" s="565" t="s">
        <v>992</v>
      </c>
      <c r="C832" s="589" t="s">
        <v>978</v>
      </c>
      <c r="D832" s="693" t="s">
        <v>993</v>
      </c>
      <c r="E832" s="562">
        <f>'[2]COSTO LAMINADO CDMX-QRO-GDL'!I822</f>
        <v>11100</v>
      </c>
      <c r="F832" s="563" t="s">
        <v>284</v>
      </c>
    </row>
    <row r="833" spans="1:6">
      <c r="A833" s="558"/>
      <c r="B833" s="565" t="s">
        <v>994</v>
      </c>
      <c r="C833" s="589" t="s">
        <v>995</v>
      </c>
      <c r="D833" s="693" t="s">
        <v>996</v>
      </c>
      <c r="E833" s="562">
        <f>'[2]COSTO LAMINADO CDMX-QRO-GDL'!I823</f>
        <v>11900</v>
      </c>
      <c r="F833" s="563" t="s">
        <v>284</v>
      </c>
    </row>
    <row r="834" spans="1:6">
      <c r="A834" s="558"/>
      <c r="B834" s="565" t="s">
        <v>997</v>
      </c>
      <c r="C834" s="589" t="s">
        <v>909</v>
      </c>
      <c r="D834" s="693" t="s">
        <v>998</v>
      </c>
      <c r="E834" s="562">
        <f>'[2]COSTO LAMINADO CDMX-QRO-GDL'!I824</f>
        <v>13807.142857142859</v>
      </c>
      <c r="F834" s="563" t="s">
        <v>284</v>
      </c>
    </row>
    <row r="835" spans="1:6">
      <c r="A835" s="558"/>
      <c r="B835" s="565" t="s">
        <v>999</v>
      </c>
      <c r="C835" s="707" t="s">
        <v>965</v>
      </c>
      <c r="D835" s="693" t="s">
        <v>1000</v>
      </c>
      <c r="E835" s="562">
        <f>'[2]COSTO LAMINADO CDMX-QRO-GDL'!I825</f>
        <v>14214.285714285716</v>
      </c>
      <c r="F835" s="563" t="s">
        <v>284</v>
      </c>
    </row>
    <row r="836" spans="1:6">
      <c r="A836" s="558"/>
      <c r="B836" s="565" t="s">
        <v>1001</v>
      </c>
      <c r="C836" s="589"/>
      <c r="D836" s="693" t="s">
        <v>1002</v>
      </c>
      <c r="E836" s="562">
        <f>'[2]COSTO LAMINADO CDMX-QRO-GDL'!I826</f>
        <v>16114.285714285716</v>
      </c>
      <c r="F836" s="563" t="s">
        <v>284</v>
      </c>
    </row>
    <row r="837" spans="1:6">
      <c r="A837" s="558"/>
      <c r="B837" s="565" t="s">
        <v>1003</v>
      </c>
      <c r="C837" s="589"/>
      <c r="D837" s="693" t="s">
        <v>1004</v>
      </c>
      <c r="E837" s="562"/>
      <c r="F837" s="708"/>
    </row>
    <row r="838" spans="1:6">
      <c r="A838" s="558"/>
      <c r="B838" s="565"/>
      <c r="C838" s="589"/>
      <c r="D838" s="693"/>
      <c r="E838" s="569"/>
      <c r="F838" s="570"/>
    </row>
    <row r="839" spans="1:6">
      <c r="A839" s="585"/>
      <c r="B839" s="552"/>
      <c r="C839" s="553" t="s">
        <v>1005</v>
      </c>
      <c r="D839" s="554"/>
      <c r="E839" s="644"/>
      <c r="F839" s="575"/>
    </row>
    <row r="840" spans="1:6">
      <c r="A840" s="576"/>
      <c r="B840" s="559" t="s">
        <v>1006</v>
      </c>
      <c r="C840" s="560" t="s">
        <v>1007</v>
      </c>
      <c r="D840" s="693" t="s">
        <v>1008</v>
      </c>
      <c r="E840" s="562">
        <f>'[2]COSTO LAMINADO CDMX-QRO-GDL'!I830</f>
        <v>2971.4285714285716</v>
      </c>
      <c r="F840" s="563" t="s">
        <v>284</v>
      </c>
    </row>
    <row r="841" spans="1:6">
      <c r="A841" s="576"/>
      <c r="B841" s="559" t="s">
        <v>1009</v>
      </c>
      <c r="C841" s="560" t="s">
        <v>1010</v>
      </c>
      <c r="D841" s="693" t="s">
        <v>1011</v>
      </c>
      <c r="E841" s="562">
        <f>'[2]COSTO LAMINADO CDMX-QRO-GDL'!I831</f>
        <v>3000</v>
      </c>
      <c r="F841" s="563" t="s">
        <v>284</v>
      </c>
    </row>
    <row r="842" spans="1:6">
      <c r="A842" s="576"/>
      <c r="B842" s="559" t="s">
        <v>1012</v>
      </c>
      <c r="C842" s="560" t="s">
        <v>1013</v>
      </c>
      <c r="D842" s="693" t="s">
        <v>1014</v>
      </c>
      <c r="E842" s="562">
        <f>'[2]COSTO LAMINADO CDMX-QRO-GDL'!I832</f>
        <v>3342.8571428571431</v>
      </c>
      <c r="F842" s="563" t="s">
        <v>284</v>
      </c>
    </row>
    <row r="843" spans="1:6">
      <c r="A843" s="576"/>
      <c r="B843" s="559" t="s">
        <v>1015</v>
      </c>
      <c r="C843" s="560" t="s">
        <v>909</v>
      </c>
      <c r="D843" s="693" t="s">
        <v>1016</v>
      </c>
      <c r="E843" s="562">
        <f>'[2]COSTO LAMINADO CDMX-QRO-GDL'!I833</f>
        <v>3592.8571428571431</v>
      </c>
      <c r="F843" s="563" t="s">
        <v>284</v>
      </c>
    </row>
    <row r="844" spans="1:6">
      <c r="A844" s="576"/>
      <c r="B844" s="559"/>
      <c r="C844" s="560"/>
      <c r="D844" s="630"/>
      <c r="E844" s="569"/>
      <c r="F844" s="570"/>
    </row>
    <row r="845" spans="1:6">
      <c r="A845" s="576"/>
      <c r="B845" s="559"/>
      <c r="C845" s="560"/>
      <c r="D845" s="630"/>
      <c r="E845" s="569"/>
      <c r="F845" s="570"/>
    </row>
    <row r="846" spans="1:6">
      <c r="A846" s="576"/>
      <c r="B846" s="559"/>
      <c r="C846" s="560"/>
      <c r="D846" s="630"/>
      <c r="E846" s="569"/>
      <c r="F846" s="570"/>
    </row>
    <row r="847" spans="1:6">
      <c r="A847" s="576"/>
      <c r="B847" s="559"/>
      <c r="C847" s="560"/>
      <c r="D847" s="630"/>
      <c r="E847" s="569"/>
      <c r="F847" s="570"/>
    </row>
    <row r="848" spans="1:6">
      <c r="A848" s="576"/>
      <c r="B848" s="559"/>
      <c r="C848" s="560"/>
      <c r="D848" s="630"/>
      <c r="E848" s="569"/>
      <c r="F848" s="570"/>
    </row>
    <row r="849" spans="1:6">
      <c r="A849" s="585"/>
      <c r="B849" s="552"/>
      <c r="C849" s="553" t="s">
        <v>1017</v>
      </c>
      <c r="D849" s="554"/>
      <c r="E849" s="644"/>
      <c r="F849" s="575"/>
    </row>
    <row r="850" spans="1:6">
      <c r="A850" s="576"/>
      <c r="B850" s="559" t="s">
        <v>1018</v>
      </c>
      <c r="C850" s="560" t="s">
        <v>1019</v>
      </c>
      <c r="D850" s="693" t="s">
        <v>1014</v>
      </c>
      <c r="E850" s="562">
        <f>'[2]COSTO LAMINADO CDMX-QRO-GDL'!I840</f>
        <v>3100</v>
      </c>
      <c r="F850" s="563" t="s">
        <v>284</v>
      </c>
    </row>
    <row r="851" spans="1:6">
      <c r="A851" s="576"/>
      <c r="B851" s="559" t="s">
        <v>1020</v>
      </c>
      <c r="C851" s="560" t="s">
        <v>1021</v>
      </c>
      <c r="D851" s="693" t="s">
        <v>1016</v>
      </c>
      <c r="E851" s="562">
        <f>'[2]COSTO LAMINADO CDMX-QRO-GDL'!I841</f>
        <v>3164.2857142857147</v>
      </c>
      <c r="F851" s="563" t="s">
        <v>284</v>
      </c>
    </row>
    <row r="852" spans="1:6">
      <c r="A852" s="576"/>
      <c r="B852" s="559"/>
      <c r="C852" s="560" t="s">
        <v>1022</v>
      </c>
      <c r="D852" s="630"/>
      <c r="E852" s="569"/>
      <c r="F852" s="570"/>
    </row>
    <row r="853" spans="1:6">
      <c r="A853" s="576"/>
      <c r="B853" s="559"/>
      <c r="C853" s="560"/>
      <c r="D853" s="630"/>
      <c r="E853" s="569"/>
      <c r="F853" s="570"/>
    </row>
    <row r="854" spans="1:6">
      <c r="A854" s="576"/>
      <c r="B854" s="559"/>
      <c r="C854" s="560"/>
      <c r="D854" s="630"/>
      <c r="E854" s="569"/>
      <c r="F854" s="570"/>
    </row>
    <row r="855" spans="1:6">
      <c r="A855" s="576"/>
      <c r="B855" s="559"/>
      <c r="C855" s="560"/>
      <c r="D855" s="630"/>
      <c r="E855" s="569"/>
      <c r="F855" s="570"/>
    </row>
    <row r="856" spans="1:6">
      <c r="A856" s="576"/>
      <c r="B856" s="559"/>
      <c r="C856" s="560"/>
      <c r="D856" s="630"/>
      <c r="E856" s="569"/>
      <c r="F856" s="570"/>
    </row>
    <row r="857" spans="1:6">
      <c r="A857" s="576"/>
      <c r="B857" s="559"/>
      <c r="C857" s="560"/>
      <c r="D857" s="630"/>
      <c r="E857" s="569"/>
      <c r="F857" s="570"/>
    </row>
    <row r="858" spans="1:6">
      <c r="A858" s="585"/>
      <c r="B858" s="552"/>
      <c r="C858" s="553" t="s">
        <v>1023</v>
      </c>
      <c r="D858" s="554"/>
      <c r="E858" s="644"/>
      <c r="F858" s="575"/>
    </row>
    <row r="859" spans="1:6">
      <c r="A859" s="576"/>
      <c r="B859" s="559" t="s">
        <v>1024</v>
      </c>
      <c r="C859" s="560" t="s">
        <v>1025</v>
      </c>
      <c r="D859" s="693" t="s">
        <v>1026</v>
      </c>
      <c r="E859" s="562">
        <f>'[2]COSTO LAMINADO CDMX-QRO-GDL'!I849</f>
        <v>5128.5714285714294</v>
      </c>
      <c r="F859" s="563" t="s">
        <v>284</v>
      </c>
    </row>
    <row r="860" spans="1:6">
      <c r="A860" s="576"/>
      <c r="B860" s="559" t="s">
        <v>1027</v>
      </c>
      <c r="C860" s="560" t="s">
        <v>1028</v>
      </c>
      <c r="D860" s="693" t="s">
        <v>1029</v>
      </c>
      <c r="E860" s="562">
        <f>'[2]COSTO LAMINADO CDMX-QRO-GDL'!I850</f>
        <v>5221.4285714285716</v>
      </c>
      <c r="F860" s="563" t="s">
        <v>284</v>
      </c>
    </row>
    <row r="861" spans="1:6">
      <c r="A861" s="576"/>
      <c r="B861" s="559" t="s">
        <v>1030</v>
      </c>
      <c r="C861" s="560" t="s">
        <v>1031</v>
      </c>
      <c r="D861" s="693" t="s">
        <v>1032</v>
      </c>
      <c r="E861" s="562">
        <f>'[2]COSTO LAMINADO CDMX-QRO-GDL'!I851</f>
        <v>6021.4285714285716</v>
      </c>
      <c r="F861" s="563" t="s">
        <v>284</v>
      </c>
    </row>
    <row r="862" spans="1:6">
      <c r="A862" s="576"/>
      <c r="B862" s="559" t="s">
        <v>1033</v>
      </c>
      <c r="C862" s="560"/>
      <c r="D862" s="693" t="s">
        <v>1034</v>
      </c>
      <c r="E862" s="562">
        <f>'[2]COSTO LAMINADO CDMX-QRO-GDL'!I852</f>
        <v>6350</v>
      </c>
      <c r="F862" s="563" t="s">
        <v>284</v>
      </c>
    </row>
    <row r="863" spans="1:6">
      <c r="A863" s="576"/>
      <c r="B863" s="559"/>
      <c r="C863" s="560"/>
      <c r="D863" s="630"/>
      <c r="E863" s="569"/>
      <c r="F863" s="570"/>
    </row>
    <row r="864" spans="1:6">
      <c r="A864" s="576"/>
      <c r="B864" s="559"/>
      <c r="C864" s="560"/>
      <c r="D864" s="630"/>
      <c r="E864" s="569"/>
      <c r="F864" s="570"/>
    </row>
    <row r="865" spans="1:6">
      <c r="A865" s="576"/>
      <c r="B865" s="559"/>
      <c r="C865" s="560"/>
      <c r="D865" s="630"/>
      <c r="E865" s="569"/>
      <c r="F865" s="570"/>
    </row>
    <row r="866" spans="1:6">
      <c r="A866" s="576"/>
      <c r="B866" s="559"/>
      <c r="C866" s="560"/>
      <c r="D866" s="630"/>
      <c r="E866" s="569"/>
      <c r="F866" s="570"/>
    </row>
    <row r="867" spans="1:6">
      <c r="A867" s="585"/>
      <c r="B867" s="552"/>
      <c r="C867" s="553" t="s">
        <v>1035</v>
      </c>
      <c r="D867" s="554"/>
      <c r="E867" s="644"/>
      <c r="F867" s="575"/>
    </row>
    <row r="868" spans="1:6">
      <c r="A868" s="576"/>
      <c r="B868" s="559" t="s">
        <v>1036</v>
      </c>
      <c r="C868" s="560" t="s">
        <v>1037</v>
      </c>
      <c r="D868" s="693" t="s">
        <v>1038</v>
      </c>
      <c r="E868" s="562">
        <f>'[2]COSTO LAMINADO CDMX-QRO-GDL'!I858</f>
        <v>7721.4285714285716</v>
      </c>
      <c r="F868" s="563" t="s">
        <v>284</v>
      </c>
    </row>
    <row r="869" spans="1:6">
      <c r="A869" s="576"/>
      <c r="B869" s="559"/>
      <c r="C869" s="560" t="s">
        <v>1039</v>
      </c>
      <c r="D869" s="693"/>
      <c r="E869" s="569"/>
      <c r="F869" s="570"/>
    </row>
    <row r="870" spans="1:6">
      <c r="A870" s="576"/>
      <c r="B870" s="559"/>
      <c r="C870" s="560" t="s">
        <v>1040</v>
      </c>
      <c r="D870" s="693"/>
      <c r="E870" s="569"/>
      <c r="F870" s="570"/>
    </row>
    <row r="871" spans="1:6">
      <c r="A871" s="594"/>
      <c r="B871" s="559"/>
      <c r="C871" s="560" t="s">
        <v>1041</v>
      </c>
      <c r="D871" s="693"/>
      <c r="E871" s="569"/>
      <c r="F871" s="570"/>
    </row>
    <row r="872" spans="1:6">
      <c r="A872" s="576"/>
      <c r="B872" s="559"/>
      <c r="C872" s="560"/>
      <c r="D872" s="693"/>
      <c r="E872" s="569"/>
      <c r="F872" s="570"/>
    </row>
    <row r="873" spans="1:6">
      <c r="A873" s="576"/>
      <c r="B873" s="559"/>
      <c r="C873" s="560"/>
      <c r="D873" s="693"/>
      <c r="E873" s="569"/>
      <c r="F873" s="570"/>
    </row>
    <row r="874" spans="1:6">
      <c r="A874" s="576"/>
      <c r="B874" s="559"/>
      <c r="C874" s="560"/>
      <c r="D874" s="693"/>
      <c r="E874" s="569"/>
      <c r="F874" s="570"/>
    </row>
    <row r="875" spans="1:6">
      <c r="A875" s="576"/>
      <c r="B875" s="559"/>
      <c r="C875" s="560"/>
      <c r="D875" s="693"/>
      <c r="E875" s="569"/>
      <c r="F875" s="570"/>
    </row>
    <row r="876" spans="1:6">
      <c r="A876" s="576"/>
      <c r="B876" s="559"/>
      <c r="C876" s="560"/>
      <c r="D876" s="693"/>
      <c r="E876" s="569"/>
      <c r="F876" s="570"/>
    </row>
    <row r="877" spans="1:6">
      <c r="A877" s="576"/>
      <c r="B877" s="559" t="s">
        <v>1042</v>
      </c>
      <c r="C877" s="560" t="s">
        <v>1043</v>
      </c>
      <c r="D877" s="693" t="s">
        <v>1044</v>
      </c>
      <c r="E877" s="562">
        <f>'[2]COSTO LAMINADO CDMX-QRO-GDL'!I867</f>
        <v>8271.4285714285725</v>
      </c>
      <c r="F877" s="563" t="s">
        <v>284</v>
      </c>
    </row>
    <row r="878" spans="1:6">
      <c r="A878" s="576"/>
      <c r="B878" s="559" t="s">
        <v>1045</v>
      </c>
      <c r="C878" s="560" t="s">
        <v>1039</v>
      </c>
      <c r="D878" s="693" t="s">
        <v>1046</v>
      </c>
      <c r="E878" s="562">
        <f>'[2]COSTO LAMINADO CDMX-QRO-GDL'!I868</f>
        <v>8485.7142857142862</v>
      </c>
      <c r="F878" s="563" t="s">
        <v>284</v>
      </c>
    </row>
    <row r="879" spans="1:6">
      <c r="A879" s="576"/>
      <c r="B879" s="559" t="s">
        <v>1047</v>
      </c>
      <c r="C879" s="560" t="s">
        <v>1040</v>
      </c>
      <c r="D879" s="693" t="s">
        <v>1048</v>
      </c>
      <c r="E879" s="562">
        <f>'[2]COSTO LAMINADO CDMX-QRO-GDL'!I869</f>
        <v>9764.2857142857156</v>
      </c>
      <c r="F879" s="563" t="s">
        <v>284</v>
      </c>
    </row>
    <row r="880" spans="1:6">
      <c r="A880" s="576"/>
      <c r="B880" s="559"/>
      <c r="C880" s="560" t="s">
        <v>1041</v>
      </c>
      <c r="D880" s="630"/>
      <c r="E880" s="569"/>
      <c r="F880" s="570"/>
    </row>
    <row r="881" spans="1:6">
      <c r="A881" s="576"/>
      <c r="B881" s="559"/>
      <c r="C881" s="560"/>
      <c r="D881" s="630"/>
      <c r="E881" s="569"/>
      <c r="F881" s="570"/>
    </row>
    <row r="882" spans="1:6">
      <c r="A882" s="576"/>
      <c r="B882" s="559"/>
      <c r="C882" s="560"/>
      <c r="D882" s="630"/>
      <c r="E882" s="569"/>
      <c r="F882" s="570"/>
    </row>
    <row r="883" spans="1:6">
      <c r="A883" s="576"/>
      <c r="B883" s="559"/>
      <c r="C883" s="560"/>
      <c r="D883" s="630"/>
      <c r="E883" s="569"/>
      <c r="F883" s="570"/>
    </row>
    <row r="884" spans="1:6">
      <c r="A884" s="576"/>
      <c r="B884" s="559"/>
      <c r="C884" s="560"/>
      <c r="D884" s="630"/>
      <c r="E884" s="569"/>
      <c r="F884" s="570"/>
    </row>
    <row r="885" spans="1:6">
      <c r="A885" s="672"/>
      <c r="B885" s="673"/>
      <c r="C885" s="553" t="s">
        <v>953</v>
      </c>
      <c r="D885" s="675"/>
      <c r="E885" s="709"/>
      <c r="F885" s="575"/>
    </row>
    <row r="886" spans="1:6">
      <c r="A886" s="558"/>
      <c r="B886" s="629"/>
      <c r="C886" s="626"/>
      <c r="D886" s="630"/>
      <c r="E886" s="631"/>
      <c r="F886" s="570"/>
    </row>
    <row r="887" spans="1:6">
      <c r="A887" s="558"/>
      <c r="B887" s="629"/>
      <c r="C887" s="626"/>
      <c r="D887" s="630"/>
      <c r="E887" s="631"/>
      <c r="F887" s="570"/>
    </row>
    <row r="888" spans="1:6">
      <c r="A888" s="558"/>
      <c r="B888" s="629"/>
      <c r="C888" s="626"/>
      <c r="D888" s="630"/>
      <c r="E888" s="631"/>
      <c r="F888" s="570"/>
    </row>
    <row r="889" spans="1:6">
      <c r="A889" s="558"/>
      <c r="B889" s="629"/>
      <c r="C889" s="626"/>
      <c r="D889" s="630"/>
      <c r="E889" s="631"/>
      <c r="F889" s="570"/>
    </row>
    <row r="890" spans="1:6">
      <c r="A890" s="558"/>
      <c r="B890" s="629"/>
      <c r="C890" s="626"/>
      <c r="D890" s="630"/>
      <c r="E890" s="631"/>
      <c r="F890" s="570"/>
    </row>
    <row r="891" spans="1:6">
      <c r="A891" s="558"/>
      <c r="B891" s="629"/>
      <c r="C891" s="626"/>
      <c r="D891" s="630"/>
      <c r="E891" s="631"/>
      <c r="F891" s="570"/>
    </row>
    <row r="892" spans="1:6">
      <c r="A892" s="558"/>
      <c r="B892" s="629"/>
      <c r="C892" s="626"/>
      <c r="D892" s="630"/>
      <c r="E892" s="631"/>
      <c r="F892" s="570"/>
    </row>
    <row r="893" spans="1:6">
      <c r="A893" s="558"/>
      <c r="B893" s="629"/>
      <c r="C893" s="626"/>
      <c r="D893" s="630"/>
      <c r="E893" s="631"/>
      <c r="F893" s="570"/>
    </row>
    <row r="894" spans="1:6">
      <c r="A894" s="558"/>
      <c r="B894" s="629"/>
      <c r="C894" s="626"/>
      <c r="D894" s="630"/>
      <c r="E894" s="631"/>
      <c r="F894" s="570"/>
    </row>
    <row r="895" spans="1:6">
      <c r="A895" s="558"/>
      <c r="B895" s="629"/>
      <c r="C895" s="626"/>
      <c r="D895" s="630"/>
      <c r="E895" s="631"/>
      <c r="F895" s="570"/>
    </row>
    <row r="896" spans="1:6">
      <c r="A896" s="558"/>
      <c r="B896" s="629"/>
      <c r="C896" s="626"/>
      <c r="D896" s="630"/>
      <c r="E896" s="631"/>
      <c r="F896" s="570"/>
    </row>
    <row r="897" spans="1:61">
      <c r="A897" s="558"/>
      <c r="B897" s="629"/>
      <c r="C897" s="626"/>
      <c r="D897" s="630"/>
      <c r="E897" s="631"/>
      <c r="F897" s="570"/>
    </row>
    <row r="898" spans="1:61">
      <c r="A898" s="558"/>
      <c r="B898" s="629"/>
      <c r="C898" s="626"/>
      <c r="D898" s="630"/>
      <c r="E898" s="631"/>
      <c r="F898" s="570"/>
    </row>
    <row r="899" spans="1:61">
      <c r="A899" s="558"/>
      <c r="B899" s="629"/>
      <c r="C899" s="626"/>
      <c r="D899" s="630"/>
      <c r="E899" s="631"/>
      <c r="F899" s="570"/>
    </row>
    <row r="900" spans="1:61" s="538" customFormat="1" ht="15" customHeight="1">
      <c r="A900" s="535" t="s">
        <v>509</v>
      </c>
      <c r="B900" s="536"/>
      <c r="C900" s="1483" t="s">
        <v>1049</v>
      </c>
      <c r="D900" s="1491"/>
      <c r="E900" s="1487"/>
      <c r="F900" s="1488"/>
      <c r="G900" s="527"/>
      <c r="H900" s="537"/>
      <c r="I900" s="537"/>
      <c r="J900" s="537"/>
      <c r="K900" s="537"/>
      <c r="L900" s="537"/>
      <c r="M900" s="537"/>
      <c r="N900" s="537"/>
      <c r="O900" s="537"/>
      <c r="P900" s="537"/>
      <c r="Q900" s="537"/>
      <c r="R900" s="537"/>
      <c r="S900" s="537"/>
      <c r="T900" s="537"/>
      <c r="U900" s="537"/>
      <c r="V900" s="537"/>
      <c r="W900" s="537"/>
      <c r="X900" s="537"/>
      <c r="Y900" s="537"/>
      <c r="Z900" s="537"/>
      <c r="AA900" s="537"/>
      <c r="AB900" s="537"/>
      <c r="AC900" s="537"/>
      <c r="AD900" s="537"/>
      <c r="AE900" s="537"/>
      <c r="AF900" s="537"/>
      <c r="AG900" s="537"/>
      <c r="AH900" s="537"/>
      <c r="AI900" s="537"/>
      <c r="AJ900" s="537"/>
      <c r="AK900" s="537"/>
      <c r="AL900" s="537"/>
      <c r="AM900" s="537"/>
      <c r="AN900" s="537"/>
      <c r="AO900" s="537"/>
      <c r="AP900" s="537"/>
      <c r="AQ900" s="537"/>
      <c r="AR900" s="537"/>
      <c r="AS900" s="537"/>
      <c r="AT900" s="537"/>
      <c r="AU900" s="537"/>
      <c r="AV900" s="537"/>
      <c r="AW900" s="537"/>
      <c r="AX900" s="537"/>
      <c r="AY900" s="537"/>
      <c r="AZ900" s="537"/>
      <c r="BA900" s="537"/>
      <c r="BB900" s="537"/>
      <c r="BC900" s="537"/>
      <c r="BD900" s="537"/>
      <c r="BE900" s="537"/>
      <c r="BF900" s="537"/>
      <c r="BG900" s="537"/>
      <c r="BH900" s="537"/>
      <c r="BI900" s="537"/>
    </row>
    <row r="901" spans="1:61" s="542" customFormat="1" ht="15" customHeight="1">
      <c r="A901" s="539" t="s">
        <v>568</v>
      </c>
      <c r="B901" s="540"/>
      <c r="C901" s="1484"/>
      <c r="D901" s="1492"/>
      <c r="E901" s="1489"/>
      <c r="F901" s="1490"/>
      <c r="G901" s="527"/>
      <c r="H901" s="537"/>
      <c r="I901" s="541"/>
      <c r="J901" s="541"/>
      <c r="K901" s="541"/>
      <c r="L901" s="541"/>
      <c r="M901" s="541"/>
      <c r="N901" s="541"/>
      <c r="O901" s="541"/>
      <c r="P901" s="541"/>
      <c r="Q901" s="541"/>
      <c r="R901" s="541"/>
      <c r="S901" s="541"/>
      <c r="T901" s="541"/>
      <c r="U901" s="541"/>
      <c r="V901" s="541"/>
      <c r="W901" s="541"/>
      <c r="X901" s="541"/>
      <c r="Y901" s="541"/>
      <c r="Z901" s="541"/>
      <c r="AA901" s="541"/>
      <c r="AB901" s="541"/>
      <c r="AC901" s="541"/>
      <c r="AD901" s="541"/>
      <c r="AE901" s="541"/>
      <c r="AF901" s="541"/>
      <c r="AG901" s="541"/>
      <c r="AH901" s="541"/>
      <c r="AI901" s="541"/>
      <c r="AJ901" s="541"/>
      <c r="AK901" s="541"/>
      <c r="AL901" s="541"/>
      <c r="AM901" s="541"/>
      <c r="AN901" s="541"/>
      <c r="AO901" s="541"/>
      <c r="AP901" s="541"/>
      <c r="AQ901" s="541"/>
      <c r="AR901" s="541"/>
      <c r="AS901" s="541"/>
      <c r="AT901" s="541"/>
      <c r="AU901" s="541"/>
      <c r="AV901" s="541"/>
      <c r="AW901" s="541"/>
      <c r="AX901" s="541"/>
      <c r="AY901" s="541"/>
      <c r="AZ901" s="541"/>
      <c r="BA901" s="541"/>
      <c r="BB901" s="541"/>
      <c r="BC901" s="541"/>
      <c r="BD901" s="541"/>
      <c r="BE901" s="541"/>
      <c r="BF901" s="541"/>
      <c r="BG901" s="541"/>
      <c r="BH901" s="541"/>
      <c r="BI901" s="541"/>
    </row>
    <row r="902" spans="1:61" s="550" customFormat="1">
      <c r="A902" s="543" t="s">
        <v>512</v>
      </c>
      <c r="B902" s="544" t="s">
        <v>513</v>
      </c>
      <c r="C902" s="201" t="s">
        <v>514</v>
      </c>
      <c r="D902" s="545" t="s">
        <v>515</v>
      </c>
      <c r="E902" s="202" t="s">
        <v>516</v>
      </c>
      <c r="F902" s="546" t="s">
        <v>517</v>
      </c>
      <c r="G902" s="547"/>
      <c r="H902" s="537"/>
      <c r="I902" s="533"/>
      <c r="J902" s="548"/>
      <c r="K902" s="549"/>
      <c r="L902" s="548"/>
      <c r="M902" s="548"/>
      <c r="N902" s="548"/>
      <c r="O902" s="548"/>
      <c r="P902" s="548"/>
      <c r="Q902" s="548"/>
      <c r="R902" s="548"/>
      <c r="S902" s="548"/>
      <c r="T902" s="548"/>
      <c r="U902" s="548"/>
      <c r="V902" s="548"/>
      <c r="W902" s="548"/>
      <c r="X902" s="548"/>
      <c r="Y902" s="548"/>
      <c r="Z902" s="548"/>
      <c r="AA902" s="548"/>
      <c r="AB902" s="548"/>
      <c r="AC902" s="548"/>
      <c r="AD902" s="548"/>
      <c r="AE902" s="548"/>
      <c r="AF902" s="548"/>
      <c r="AG902" s="548"/>
      <c r="AH902" s="548"/>
      <c r="AI902" s="548"/>
      <c r="AJ902" s="548"/>
      <c r="AK902" s="548"/>
      <c r="AL902" s="548"/>
      <c r="AM902" s="548"/>
      <c r="AN902" s="548"/>
      <c r="AO902" s="548"/>
      <c r="AP902" s="548"/>
      <c r="AQ902" s="548"/>
      <c r="AR902" s="548"/>
      <c r="AS902" s="548"/>
      <c r="AT902" s="548"/>
      <c r="AU902" s="548"/>
      <c r="AV902" s="548"/>
      <c r="AW902" s="548"/>
      <c r="AX902" s="548"/>
      <c r="AY902" s="548"/>
      <c r="AZ902" s="548"/>
      <c r="BA902" s="548"/>
      <c r="BB902" s="548"/>
      <c r="BC902" s="548"/>
      <c r="BD902" s="548"/>
      <c r="BE902" s="548"/>
      <c r="BF902" s="548"/>
      <c r="BG902" s="548"/>
      <c r="BH902" s="548"/>
      <c r="BI902" s="548"/>
    </row>
    <row r="903" spans="1:61">
      <c r="A903" s="710"/>
      <c r="B903" s="711"/>
      <c r="C903" s="615" t="s">
        <v>1050</v>
      </c>
      <c r="D903" s="712"/>
      <c r="E903" s="713"/>
      <c r="F903" s="714"/>
    </row>
    <row r="904" spans="1:61">
      <c r="A904" s="558"/>
      <c r="B904" s="559" t="s">
        <v>1051</v>
      </c>
      <c r="C904" s="560" t="s">
        <v>1052</v>
      </c>
      <c r="D904" s="579" t="s">
        <v>1053</v>
      </c>
      <c r="E904" s="562">
        <f>'[2]COSTO LAMINADO CDMX-QRO-GDL'!I894</f>
        <v>9585.7142857142862</v>
      </c>
      <c r="F904" s="563" t="s">
        <v>284</v>
      </c>
    </row>
    <row r="905" spans="1:61">
      <c r="A905" s="558"/>
      <c r="B905" s="559"/>
      <c r="C905" s="560" t="s">
        <v>1054</v>
      </c>
      <c r="D905" s="579"/>
      <c r="E905" s="596"/>
      <c r="F905" s="570"/>
    </row>
    <row r="906" spans="1:61">
      <c r="A906" s="558"/>
      <c r="B906" s="559"/>
      <c r="C906" s="560" t="s">
        <v>1055</v>
      </c>
      <c r="D906" s="579"/>
      <c r="E906" s="596"/>
      <c r="F906" s="570"/>
    </row>
    <row r="907" spans="1:61">
      <c r="A907" s="558"/>
      <c r="B907" s="559"/>
      <c r="C907" s="560"/>
      <c r="D907" s="579"/>
      <c r="E907" s="596"/>
      <c r="F907" s="570"/>
    </row>
    <row r="908" spans="1:61">
      <c r="A908" s="558"/>
      <c r="B908" s="559"/>
      <c r="C908" s="560"/>
      <c r="D908" s="579"/>
      <c r="E908" s="596"/>
      <c r="F908" s="570"/>
    </row>
    <row r="909" spans="1:61">
      <c r="A909" s="558"/>
      <c r="B909" s="559"/>
      <c r="C909" s="560"/>
      <c r="D909" s="579"/>
      <c r="E909" s="596"/>
      <c r="F909" s="570"/>
    </row>
    <row r="910" spans="1:61">
      <c r="A910" s="558"/>
      <c r="B910" s="559"/>
      <c r="C910" s="560"/>
      <c r="D910" s="579"/>
      <c r="E910" s="596"/>
      <c r="F910" s="570"/>
    </row>
    <row r="911" spans="1:61">
      <c r="A911" s="558"/>
      <c r="B911" s="559"/>
      <c r="C911" s="560"/>
      <c r="D911" s="579"/>
      <c r="E911" s="596"/>
      <c r="F911" s="570"/>
    </row>
    <row r="912" spans="1:61">
      <c r="A912" s="558"/>
      <c r="B912" s="559"/>
      <c r="C912" s="560"/>
      <c r="D912" s="579"/>
      <c r="E912" s="596"/>
      <c r="F912" s="570"/>
    </row>
    <row r="913" spans="1:6">
      <c r="A913" s="558"/>
      <c r="B913" s="559"/>
      <c r="C913" s="560"/>
      <c r="D913" s="579"/>
      <c r="E913" s="596"/>
      <c r="F913" s="570"/>
    </row>
    <row r="914" spans="1:6">
      <c r="A914" s="558"/>
      <c r="B914" s="559"/>
      <c r="C914" s="560"/>
      <c r="D914" s="579"/>
      <c r="E914" s="596"/>
      <c r="F914" s="570"/>
    </row>
    <row r="915" spans="1:6">
      <c r="A915" s="558"/>
      <c r="B915" s="559"/>
      <c r="C915" s="560"/>
      <c r="D915" s="579"/>
      <c r="E915" s="596"/>
      <c r="F915" s="570"/>
    </row>
    <row r="916" spans="1:6">
      <c r="A916" s="558"/>
      <c r="B916" s="559"/>
      <c r="C916" s="560"/>
      <c r="D916" s="579"/>
      <c r="E916" s="596"/>
      <c r="F916" s="570"/>
    </row>
    <row r="917" spans="1:6">
      <c r="A917" s="558"/>
      <c r="B917" s="559"/>
      <c r="C917" s="560"/>
      <c r="D917" s="579"/>
      <c r="E917" s="596"/>
      <c r="F917" s="570"/>
    </row>
    <row r="918" spans="1:6">
      <c r="A918" s="558"/>
      <c r="B918" s="559" t="s">
        <v>1056</v>
      </c>
      <c r="C918" s="560" t="s">
        <v>1057</v>
      </c>
      <c r="D918" s="579" t="s">
        <v>1058</v>
      </c>
      <c r="E918" s="562">
        <f>'[2]COSTO LAMINADO CDMX-QRO-GDL'!I908</f>
        <v>10064.285714285716</v>
      </c>
      <c r="F918" s="563" t="s">
        <v>284</v>
      </c>
    </row>
    <row r="919" spans="1:6">
      <c r="A919" s="558"/>
      <c r="B919" s="559"/>
      <c r="C919" s="560" t="s">
        <v>1054</v>
      </c>
      <c r="D919" s="579"/>
      <c r="E919" s="596"/>
      <c r="F919" s="570"/>
    </row>
    <row r="920" spans="1:6">
      <c r="A920" s="558"/>
      <c r="B920" s="559"/>
      <c r="C920" s="560" t="s">
        <v>1055</v>
      </c>
      <c r="D920" s="579"/>
      <c r="E920" s="596"/>
      <c r="F920" s="570"/>
    </row>
    <row r="921" spans="1:6">
      <c r="A921" s="558"/>
      <c r="B921" s="559"/>
      <c r="C921" s="560"/>
      <c r="D921" s="579"/>
      <c r="E921" s="596"/>
      <c r="F921" s="570"/>
    </row>
    <row r="922" spans="1:6">
      <c r="A922" s="558"/>
      <c r="B922" s="559"/>
      <c r="C922" s="560"/>
      <c r="D922" s="579"/>
      <c r="E922" s="596"/>
      <c r="F922" s="570"/>
    </row>
    <row r="923" spans="1:6">
      <c r="A923" s="558"/>
      <c r="B923" s="559"/>
      <c r="C923" s="560"/>
      <c r="D923" s="579"/>
      <c r="E923" s="596"/>
      <c r="F923" s="570"/>
    </row>
    <row r="924" spans="1:6">
      <c r="A924" s="558"/>
      <c r="B924" s="559"/>
      <c r="C924" s="560"/>
      <c r="D924" s="579"/>
      <c r="E924" s="596"/>
      <c r="F924" s="570"/>
    </row>
    <row r="925" spans="1:6">
      <c r="A925" s="558"/>
      <c r="B925" s="559"/>
      <c r="C925" s="560"/>
      <c r="D925" s="579"/>
      <c r="E925" s="596"/>
      <c r="F925" s="570"/>
    </row>
    <row r="926" spans="1:6">
      <c r="A926" s="558"/>
      <c r="B926" s="559"/>
      <c r="C926" s="560"/>
      <c r="D926" s="579"/>
      <c r="E926" s="596"/>
      <c r="F926" s="570"/>
    </row>
    <row r="927" spans="1:6">
      <c r="A927" s="558"/>
      <c r="B927" s="559"/>
      <c r="C927" s="560"/>
      <c r="D927" s="579"/>
      <c r="E927" s="596"/>
      <c r="F927" s="570"/>
    </row>
    <row r="928" spans="1:6">
      <c r="A928" s="558"/>
      <c r="B928" s="559"/>
      <c r="C928" s="560"/>
      <c r="D928" s="579"/>
      <c r="E928" s="596"/>
      <c r="F928" s="570"/>
    </row>
    <row r="929" spans="1:61">
      <c r="A929" s="558"/>
      <c r="B929" s="559"/>
      <c r="C929" s="560"/>
      <c r="D929" s="579"/>
      <c r="E929" s="596"/>
      <c r="F929" s="570"/>
    </row>
    <row r="930" spans="1:61">
      <c r="A930" s="558"/>
      <c r="B930" s="559"/>
      <c r="C930" s="560"/>
      <c r="D930" s="579"/>
      <c r="E930" s="596"/>
      <c r="F930" s="570"/>
    </row>
    <row r="931" spans="1:61">
      <c r="A931" s="558"/>
      <c r="B931" s="559"/>
      <c r="C931" s="560"/>
      <c r="D931" s="579"/>
      <c r="E931" s="596"/>
      <c r="F931" s="570"/>
    </row>
    <row r="932" spans="1:61">
      <c r="A932" s="558"/>
      <c r="B932" s="559"/>
      <c r="C932" s="560"/>
      <c r="D932" s="579"/>
      <c r="E932" s="596"/>
      <c r="F932" s="570"/>
    </row>
    <row r="933" spans="1:61">
      <c r="A933" s="558"/>
      <c r="B933" s="559"/>
      <c r="C933" s="560"/>
      <c r="D933" s="579"/>
      <c r="E933" s="671"/>
      <c r="F933" s="570"/>
    </row>
    <row r="934" spans="1:61" s="538" customFormat="1" ht="15" customHeight="1">
      <c r="A934" s="535" t="s">
        <v>509</v>
      </c>
      <c r="B934" s="536"/>
      <c r="C934" s="1483" t="s">
        <v>1059</v>
      </c>
      <c r="D934" s="1485"/>
      <c r="E934" s="1487"/>
      <c r="F934" s="1488"/>
      <c r="G934" s="527"/>
      <c r="H934" s="537"/>
      <c r="I934" s="537"/>
      <c r="J934" s="537"/>
      <c r="K934" s="537"/>
      <c r="L934" s="537"/>
      <c r="M934" s="537"/>
      <c r="N934" s="537"/>
      <c r="O934" s="537"/>
      <c r="P934" s="537"/>
      <c r="Q934" s="537"/>
      <c r="R934" s="537"/>
      <c r="S934" s="537"/>
      <c r="T934" s="537"/>
      <c r="U934" s="537"/>
      <c r="V934" s="537"/>
      <c r="W934" s="537"/>
      <c r="X934" s="537"/>
      <c r="Y934" s="537"/>
      <c r="Z934" s="537"/>
      <c r="AA934" s="537"/>
      <c r="AB934" s="537"/>
      <c r="AC934" s="537"/>
      <c r="AD934" s="537"/>
      <c r="AE934" s="537"/>
      <c r="AF934" s="537"/>
      <c r="AG934" s="537"/>
      <c r="AH934" s="537"/>
      <c r="AI934" s="537"/>
      <c r="AJ934" s="537"/>
      <c r="AK934" s="537"/>
      <c r="AL934" s="537"/>
      <c r="AM934" s="537"/>
      <c r="AN934" s="537"/>
      <c r="AO934" s="537"/>
      <c r="AP934" s="537"/>
      <c r="AQ934" s="537"/>
      <c r="AR934" s="537"/>
      <c r="AS934" s="537"/>
      <c r="AT934" s="537"/>
      <c r="AU934" s="537"/>
      <c r="AV934" s="537"/>
      <c r="AW934" s="537"/>
      <c r="AX934" s="537"/>
      <c r="AY934" s="537"/>
      <c r="AZ934" s="537"/>
      <c r="BA934" s="537"/>
      <c r="BB934" s="537"/>
      <c r="BC934" s="537"/>
      <c r="BD934" s="537"/>
      <c r="BE934" s="537"/>
      <c r="BF934" s="537"/>
      <c r="BG934" s="537"/>
      <c r="BH934" s="537"/>
      <c r="BI934" s="537"/>
    </row>
    <row r="935" spans="1:61" s="542" customFormat="1" ht="15" customHeight="1">
      <c r="A935" s="539" t="s">
        <v>568</v>
      </c>
      <c r="B935" s="540"/>
      <c r="C935" s="1484"/>
      <c r="D935" s="1486"/>
      <c r="E935" s="1489"/>
      <c r="F935" s="1490"/>
      <c r="G935" s="527"/>
      <c r="H935" s="537"/>
      <c r="I935" s="541"/>
      <c r="J935" s="541"/>
      <c r="K935" s="541"/>
      <c r="L935" s="541"/>
      <c r="M935" s="541"/>
      <c r="N935" s="541"/>
      <c r="O935" s="541"/>
      <c r="P935" s="541"/>
      <c r="Q935" s="541"/>
      <c r="R935" s="541"/>
      <c r="S935" s="541"/>
      <c r="T935" s="541"/>
      <c r="U935" s="541"/>
      <c r="V935" s="541"/>
      <c r="W935" s="541"/>
      <c r="X935" s="541"/>
      <c r="Y935" s="541"/>
      <c r="Z935" s="541"/>
      <c r="AA935" s="541"/>
      <c r="AB935" s="541"/>
      <c r="AC935" s="541"/>
      <c r="AD935" s="541"/>
      <c r="AE935" s="541"/>
      <c r="AF935" s="541"/>
      <c r="AG935" s="541"/>
      <c r="AH935" s="541"/>
      <c r="AI935" s="541"/>
      <c r="AJ935" s="541"/>
      <c r="AK935" s="541"/>
      <c r="AL935" s="541"/>
      <c r="AM935" s="541"/>
      <c r="AN935" s="541"/>
      <c r="AO935" s="541"/>
      <c r="AP935" s="541"/>
      <c r="AQ935" s="541"/>
      <c r="AR935" s="541"/>
      <c r="AS935" s="541"/>
      <c r="AT935" s="541"/>
      <c r="AU935" s="541"/>
      <c r="AV935" s="541"/>
      <c r="AW935" s="541"/>
      <c r="AX935" s="541"/>
      <c r="AY935" s="541"/>
      <c r="AZ935" s="541"/>
      <c r="BA935" s="541"/>
      <c r="BB935" s="541"/>
      <c r="BC935" s="541"/>
      <c r="BD935" s="541"/>
      <c r="BE935" s="541"/>
      <c r="BF935" s="541"/>
      <c r="BG935" s="541"/>
      <c r="BH935" s="541"/>
      <c r="BI935" s="541"/>
    </row>
    <row r="936" spans="1:61" s="550" customFormat="1">
      <c r="A936" s="543" t="s">
        <v>512</v>
      </c>
      <c r="B936" s="544" t="s">
        <v>513</v>
      </c>
      <c r="C936" s="201" t="s">
        <v>514</v>
      </c>
      <c r="D936" s="545" t="s">
        <v>515</v>
      </c>
      <c r="E936" s="202" t="s">
        <v>516</v>
      </c>
      <c r="F936" s="546" t="s">
        <v>517</v>
      </c>
      <c r="G936" s="547"/>
      <c r="H936" s="537"/>
      <c r="I936" s="533"/>
      <c r="J936" s="548"/>
      <c r="K936" s="549"/>
      <c r="L936" s="548"/>
      <c r="M936" s="548"/>
      <c r="N936" s="548"/>
      <c r="O936" s="548"/>
      <c r="P936" s="548"/>
      <c r="Q936" s="548"/>
      <c r="R936" s="548"/>
      <c r="S936" s="548"/>
      <c r="T936" s="548"/>
      <c r="U936" s="548"/>
      <c r="V936" s="548"/>
      <c r="W936" s="548"/>
      <c r="X936" s="548"/>
      <c r="Y936" s="548"/>
      <c r="Z936" s="548"/>
      <c r="AA936" s="548"/>
      <c r="AB936" s="548"/>
      <c r="AC936" s="548"/>
      <c r="AD936" s="548"/>
      <c r="AE936" s="548"/>
      <c r="AF936" s="548"/>
      <c r="AG936" s="548"/>
      <c r="AH936" s="548"/>
      <c r="AI936" s="548"/>
      <c r="AJ936" s="548"/>
      <c r="AK936" s="548"/>
      <c r="AL936" s="548"/>
      <c r="AM936" s="548"/>
      <c r="AN936" s="548"/>
      <c r="AO936" s="548"/>
      <c r="AP936" s="548"/>
      <c r="AQ936" s="548"/>
      <c r="AR936" s="548"/>
      <c r="AS936" s="548"/>
      <c r="AT936" s="548"/>
      <c r="AU936" s="548"/>
      <c r="AV936" s="548"/>
      <c r="AW936" s="548"/>
      <c r="AX936" s="548"/>
      <c r="AY936" s="548"/>
      <c r="AZ936" s="548"/>
      <c r="BA936" s="548"/>
      <c r="BB936" s="548"/>
      <c r="BC936" s="548"/>
      <c r="BD936" s="548"/>
      <c r="BE936" s="548"/>
      <c r="BF936" s="548"/>
      <c r="BG936" s="548"/>
      <c r="BH936" s="548"/>
      <c r="BI936" s="548"/>
    </row>
    <row r="937" spans="1:61">
      <c r="A937" s="710"/>
      <c r="B937" s="711"/>
      <c r="C937" s="615" t="s">
        <v>1060</v>
      </c>
      <c r="D937" s="712"/>
      <c r="E937" s="713"/>
      <c r="F937" s="714"/>
    </row>
    <row r="938" spans="1:61">
      <c r="A938" s="576"/>
      <c r="B938" s="559" t="s">
        <v>1061</v>
      </c>
      <c r="C938" s="560" t="s">
        <v>1062</v>
      </c>
      <c r="D938" s="579" t="s">
        <v>1063</v>
      </c>
      <c r="E938" s="562">
        <f>'[2]COSTO LAMINADO CDMX-QRO-GDL'!I928</f>
        <v>785.71428571428578</v>
      </c>
      <c r="F938" s="563" t="s">
        <v>284</v>
      </c>
    </row>
    <row r="939" spans="1:61">
      <c r="A939" s="576"/>
      <c r="B939" s="559" t="s">
        <v>1064</v>
      </c>
      <c r="C939" s="560" t="s">
        <v>1065</v>
      </c>
      <c r="D939" s="579" t="s">
        <v>1066</v>
      </c>
      <c r="E939" s="562">
        <f>'[2]COSTO LAMINADO CDMX-QRO-GDL'!I929</f>
        <v>857.14285714285722</v>
      </c>
      <c r="F939" s="563" t="s">
        <v>284</v>
      </c>
    </row>
    <row r="940" spans="1:61">
      <c r="A940" s="576"/>
      <c r="B940" s="559" t="s">
        <v>1067</v>
      </c>
      <c r="C940" s="560"/>
      <c r="D940" s="579" t="s">
        <v>1068</v>
      </c>
      <c r="E940" s="562">
        <f>'[2]COSTO LAMINADO CDMX-QRO-GDL'!I930</f>
        <v>1300</v>
      </c>
      <c r="F940" s="563" t="s">
        <v>284</v>
      </c>
    </row>
    <row r="941" spans="1:61">
      <c r="A941" s="576"/>
      <c r="B941" s="559" t="s">
        <v>1069</v>
      </c>
      <c r="C941" s="560"/>
      <c r="D941" s="579" t="s">
        <v>1070</v>
      </c>
      <c r="E941" s="562">
        <f>'[2]COSTO LAMINADO CDMX-QRO-GDL'!I931</f>
        <v>1307.1428571428573</v>
      </c>
      <c r="F941" s="563" t="s">
        <v>284</v>
      </c>
    </row>
    <row r="942" spans="1:61">
      <c r="A942" s="576"/>
      <c r="B942" s="559" t="s">
        <v>1071</v>
      </c>
      <c r="C942" s="560"/>
      <c r="D942" s="579" t="s">
        <v>1072</v>
      </c>
      <c r="E942" s="562">
        <f>'[2]COSTO LAMINADO CDMX-QRO-GDL'!I932</f>
        <v>1357.1428571428573</v>
      </c>
      <c r="F942" s="563" t="s">
        <v>284</v>
      </c>
    </row>
    <row r="943" spans="1:61">
      <c r="A943" s="576"/>
      <c r="B943" s="559" t="s">
        <v>1073</v>
      </c>
      <c r="C943" s="560"/>
      <c r="D943" s="579" t="s">
        <v>1074</v>
      </c>
      <c r="E943" s="562">
        <f>'[2]COSTO LAMINADO CDMX-QRO-GDL'!I933</f>
        <v>1357.1428571428573</v>
      </c>
      <c r="F943" s="563" t="s">
        <v>284</v>
      </c>
    </row>
    <row r="944" spans="1:61">
      <c r="A944" s="576"/>
      <c r="B944" s="559" t="s">
        <v>1075</v>
      </c>
      <c r="C944" s="560"/>
      <c r="D944" s="579" t="s">
        <v>1076</v>
      </c>
      <c r="E944" s="562">
        <f>'[2]COSTO LAMINADO CDMX-QRO-GDL'!I934</f>
        <v>1371.4285714285716</v>
      </c>
      <c r="F944" s="563" t="s">
        <v>284</v>
      </c>
    </row>
    <row r="945" spans="1:6">
      <c r="A945" s="576"/>
      <c r="B945" s="559"/>
      <c r="C945" s="560"/>
      <c r="D945" s="579"/>
      <c r="E945" s="596"/>
      <c r="F945" s="708"/>
    </row>
    <row r="946" spans="1:6">
      <c r="A946" s="576"/>
      <c r="B946" s="559" t="s">
        <v>1077</v>
      </c>
      <c r="C946" s="560" t="s">
        <v>1062</v>
      </c>
      <c r="D946" s="579" t="s">
        <v>921</v>
      </c>
      <c r="E946" s="562">
        <f>'[2]COSTO LAMINADO CDMX-QRO-GDL'!I936</f>
        <v>814.28571428571433</v>
      </c>
      <c r="F946" s="563" t="s">
        <v>284</v>
      </c>
    </row>
    <row r="947" spans="1:6">
      <c r="A947" s="576"/>
      <c r="B947" s="559" t="s">
        <v>1078</v>
      </c>
      <c r="C947" s="560" t="s">
        <v>1065</v>
      </c>
      <c r="D947" s="579" t="s">
        <v>1079</v>
      </c>
      <c r="E947" s="562">
        <f>'[2]COSTO LAMINADO CDMX-QRO-GDL'!I937</f>
        <v>914.28571428571433</v>
      </c>
      <c r="F947" s="563" t="s">
        <v>284</v>
      </c>
    </row>
    <row r="948" spans="1:6">
      <c r="A948" s="576"/>
      <c r="B948" s="559" t="s">
        <v>1080</v>
      </c>
      <c r="C948" s="560"/>
      <c r="D948" s="579" t="s">
        <v>1081</v>
      </c>
      <c r="E948" s="562">
        <f>'[2]COSTO LAMINADO CDMX-QRO-GDL'!I938</f>
        <v>1314.2857142857144</v>
      </c>
      <c r="F948" s="563" t="s">
        <v>284</v>
      </c>
    </row>
    <row r="949" spans="1:6">
      <c r="A949" s="576"/>
      <c r="B949" s="559" t="s">
        <v>1082</v>
      </c>
      <c r="C949" s="560"/>
      <c r="D949" s="579" t="s">
        <v>1083</v>
      </c>
      <c r="E949" s="562">
        <f>'[2]COSTO LAMINADO CDMX-QRO-GDL'!I939</f>
        <v>1342.8571428571429</v>
      </c>
      <c r="F949" s="563" t="s">
        <v>284</v>
      </c>
    </row>
    <row r="950" spans="1:6">
      <c r="A950" s="576"/>
      <c r="B950" s="559" t="s">
        <v>1084</v>
      </c>
      <c r="C950" s="560"/>
      <c r="D950" s="579" t="s">
        <v>1085</v>
      </c>
      <c r="E950" s="562">
        <f>'[2]COSTO LAMINADO CDMX-QRO-GDL'!I940</f>
        <v>1357.1428571428573</v>
      </c>
      <c r="F950" s="563" t="s">
        <v>284</v>
      </c>
    </row>
    <row r="951" spans="1:6">
      <c r="A951" s="576"/>
      <c r="B951" s="559" t="s">
        <v>1086</v>
      </c>
      <c r="C951" s="560"/>
      <c r="D951" s="579" t="s">
        <v>1087</v>
      </c>
      <c r="E951" s="562">
        <f>'[2]COSTO LAMINADO CDMX-QRO-GDL'!I941</f>
        <v>1371.4285714285716</v>
      </c>
      <c r="F951" s="563" t="s">
        <v>284</v>
      </c>
    </row>
    <row r="952" spans="1:6">
      <c r="A952" s="558"/>
      <c r="B952" s="559"/>
      <c r="C952" s="560"/>
      <c r="D952" s="579"/>
      <c r="E952" s="562"/>
      <c r="F952" s="563"/>
    </row>
    <row r="953" spans="1:6">
      <c r="A953" s="679"/>
      <c r="B953" s="559" t="s">
        <v>1088</v>
      </c>
      <c r="C953" s="560" t="s">
        <v>1089</v>
      </c>
      <c r="D953" s="579" t="s">
        <v>1090</v>
      </c>
      <c r="E953" s="562">
        <f>'[2]COSTO LAMINADO CDMX-QRO-GDL'!I943</f>
        <v>1378.5714285714287</v>
      </c>
      <c r="F953" s="563" t="s">
        <v>284</v>
      </c>
    </row>
    <row r="954" spans="1:6">
      <c r="A954" s="576"/>
      <c r="B954" s="559" t="s">
        <v>1091</v>
      </c>
      <c r="C954" s="560" t="s">
        <v>1092</v>
      </c>
      <c r="D954" s="579" t="s">
        <v>1093</v>
      </c>
      <c r="E954" s="562">
        <f>'[2]COSTO LAMINADO CDMX-QRO-GDL'!I944</f>
        <v>1485.7142857142858</v>
      </c>
      <c r="F954" s="563" t="s">
        <v>284</v>
      </c>
    </row>
    <row r="955" spans="1:6">
      <c r="A955" s="576"/>
      <c r="B955" s="559" t="s">
        <v>1094</v>
      </c>
      <c r="C955" s="715"/>
      <c r="D955" s="579" t="s">
        <v>1095</v>
      </c>
      <c r="E955" s="562">
        <f>'[2]COSTO LAMINADO CDMX-QRO-GDL'!I945</f>
        <v>1578.5714285714287</v>
      </c>
      <c r="F955" s="563" t="s">
        <v>284</v>
      </c>
    </row>
    <row r="956" spans="1:6">
      <c r="A956" s="576"/>
      <c r="B956" s="559" t="s">
        <v>1096</v>
      </c>
      <c r="C956" s="560"/>
      <c r="D956" s="579" t="s">
        <v>1097</v>
      </c>
      <c r="E956" s="562">
        <f>'[2]COSTO LAMINADO CDMX-QRO-GDL'!I946</f>
        <v>1692.8571428571429</v>
      </c>
      <c r="F956" s="563" t="s">
        <v>284</v>
      </c>
    </row>
    <row r="957" spans="1:6">
      <c r="A957" s="576"/>
      <c r="B957" s="559" t="s">
        <v>1098</v>
      </c>
      <c r="C957" s="560"/>
      <c r="D957" s="579" t="s">
        <v>1099</v>
      </c>
      <c r="E957" s="562">
        <f>'[2]COSTO LAMINADO CDMX-QRO-GDL'!I947</f>
        <v>1792.8571428571429</v>
      </c>
      <c r="F957" s="563" t="s">
        <v>284</v>
      </c>
    </row>
    <row r="958" spans="1:6">
      <c r="A958" s="576"/>
      <c r="B958" s="559" t="s">
        <v>1100</v>
      </c>
      <c r="C958" s="560"/>
      <c r="D958" s="579" t="s">
        <v>1101</v>
      </c>
      <c r="E958" s="562">
        <f>'[2]COSTO LAMINADO CDMX-QRO-GDL'!I948</f>
        <v>2135.7142857142858</v>
      </c>
      <c r="F958" s="563" t="s">
        <v>284</v>
      </c>
    </row>
    <row r="959" spans="1:6">
      <c r="A959" s="576"/>
      <c r="B959" s="559" t="s">
        <v>1102</v>
      </c>
      <c r="C959" s="560"/>
      <c r="D959" s="579" t="s">
        <v>1103</v>
      </c>
      <c r="E959" s="562">
        <f>'[2]COSTO LAMINADO CDMX-QRO-GDL'!I949</f>
        <v>2264.2857142857142</v>
      </c>
      <c r="F959" s="563" t="s">
        <v>284</v>
      </c>
    </row>
    <row r="960" spans="1:6">
      <c r="A960" s="576"/>
      <c r="B960" s="559" t="s">
        <v>1104</v>
      </c>
      <c r="C960" s="560"/>
      <c r="D960" s="579" t="s">
        <v>1105</v>
      </c>
      <c r="E960" s="562">
        <f>'[2]COSTO LAMINADO CDMX-QRO-GDL'!I950</f>
        <v>2364.2857142857142</v>
      </c>
      <c r="F960" s="563" t="s">
        <v>284</v>
      </c>
    </row>
    <row r="961" spans="1:6">
      <c r="A961" s="576"/>
      <c r="B961" s="559" t="s">
        <v>1106</v>
      </c>
      <c r="C961" s="560"/>
      <c r="D961" s="579" t="s">
        <v>1107</v>
      </c>
      <c r="E961" s="562">
        <f>'[2]COSTO LAMINADO CDMX-QRO-GDL'!I951</f>
        <v>2514.2857142857142</v>
      </c>
      <c r="F961" s="563" t="s">
        <v>284</v>
      </c>
    </row>
    <row r="962" spans="1:6">
      <c r="A962" s="576"/>
      <c r="B962" s="559"/>
      <c r="C962" s="715"/>
      <c r="D962" s="579"/>
      <c r="E962" s="596"/>
      <c r="F962" s="708"/>
    </row>
    <row r="963" spans="1:6">
      <c r="A963" s="576"/>
      <c r="B963" s="559" t="s">
        <v>1108</v>
      </c>
      <c r="C963" s="560" t="s">
        <v>1089</v>
      </c>
      <c r="D963" s="579" t="s">
        <v>1109</v>
      </c>
      <c r="E963" s="562">
        <f>'[2]COSTO LAMINADO CDMX-QRO-GDL'!I953</f>
        <v>1928.5714285714287</v>
      </c>
      <c r="F963" s="563" t="s">
        <v>284</v>
      </c>
    </row>
    <row r="964" spans="1:6">
      <c r="A964" s="576"/>
      <c r="B964" s="559" t="s">
        <v>1110</v>
      </c>
      <c r="C964" s="560" t="s">
        <v>1092</v>
      </c>
      <c r="D964" s="579" t="s">
        <v>1111</v>
      </c>
      <c r="E964" s="562">
        <f>'[2]COSTO LAMINADO CDMX-QRO-GDL'!I954</f>
        <v>2071.4285714285716</v>
      </c>
      <c r="F964" s="563" t="s">
        <v>284</v>
      </c>
    </row>
    <row r="965" spans="1:6">
      <c r="A965" s="576"/>
      <c r="B965" s="559" t="s">
        <v>1112</v>
      </c>
      <c r="C965" s="560"/>
      <c r="D965" s="579" t="s">
        <v>1113</v>
      </c>
      <c r="E965" s="562">
        <f>'[2]COSTO LAMINADO CDMX-QRO-GDL'!I955</f>
        <v>2200</v>
      </c>
      <c r="F965" s="563" t="s">
        <v>284</v>
      </c>
    </row>
    <row r="966" spans="1:6">
      <c r="A966" s="576"/>
      <c r="B966" s="559" t="s">
        <v>1114</v>
      </c>
      <c r="C966" s="560"/>
      <c r="D966" s="579" t="s">
        <v>1115</v>
      </c>
      <c r="E966" s="562">
        <f>'[2]COSTO LAMINADO CDMX-QRO-GDL'!I956</f>
        <v>2350</v>
      </c>
      <c r="F966" s="563" t="s">
        <v>284</v>
      </c>
    </row>
    <row r="967" spans="1:6">
      <c r="A967" s="576"/>
      <c r="B967" s="559" t="s">
        <v>1116</v>
      </c>
      <c r="C967" s="560"/>
      <c r="D967" s="579" t="s">
        <v>1117</v>
      </c>
      <c r="E967" s="562">
        <f>'[2]COSTO LAMINADO CDMX-QRO-GDL'!I957</f>
        <v>2514.2857142857142</v>
      </c>
      <c r="F967" s="563" t="s">
        <v>284</v>
      </c>
    </row>
    <row r="968" spans="1:6">
      <c r="A968" s="576"/>
      <c r="B968" s="559" t="s">
        <v>1118</v>
      </c>
      <c r="C968" s="560"/>
      <c r="D968" s="579" t="s">
        <v>1119</v>
      </c>
      <c r="E968" s="562">
        <f>'[2]COSTO LAMINADO CDMX-QRO-GDL'!I958</f>
        <v>2700</v>
      </c>
      <c r="F968" s="563" t="s">
        <v>284</v>
      </c>
    </row>
    <row r="969" spans="1:6">
      <c r="A969" s="576"/>
      <c r="B969" s="559" t="s">
        <v>1120</v>
      </c>
      <c r="C969" s="560"/>
      <c r="D969" s="579" t="s">
        <v>1121</v>
      </c>
      <c r="E969" s="562">
        <f>'[2]COSTO LAMINADO CDMX-QRO-GDL'!I959</f>
        <v>2785.7142857142858</v>
      </c>
      <c r="F969" s="563" t="s">
        <v>284</v>
      </c>
    </row>
    <row r="970" spans="1:6">
      <c r="A970" s="576"/>
      <c r="B970" s="559" t="s">
        <v>1122</v>
      </c>
      <c r="C970" s="560"/>
      <c r="D970" s="579" t="s">
        <v>1123</v>
      </c>
      <c r="E970" s="562">
        <f>'[2]COSTO LAMINADO CDMX-QRO-GDL'!I960</f>
        <v>3100</v>
      </c>
      <c r="F970" s="563" t="s">
        <v>284</v>
      </c>
    </row>
    <row r="971" spans="1:6">
      <c r="A971" s="576"/>
      <c r="B971" s="559" t="s">
        <v>1124</v>
      </c>
      <c r="C971" s="560"/>
      <c r="D971" s="579" t="s">
        <v>1125</v>
      </c>
      <c r="E971" s="562">
        <f>'[2]COSTO LAMINADO CDMX-QRO-GDL'!I961</f>
        <v>3185.7142857142858</v>
      </c>
      <c r="F971" s="563" t="s">
        <v>284</v>
      </c>
    </row>
    <row r="972" spans="1:6">
      <c r="A972" s="576"/>
      <c r="B972" s="559"/>
      <c r="C972" s="715"/>
      <c r="D972" s="579"/>
      <c r="E972" s="596"/>
      <c r="F972" s="708"/>
    </row>
    <row r="973" spans="1:6">
      <c r="A973" s="576"/>
      <c r="B973" s="559" t="s">
        <v>1126</v>
      </c>
      <c r="C973" s="560" t="s">
        <v>1127</v>
      </c>
      <c r="D973" s="579" t="s">
        <v>1128</v>
      </c>
      <c r="E973" s="562">
        <f>'[2]COSTO LAMINADO CDMX-QRO-GDL'!I963</f>
        <v>2000.0000000000002</v>
      </c>
      <c r="F973" s="563" t="s">
        <v>284</v>
      </c>
    </row>
    <row r="974" spans="1:6">
      <c r="A974" s="576"/>
      <c r="B974" s="559" t="s">
        <v>1129</v>
      </c>
      <c r="C974" s="560" t="s">
        <v>1092</v>
      </c>
      <c r="D974" s="579" t="s">
        <v>1130</v>
      </c>
      <c r="E974" s="562">
        <f>'[2]COSTO LAMINADO CDMX-QRO-GDL'!I964</f>
        <v>2221.4285714285716</v>
      </c>
      <c r="F974" s="563" t="s">
        <v>284</v>
      </c>
    </row>
    <row r="975" spans="1:6">
      <c r="A975" s="576"/>
      <c r="B975" s="559" t="s">
        <v>1131</v>
      </c>
      <c r="C975" s="560"/>
      <c r="D975" s="579" t="s">
        <v>1132</v>
      </c>
      <c r="E975" s="562">
        <f>'[2]COSTO LAMINADO CDMX-QRO-GDL'!I965</f>
        <v>2307.1428571428573</v>
      </c>
      <c r="F975" s="563" t="s">
        <v>284</v>
      </c>
    </row>
    <row r="976" spans="1:6">
      <c r="A976" s="576"/>
      <c r="B976" s="559" t="s">
        <v>1133</v>
      </c>
      <c r="C976" s="560"/>
      <c r="D976" s="579" t="s">
        <v>1134</v>
      </c>
      <c r="E976" s="562">
        <f>'[2]COSTO LAMINADO CDMX-QRO-GDL'!I966</f>
        <v>2800</v>
      </c>
      <c r="F976" s="563" t="s">
        <v>284</v>
      </c>
    </row>
    <row r="977" spans="1:6">
      <c r="A977" s="576"/>
      <c r="B977" s="559" t="s">
        <v>1135</v>
      </c>
      <c r="C977" s="560"/>
      <c r="D977" s="579" t="s">
        <v>1136</v>
      </c>
      <c r="E977" s="562">
        <f>'[2]COSTO LAMINADO CDMX-QRO-GDL'!I967</f>
        <v>2842.8571428571431</v>
      </c>
      <c r="F977" s="563" t="s">
        <v>284</v>
      </c>
    </row>
    <row r="978" spans="1:6">
      <c r="A978" s="576"/>
      <c r="B978" s="559" t="s">
        <v>1137</v>
      </c>
      <c r="C978" s="560"/>
      <c r="D978" s="579" t="s">
        <v>1138</v>
      </c>
      <c r="E978" s="562">
        <f>'[2]COSTO LAMINADO CDMX-QRO-GDL'!I968</f>
        <v>3492.8571428571431</v>
      </c>
      <c r="F978" s="563" t="s">
        <v>284</v>
      </c>
    </row>
    <row r="979" spans="1:6">
      <c r="A979" s="576"/>
      <c r="B979" s="559" t="s">
        <v>1139</v>
      </c>
      <c r="C979" s="560"/>
      <c r="D979" s="579" t="s">
        <v>1140</v>
      </c>
      <c r="E979" s="562">
        <f>'[2]COSTO LAMINADO CDMX-QRO-GDL'!I969</f>
        <v>3871.4285714285716</v>
      </c>
      <c r="F979" s="563" t="s">
        <v>284</v>
      </c>
    </row>
    <row r="980" spans="1:6">
      <c r="A980" s="576"/>
      <c r="B980" s="559" t="s">
        <v>1141</v>
      </c>
      <c r="C980" s="560"/>
      <c r="D980" s="579" t="s">
        <v>1142</v>
      </c>
      <c r="E980" s="562">
        <f>'[2]COSTO LAMINADO CDMX-QRO-GDL'!I970</f>
        <v>3878.5714285714289</v>
      </c>
      <c r="F980" s="563" t="s">
        <v>284</v>
      </c>
    </row>
    <row r="981" spans="1:6">
      <c r="A981" s="576"/>
      <c r="B981" s="559" t="s">
        <v>1143</v>
      </c>
      <c r="C981" s="560"/>
      <c r="D981" s="579" t="s">
        <v>1144</v>
      </c>
      <c r="E981" s="562">
        <f>'[2]COSTO LAMINADO CDMX-QRO-GDL'!I971</f>
        <v>3892.8571428571431</v>
      </c>
      <c r="F981" s="563" t="s">
        <v>284</v>
      </c>
    </row>
    <row r="982" spans="1:6">
      <c r="A982" s="576"/>
      <c r="B982" s="559"/>
      <c r="C982" s="715"/>
      <c r="D982" s="579"/>
      <c r="E982" s="596"/>
      <c r="F982" s="708"/>
    </row>
    <row r="983" spans="1:6">
      <c r="A983" s="576"/>
      <c r="B983" s="559" t="s">
        <v>1145</v>
      </c>
      <c r="C983" s="560" t="s">
        <v>1089</v>
      </c>
      <c r="D983" s="579" t="s">
        <v>1146</v>
      </c>
      <c r="E983" s="562">
        <f>'[2]COSTO LAMINADO CDMX-QRO-GDL'!I973</f>
        <v>2778.5714285714289</v>
      </c>
      <c r="F983" s="563" t="s">
        <v>284</v>
      </c>
    </row>
    <row r="984" spans="1:6">
      <c r="A984" s="576"/>
      <c r="B984" s="559" t="s">
        <v>1147</v>
      </c>
      <c r="C984" s="560" t="s">
        <v>1092</v>
      </c>
      <c r="D984" s="579" t="s">
        <v>1148</v>
      </c>
      <c r="E984" s="562">
        <f>'[2]COSTO LAMINADO CDMX-QRO-GDL'!I974</f>
        <v>2785.7142857142858</v>
      </c>
      <c r="F984" s="563" t="s">
        <v>284</v>
      </c>
    </row>
    <row r="985" spans="1:6" ht="15.75" customHeight="1">
      <c r="A985" s="576"/>
      <c r="B985" s="559" t="s">
        <v>1149</v>
      </c>
      <c r="C985" s="560"/>
      <c r="D985" s="579" t="s">
        <v>1150</v>
      </c>
      <c r="E985" s="562">
        <f>'[2]COSTO LAMINADO CDMX-QRO-GDL'!I975</f>
        <v>2857.1428571428573</v>
      </c>
      <c r="F985" s="563" t="s">
        <v>284</v>
      </c>
    </row>
    <row r="986" spans="1:6" ht="14.25" customHeight="1">
      <c r="A986" s="576"/>
      <c r="B986" s="559" t="s">
        <v>1151</v>
      </c>
      <c r="C986" s="560"/>
      <c r="D986" s="579" t="s">
        <v>1152</v>
      </c>
      <c r="E986" s="562">
        <f>'[2]COSTO LAMINADO CDMX-QRO-GDL'!I976</f>
        <v>2921.4285714285716</v>
      </c>
      <c r="F986" s="563" t="s">
        <v>284</v>
      </c>
    </row>
    <row r="987" spans="1:6">
      <c r="A987" s="576"/>
      <c r="B987" s="559" t="s">
        <v>1153</v>
      </c>
      <c r="C987" s="560"/>
      <c r="D987" s="579" t="s">
        <v>1154</v>
      </c>
      <c r="E987" s="562">
        <f>'[2]COSTO LAMINADO CDMX-QRO-GDL'!I977</f>
        <v>3650.0000000000005</v>
      </c>
      <c r="F987" s="563" t="s">
        <v>284</v>
      </c>
    </row>
    <row r="988" spans="1:6">
      <c r="A988" s="576"/>
      <c r="B988" s="559" t="s">
        <v>1155</v>
      </c>
      <c r="C988" s="560"/>
      <c r="D988" s="579" t="s">
        <v>1156</v>
      </c>
      <c r="E988" s="562">
        <f>'[2]COSTO LAMINADO CDMX-QRO-GDL'!I978</f>
        <v>3671.4285714285716</v>
      </c>
      <c r="F988" s="563" t="s">
        <v>284</v>
      </c>
    </row>
    <row r="989" spans="1:6">
      <c r="A989" s="576"/>
      <c r="B989" s="559" t="s">
        <v>1157</v>
      </c>
      <c r="C989" s="560"/>
      <c r="D989" s="579" t="s">
        <v>1158</v>
      </c>
      <c r="E989" s="562">
        <f>'[2]COSTO LAMINADO CDMX-QRO-GDL'!I979</f>
        <v>3957.1428571428573</v>
      </c>
      <c r="F989" s="563" t="s">
        <v>284</v>
      </c>
    </row>
    <row r="990" spans="1:6">
      <c r="A990" s="576"/>
      <c r="B990" s="559" t="s">
        <v>1159</v>
      </c>
      <c r="C990" s="560"/>
      <c r="D990" s="579" t="s">
        <v>1160</v>
      </c>
      <c r="E990" s="562">
        <f>'[2]COSTO LAMINADO CDMX-QRO-GDL'!I980</f>
        <v>3971.4285714285716</v>
      </c>
      <c r="F990" s="563" t="s">
        <v>284</v>
      </c>
    </row>
    <row r="991" spans="1:6">
      <c r="A991" s="576"/>
      <c r="B991" s="559" t="s">
        <v>1161</v>
      </c>
      <c r="C991" s="560"/>
      <c r="D991" s="579" t="s">
        <v>1162</v>
      </c>
      <c r="E991" s="562">
        <f>'[2]COSTO LAMINADO CDMX-QRO-GDL'!I981</f>
        <v>3985.7142857142858</v>
      </c>
      <c r="F991" s="563" t="s">
        <v>284</v>
      </c>
    </row>
    <row r="992" spans="1:6">
      <c r="A992" s="576"/>
      <c r="B992" s="559"/>
      <c r="C992" s="715"/>
      <c r="D992" s="579"/>
      <c r="E992" s="596"/>
      <c r="F992" s="708"/>
    </row>
    <row r="993" spans="1:6">
      <c r="A993" s="576"/>
      <c r="B993" s="559" t="s">
        <v>1163</v>
      </c>
      <c r="C993" s="716" t="s">
        <v>1089</v>
      </c>
      <c r="D993" s="579" t="s">
        <v>1164</v>
      </c>
      <c r="E993" s="562">
        <f>'[2]COSTO LAMINADO CDMX-QRO-GDL'!I983</f>
        <v>3771.4285714285716</v>
      </c>
      <c r="F993" s="563" t="s">
        <v>284</v>
      </c>
    </row>
    <row r="994" spans="1:6">
      <c r="A994" s="576"/>
      <c r="B994" s="559" t="s">
        <v>1165</v>
      </c>
      <c r="C994" s="560" t="s">
        <v>1092</v>
      </c>
      <c r="D994" s="579" t="s">
        <v>1166</v>
      </c>
      <c r="E994" s="562">
        <f>'[2]COSTO LAMINADO CDMX-QRO-GDL'!I984</f>
        <v>4207.1428571428578</v>
      </c>
      <c r="F994" s="563" t="s">
        <v>284</v>
      </c>
    </row>
    <row r="995" spans="1:6" ht="15.75" customHeight="1">
      <c r="A995" s="576"/>
      <c r="B995" s="559" t="s">
        <v>1167</v>
      </c>
      <c r="C995" s="560"/>
      <c r="D995" s="579" t="s">
        <v>1168</v>
      </c>
      <c r="E995" s="562">
        <f>'[2]COSTO LAMINADO CDMX-QRO-GDL'!I985</f>
        <v>4214.2857142857147</v>
      </c>
      <c r="F995" s="563" t="s">
        <v>284</v>
      </c>
    </row>
    <row r="996" spans="1:6" ht="14.25" customHeight="1">
      <c r="A996" s="576"/>
      <c r="B996" s="559" t="s">
        <v>1169</v>
      </c>
      <c r="C996" s="560"/>
      <c r="D996" s="579" t="s">
        <v>1170</v>
      </c>
      <c r="E996" s="562">
        <f>'[2]COSTO LAMINADO CDMX-QRO-GDL'!I986</f>
        <v>4235.7142857142862</v>
      </c>
      <c r="F996" s="563" t="s">
        <v>284</v>
      </c>
    </row>
    <row r="997" spans="1:6">
      <c r="A997" s="576"/>
      <c r="B997" s="559" t="s">
        <v>1171</v>
      </c>
      <c r="C997" s="560"/>
      <c r="D997" s="579" t="s">
        <v>1172</v>
      </c>
      <c r="E997" s="562">
        <f>'[2]COSTO LAMINADO CDMX-QRO-GDL'!I987</f>
        <v>4242.8571428571431</v>
      </c>
      <c r="F997" s="563" t="s">
        <v>284</v>
      </c>
    </row>
    <row r="998" spans="1:6">
      <c r="A998" s="576"/>
      <c r="B998" s="559" t="s">
        <v>1173</v>
      </c>
      <c r="C998" s="560"/>
      <c r="D998" s="579" t="s">
        <v>1174</v>
      </c>
      <c r="E998" s="562">
        <f>'[2]COSTO LAMINADO CDMX-QRO-GDL'!I988</f>
        <v>4250</v>
      </c>
      <c r="F998" s="563" t="s">
        <v>284</v>
      </c>
    </row>
    <row r="999" spans="1:6">
      <c r="A999" s="576"/>
      <c r="B999" s="559" t="s">
        <v>1175</v>
      </c>
      <c r="C999" s="560"/>
      <c r="D999" s="579" t="s">
        <v>1176</v>
      </c>
      <c r="E999" s="562">
        <f>'[2]COSTO LAMINADO CDMX-QRO-GDL'!I989</f>
        <v>4264.2857142857147</v>
      </c>
      <c r="F999" s="563" t="s">
        <v>284</v>
      </c>
    </row>
    <row r="1000" spans="1:6">
      <c r="A1000" s="576"/>
      <c r="B1000" s="559" t="s">
        <v>1177</v>
      </c>
      <c r="C1000" s="560"/>
      <c r="D1000" s="579" t="s">
        <v>1178</v>
      </c>
      <c r="E1000" s="562">
        <f>'[2]COSTO LAMINADO CDMX-QRO-GDL'!I990</f>
        <v>4278.5714285714284</v>
      </c>
      <c r="F1000" s="563" t="s">
        <v>284</v>
      </c>
    </row>
    <row r="1001" spans="1:6">
      <c r="A1001" s="576"/>
      <c r="B1001" s="559" t="s">
        <v>1179</v>
      </c>
      <c r="C1001" s="560"/>
      <c r="D1001" s="579" t="s">
        <v>1180</v>
      </c>
      <c r="E1001" s="562">
        <f>'[2]COSTO LAMINADO CDMX-QRO-GDL'!I991</f>
        <v>4285.7142857142862</v>
      </c>
      <c r="F1001" s="563" t="s">
        <v>284</v>
      </c>
    </row>
    <row r="1002" spans="1:6">
      <c r="A1002" s="558"/>
      <c r="B1002" s="559"/>
      <c r="C1002" s="560"/>
      <c r="D1002" s="579"/>
      <c r="E1002" s="596"/>
      <c r="F1002" s="708"/>
    </row>
    <row r="1003" spans="1:6">
      <c r="A1003" s="558"/>
      <c r="B1003" s="559" t="s">
        <v>1181</v>
      </c>
      <c r="C1003" s="716" t="s">
        <v>1182</v>
      </c>
      <c r="D1003" s="579" t="s">
        <v>1183</v>
      </c>
      <c r="E1003" s="562">
        <f>'[2]COSTO LAMINADO CDMX-QRO-GDL'!I993</f>
        <v>2000.0000000000002</v>
      </c>
      <c r="F1003" s="563" t="s">
        <v>284</v>
      </c>
    </row>
    <row r="1004" spans="1:6">
      <c r="A1004" s="558"/>
      <c r="B1004" s="559" t="s">
        <v>1184</v>
      </c>
      <c r="C1004" s="560" t="s">
        <v>1185</v>
      </c>
      <c r="D1004" s="579" t="s">
        <v>1186</v>
      </c>
      <c r="E1004" s="562">
        <f>'[2]COSTO LAMINADO CDMX-QRO-GDL'!I994</f>
        <v>2778.5714285714289</v>
      </c>
      <c r="F1004" s="563" t="s">
        <v>284</v>
      </c>
    </row>
    <row r="1005" spans="1:6" ht="15.75" customHeight="1">
      <c r="A1005" s="558"/>
      <c r="B1005" s="559" t="s">
        <v>1187</v>
      </c>
      <c r="C1005" s="560"/>
      <c r="D1005" s="579" t="s">
        <v>1188</v>
      </c>
      <c r="E1005" s="562">
        <f>'[2]COSTO LAMINADO CDMX-QRO-GDL'!I995</f>
        <v>3771.4285714285716</v>
      </c>
      <c r="F1005" s="563" t="s">
        <v>284</v>
      </c>
    </row>
    <row r="1006" spans="1:6" ht="14.25" customHeight="1">
      <c r="A1006" s="558"/>
      <c r="B1006" s="559" t="s">
        <v>1189</v>
      </c>
      <c r="C1006" s="560"/>
      <c r="D1006" s="579" t="s">
        <v>1190</v>
      </c>
      <c r="E1006" s="562">
        <f>'[2]COSTO LAMINADO CDMX-QRO-GDL'!I996</f>
        <v>3778.5714285714289</v>
      </c>
      <c r="F1006" s="563" t="s">
        <v>284</v>
      </c>
    </row>
    <row r="1007" spans="1:6">
      <c r="A1007" s="576"/>
      <c r="B1007" s="559" t="s">
        <v>1191</v>
      </c>
      <c r="C1007" s="560"/>
      <c r="D1007" s="579" t="s">
        <v>1192</v>
      </c>
      <c r="E1007" s="562">
        <f>'[2]COSTO LAMINADO CDMX-QRO-GDL'!I997</f>
        <v>3792.8571428571431</v>
      </c>
      <c r="F1007" s="563" t="s">
        <v>284</v>
      </c>
    </row>
    <row r="1008" spans="1:6">
      <c r="A1008" s="576"/>
      <c r="B1008" s="559" t="s">
        <v>1193</v>
      </c>
      <c r="C1008" s="560"/>
      <c r="D1008" s="579" t="s">
        <v>1194</v>
      </c>
      <c r="E1008" s="562">
        <f>'[2]COSTO LAMINADO CDMX-QRO-GDL'!I998</f>
        <v>4242.8571428571431</v>
      </c>
      <c r="F1008" s="563" t="s">
        <v>284</v>
      </c>
    </row>
    <row r="1009" spans="1:6">
      <c r="A1009" s="576"/>
      <c r="B1009" s="559" t="s">
        <v>1195</v>
      </c>
      <c r="C1009" s="560"/>
      <c r="D1009" s="579" t="s">
        <v>1196</v>
      </c>
      <c r="E1009" s="562">
        <f>'[2]COSTO LAMINADO CDMX-QRO-GDL'!I999</f>
        <v>4271.4285714285716</v>
      </c>
      <c r="F1009" s="563" t="s">
        <v>284</v>
      </c>
    </row>
    <row r="1010" spans="1:6">
      <c r="A1010" s="576"/>
      <c r="B1010" s="559" t="s">
        <v>1197</v>
      </c>
      <c r="C1010" s="560"/>
      <c r="D1010" s="579" t="s">
        <v>1198</v>
      </c>
      <c r="E1010" s="562">
        <f>'[2]COSTO LAMINADO CDMX-QRO-GDL'!I1000</f>
        <v>4292.8571428571431</v>
      </c>
      <c r="F1010" s="563" t="s">
        <v>284</v>
      </c>
    </row>
    <row r="1011" spans="1:6">
      <c r="A1011" s="576"/>
      <c r="B1011" s="559" t="s">
        <v>1199</v>
      </c>
      <c r="C1011" s="670"/>
      <c r="D1011" s="579" t="s">
        <v>1200</v>
      </c>
      <c r="E1011" s="562">
        <f>'[2]COSTO LAMINADO CDMX-QRO-GDL'!I1001</f>
        <v>4292.8571428571431</v>
      </c>
      <c r="F1011" s="563" t="s">
        <v>284</v>
      </c>
    </row>
    <row r="1012" spans="1:6">
      <c r="A1012" s="576"/>
      <c r="B1012" s="559" t="s">
        <v>1201</v>
      </c>
      <c r="C1012" s="670"/>
      <c r="D1012" s="579" t="s">
        <v>1202</v>
      </c>
      <c r="E1012" s="562">
        <f>'[2]COSTO LAMINADO CDMX-QRO-GDL'!I1002</f>
        <v>4300</v>
      </c>
      <c r="F1012" s="563" t="s">
        <v>284</v>
      </c>
    </row>
    <row r="1013" spans="1:6">
      <c r="A1013" s="576"/>
      <c r="B1013" s="559" t="s">
        <v>1203</v>
      </c>
      <c r="C1013" s="560"/>
      <c r="D1013" s="579" t="s">
        <v>1204</v>
      </c>
      <c r="E1013" s="562">
        <f>'[2]COSTO LAMINADO CDMX-QRO-GDL'!I1003</f>
        <v>4314.2857142857147</v>
      </c>
      <c r="F1013" s="563" t="s">
        <v>284</v>
      </c>
    </row>
    <row r="1014" spans="1:6">
      <c r="A1014" s="576"/>
      <c r="B1014" s="559" t="s">
        <v>1205</v>
      </c>
      <c r="C1014" s="694"/>
      <c r="D1014" s="561" t="s">
        <v>1206</v>
      </c>
      <c r="E1014" s="562">
        <f>'[2]COSTO LAMINADO CDMX-QRO-GDL'!I1004</f>
        <v>4457.1428571428578</v>
      </c>
      <c r="F1014" s="563" t="s">
        <v>284</v>
      </c>
    </row>
    <row r="1015" spans="1:6" ht="15.75" customHeight="1">
      <c r="A1015" s="576"/>
      <c r="B1015" s="559" t="s">
        <v>1207</v>
      </c>
      <c r="C1015" s="694"/>
      <c r="D1015" s="561" t="s">
        <v>1208</v>
      </c>
      <c r="E1015" s="562">
        <f>'[2]COSTO LAMINADO CDMX-QRO-GDL'!I1005</f>
        <v>4642.8571428571431</v>
      </c>
      <c r="F1015" s="563" t="s">
        <v>284</v>
      </c>
    </row>
    <row r="1016" spans="1:6" ht="14.25" customHeight="1">
      <c r="A1016" s="576"/>
      <c r="B1016" s="559" t="s">
        <v>1209</v>
      </c>
      <c r="C1016" s="694"/>
      <c r="D1016" s="561" t="s">
        <v>1210</v>
      </c>
      <c r="E1016" s="562">
        <f>'[2]COSTO LAMINADO CDMX-QRO-GDL'!I1006</f>
        <v>4928.5714285714284</v>
      </c>
      <c r="F1016" s="563" t="s">
        <v>284</v>
      </c>
    </row>
    <row r="1017" spans="1:6">
      <c r="A1017" s="576"/>
      <c r="B1017" s="565" t="s">
        <v>1211</v>
      </c>
      <c r="C1017" s="626"/>
      <c r="D1017" s="561" t="s">
        <v>1212</v>
      </c>
      <c r="E1017" s="562">
        <f>'[2]COSTO LAMINADO CDMX-QRO-GDL'!I1007</f>
        <v>4928.5714285714284</v>
      </c>
      <c r="F1017" s="563" t="s">
        <v>284</v>
      </c>
    </row>
    <row r="1018" spans="1:6">
      <c r="A1018" s="576"/>
      <c r="B1018" s="565" t="s">
        <v>1213</v>
      </c>
      <c r="C1018" s="626"/>
      <c r="D1018" s="561" t="s">
        <v>1214</v>
      </c>
      <c r="E1018" s="562">
        <f>'[2]COSTO LAMINADO CDMX-QRO-GDL'!I1008</f>
        <v>5014.2857142857147</v>
      </c>
      <c r="F1018" s="563" t="s">
        <v>284</v>
      </c>
    </row>
    <row r="1019" spans="1:6">
      <c r="A1019" s="710"/>
      <c r="B1019" s="711"/>
      <c r="C1019" s="615" t="s">
        <v>1215</v>
      </c>
      <c r="D1019" s="712"/>
      <c r="E1019" s="713"/>
      <c r="F1019" s="714"/>
    </row>
    <row r="1020" spans="1:6" ht="15">
      <c r="A1020" s="576"/>
      <c r="B1020" s="559" t="s">
        <v>1216</v>
      </c>
      <c r="C1020" s="600" t="s">
        <v>1217</v>
      </c>
      <c r="D1020" s="579" t="s">
        <v>1218</v>
      </c>
      <c r="E1020" s="562">
        <f>'[2]COSTO LAMINADO CDMX-QRO-GDL'!I1010</f>
        <v>1330.0529100529097</v>
      </c>
      <c r="F1020" s="563" t="s">
        <v>284</v>
      </c>
    </row>
    <row r="1021" spans="1:6">
      <c r="A1021" s="576"/>
      <c r="B1021" s="559" t="s">
        <v>1219</v>
      </c>
      <c r="C1021" s="603"/>
      <c r="D1021" s="579" t="s">
        <v>1220</v>
      </c>
      <c r="E1021" s="562">
        <f>'[2]COSTO LAMINADO CDMX-QRO-GDL'!I1011</f>
        <v>1434.1798941798936</v>
      </c>
      <c r="F1021" s="563" t="s">
        <v>284</v>
      </c>
    </row>
    <row r="1022" spans="1:6">
      <c r="A1022" s="576"/>
      <c r="B1022" s="559" t="s">
        <v>1221</v>
      </c>
      <c r="C1022" s="603"/>
      <c r="D1022" s="579" t="s">
        <v>1222</v>
      </c>
      <c r="E1022" s="562">
        <f>'[2]COSTO LAMINADO CDMX-QRO-GDL'!I1012</f>
        <v>1526.5255731922396</v>
      </c>
      <c r="F1022" s="563" t="s">
        <v>284</v>
      </c>
    </row>
    <row r="1023" spans="1:6">
      <c r="A1023" s="576"/>
      <c r="B1023" s="559" t="s">
        <v>1223</v>
      </c>
      <c r="C1023" s="603"/>
      <c r="D1023" s="579" t="s">
        <v>1224</v>
      </c>
      <c r="E1023" s="562">
        <f>'[2]COSTO LAMINADO CDMX-QRO-GDL'!I1013</f>
        <v>1630.6349206349205</v>
      </c>
      <c r="F1023" s="563" t="s">
        <v>284</v>
      </c>
    </row>
    <row r="1024" spans="1:6" ht="15.75" customHeight="1">
      <c r="A1024" s="576"/>
      <c r="B1024" s="559" t="s">
        <v>1225</v>
      </c>
      <c r="C1024" s="603"/>
      <c r="D1024" s="579" t="s">
        <v>1226</v>
      </c>
      <c r="E1024" s="562">
        <f>'[2]COSTO LAMINADO CDMX-QRO-GDL'!I1014</f>
        <v>1730.8465608465553</v>
      </c>
      <c r="F1024" s="563" t="s">
        <v>284</v>
      </c>
    </row>
    <row r="1025" spans="1:6" ht="14.25" customHeight="1">
      <c r="A1025" s="576"/>
      <c r="B1025" s="559" t="s">
        <v>1227</v>
      </c>
      <c r="C1025" s="603"/>
      <c r="D1025" s="579" t="s">
        <v>1228</v>
      </c>
      <c r="E1025" s="562">
        <f>'[2]COSTO LAMINADO CDMX-QRO-GDL'!I1015</f>
        <v>1834.9559082892383</v>
      </c>
      <c r="F1025" s="563" t="s">
        <v>284</v>
      </c>
    </row>
    <row r="1026" spans="1:6">
      <c r="A1026" s="576"/>
      <c r="B1026" s="559" t="s">
        <v>1229</v>
      </c>
      <c r="C1026" s="603"/>
      <c r="D1026" s="579" t="s">
        <v>1230</v>
      </c>
      <c r="E1026" s="562">
        <f>'[2]COSTO LAMINADO CDMX-QRO-GDL'!I1016</f>
        <v>1941.0582010582064</v>
      </c>
      <c r="F1026" s="563" t="s">
        <v>284</v>
      </c>
    </row>
    <row r="1027" spans="1:6">
      <c r="A1027" s="576"/>
      <c r="B1027" s="559"/>
      <c r="C1027" s="560"/>
      <c r="D1027" s="579"/>
      <c r="E1027" s="596"/>
      <c r="F1027" s="570"/>
    </row>
    <row r="1028" spans="1:6">
      <c r="A1028" s="710"/>
      <c r="B1028" s="711"/>
      <c r="C1028" s="615" t="s">
        <v>1231</v>
      </c>
      <c r="D1028" s="712"/>
      <c r="E1028" s="713"/>
      <c r="F1028" s="714"/>
    </row>
    <row r="1029" spans="1:6" ht="15">
      <c r="A1029" s="576"/>
      <c r="B1029" s="559" t="s">
        <v>1232</v>
      </c>
      <c r="C1029" s="603" t="s">
        <v>1217</v>
      </c>
      <c r="D1029" s="579" t="s">
        <v>1233</v>
      </c>
      <c r="E1029" s="562">
        <f>'[2]COSTO LAMINADO CDMX-QRO-GDL'!I1019</f>
        <v>1654.2151675485081</v>
      </c>
      <c r="F1029" s="563" t="s">
        <v>284</v>
      </c>
    </row>
    <row r="1030" spans="1:6">
      <c r="A1030" s="576"/>
      <c r="B1030" s="559" t="s">
        <v>1234</v>
      </c>
      <c r="C1030" s="603"/>
      <c r="D1030" s="579" t="s">
        <v>1235</v>
      </c>
      <c r="E1030" s="562">
        <f>'[2]COSTO LAMINADO CDMX-QRO-GDL'!I1020</f>
        <v>2292.7160493827141</v>
      </c>
      <c r="F1030" s="563" t="s">
        <v>284</v>
      </c>
    </row>
    <row r="1031" spans="1:6">
      <c r="A1031" s="576"/>
      <c r="B1031" s="559" t="s">
        <v>1236</v>
      </c>
      <c r="C1031" s="603"/>
      <c r="D1031" s="579" t="s">
        <v>1237</v>
      </c>
      <c r="E1031" s="562">
        <f>'[2]COSTO LAMINADO CDMX-QRO-GDL'!I1021</f>
        <v>2375.0793650793648</v>
      </c>
      <c r="F1031" s="563" t="s">
        <v>284</v>
      </c>
    </row>
    <row r="1032" spans="1:6">
      <c r="A1032" s="576"/>
      <c r="B1032" s="559" t="s">
        <v>1238</v>
      </c>
      <c r="C1032" s="603"/>
      <c r="D1032" s="579" t="s">
        <v>1239</v>
      </c>
      <c r="E1032" s="562">
        <f>'[2]COSTO LAMINADO CDMX-QRO-GDL'!I1022</f>
        <v>2459.7178130511429</v>
      </c>
      <c r="F1032" s="563" t="s">
        <v>284</v>
      </c>
    </row>
    <row r="1033" spans="1:6" ht="15.75" customHeight="1">
      <c r="A1033" s="576"/>
      <c r="B1033" s="559" t="s">
        <v>1240</v>
      </c>
      <c r="C1033" s="603"/>
      <c r="D1033" s="579" t="s">
        <v>1241</v>
      </c>
      <c r="E1033" s="562">
        <f>'[2]COSTO LAMINADO CDMX-QRO-GDL'!I1023</f>
        <v>2540.2645502645555</v>
      </c>
      <c r="F1033" s="563" t="s">
        <v>284</v>
      </c>
    </row>
    <row r="1034" spans="1:6" ht="14.25" customHeight="1">
      <c r="A1034" s="576"/>
      <c r="B1034" s="559" t="s">
        <v>1242</v>
      </c>
      <c r="C1034" s="603"/>
      <c r="D1034" s="579" t="s">
        <v>1243</v>
      </c>
      <c r="E1034" s="562">
        <f>'[2]COSTO LAMINADO CDMX-QRO-GDL'!I1024</f>
        <v>2620.8112874779522</v>
      </c>
      <c r="F1034" s="563" t="s">
        <v>284</v>
      </c>
    </row>
    <row r="1035" spans="1:6">
      <c r="A1035" s="576"/>
      <c r="B1035" s="559" t="s">
        <v>1244</v>
      </c>
      <c r="C1035" s="603"/>
      <c r="D1035" s="579" t="s">
        <v>1245</v>
      </c>
      <c r="E1035" s="562">
        <f>'[2]COSTO LAMINADO CDMX-QRO-GDL'!I1025</f>
        <v>2707.2663139329843</v>
      </c>
      <c r="F1035" s="563" t="s">
        <v>284</v>
      </c>
    </row>
    <row r="1036" spans="1:6">
      <c r="A1036" s="576"/>
      <c r="B1036" s="559"/>
      <c r="C1036" s="560"/>
      <c r="D1036" s="579"/>
      <c r="E1036" s="596"/>
      <c r="F1036" s="570"/>
    </row>
    <row r="1037" spans="1:6">
      <c r="A1037" s="710"/>
      <c r="B1037" s="711"/>
      <c r="C1037" s="615" t="s">
        <v>1246</v>
      </c>
      <c r="D1037" s="712"/>
      <c r="E1037" s="713"/>
      <c r="F1037" s="714"/>
    </row>
    <row r="1038" spans="1:6" ht="15">
      <c r="A1038" s="576"/>
      <c r="B1038" s="559" t="s">
        <v>1247</v>
      </c>
      <c r="C1038" s="603" t="s">
        <v>1217</v>
      </c>
      <c r="D1038" s="579" t="s">
        <v>1109</v>
      </c>
      <c r="E1038" s="562">
        <f>'[2]COSTO LAMINADO CDMX-QRO-GDL'!I1028</f>
        <v>1654.2151675485081</v>
      </c>
      <c r="F1038" s="563" t="s">
        <v>284</v>
      </c>
    </row>
    <row r="1039" spans="1:6">
      <c r="A1039" s="576"/>
      <c r="B1039" s="559" t="s">
        <v>1248</v>
      </c>
      <c r="C1039" s="603"/>
      <c r="D1039" s="579" t="s">
        <v>1249</v>
      </c>
      <c r="E1039" s="562">
        <f>'[2]COSTO LAMINADO CDMX-QRO-GDL'!I1029</f>
        <v>1777.9894179894129</v>
      </c>
      <c r="F1039" s="563" t="s">
        <v>284</v>
      </c>
    </row>
    <row r="1040" spans="1:6">
      <c r="A1040" s="576"/>
      <c r="B1040" s="559" t="s">
        <v>1250</v>
      </c>
      <c r="C1040" s="603"/>
      <c r="D1040" s="579" t="s">
        <v>1251</v>
      </c>
      <c r="E1040" s="562">
        <f>'[2]COSTO LAMINADO CDMX-QRO-GDL'!I1030</f>
        <v>1886.0493827160481</v>
      </c>
      <c r="F1040" s="563" t="s">
        <v>284</v>
      </c>
    </row>
    <row r="1041" spans="1:6">
      <c r="A1041" s="576"/>
      <c r="B1041" s="559" t="s">
        <v>1252</v>
      </c>
      <c r="C1041" s="603"/>
      <c r="D1041" s="579" t="s">
        <v>1253</v>
      </c>
      <c r="E1041" s="562">
        <f>'[2]COSTO LAMINADO CDMX-QRO-GDL'!I1031</f>
        <v>2015.7142857142858</v>
      </c>
      <c r="F1041" s="563" t="s">
        <v>284</v>
      </c>
    </row>
    <row r="1042" spans="1:6" ht="15.75" customHeight="1">
      <c r="A1042" s="576"/>
      <c r="B1042" s="559" t="s">
        <v>1254</v>
      </c>
      <c r="C1042" s="603"/>
      <c r="D1042" s="579" t="s">
        <v>1255</v>
      </c>
      <c r="E1042" s="562">
        <f>'[2]COSTO LAMINADO CDMX-QRO-GDL'!I1032</f>
        <v>2161.0934744268093</v>
      </c>
      <c r="F1042" s="563" t="s">
        <v>284</v>
      </c>
    </row>
    <row r="1043" spans="1:6" ht="14.25" customHeight="1">
      <c r="A1043" s="576"/>
      <c r="B1043" s="559" t="s">
        <v>1256</v>
      </c>
      <c r="C1043" s="603"/>
      <c r="D1043" s="579" t="s">
        <v>1257</v>
      </c>
      <c r="E1043" s="562">
        <f>'[2]COSTO LAMINADO CDMX-QRO-GDL'!I1033</f>
        <v>2316.2962962963015</v>
      </c>
      <c r="F1043" s="563" t="s">
        <v>284</v>
      </c>
    </row>
    <row r="1044" spans="1:6">
      <c r="A1044" s="576"/>
      <c r="B1044" s="559" t="s">
        <v>1258</v>
      </c>
      <c r="C1044" s="603"/>
      <c r="D1044" s="579" t="s">
        <v>1259</v>
      </c>
      <c r="E1044" s="562">
        <f>'[2]COSTO LAMINADO CDMX-QRO-GDL'!I1034</f>
        <v>2390.9523809523807</v>
      </c>
      <c r="F1044" s="563" t="s">
        <v>284</v>
      </c>
    </row>
    <row r="1045" spans="1:6">
      <c r="A1045" s="576"/>
      <c r="B1045" s="559"/>
      <c r="C1045" s="560"/>
      <c r="D1045" s="579"/>
      <c r="E1045" s="596"/>
      <c r="F1045" s="570"/>
    </row>
    <row r="1046" spans="1:6">
      <c r="A1046" s="710"/>
      <c r="B1046" s="711"/>
      <c r="C1046" s="615" t="s">
        <v>1260</v>
      </c>
      <c r="D1046" s="712"/>
      <c r="E1046" s="713"/>
      <c r="F1046" s="714"/>
    </row>
    <row r="1047" spans="1:6" ht="15">
      <c r="A1047" s="576"/>
      <c r="B1047" s="559" t="s">
        <v>1261</v>
      </c>
      <c r="C1047" s="603" t="s">
        <v>1217</v>
      </c>
      <c r="D1047" s="579" t="s">
        <v>1262</v>
      </c>
      <c r="E1047" s="562">
        <f>'[2]COSTO LAMINADO CDMX-QRO-GDL'!I1037</f>
        <v>1715.1146384478575</v>
      </c>
      <c r="F1047" s="563" t="s">
        <v>284</v>
      </c>
    </row>
    <row r="1048" spans="1:6">
      <c r="A1048" s="576"/>
      <c r="B1048" s="559" t="s">
        <v>1263</v>
      </c>
      <c r="C1048" s="603"/>
      <c r="D1048" s="579" t="s">
        <v>1264</v>
      </c>
      <c r="E1048" s="562">
        <f>'[2]COSTO LAMINADO CDMX-QRO-GDL'!I1038</f>
        <v>1909.6119929453332</v>
      </c>
      <c r="F1048" s="563" t="s">
        <v>284</v>
      </c>
    </row>
    <row r="1049" spans="1:6">
      <c r="A1049" s="576"/>
      <c r="B1049" s="559" t="s">
        <v>1265</v>
      </c>
      <c r="C1049" s="603"/>
      <c r="D1049" s="579" t="s">
        <v>1266</v>
      </c>
      <c r="E1049" s="562">
        <f>'[2]COSTO LAMINADO CDMX-QRO-GDL'!I1039</f>
        <v>1978.3774250440954</v>
      </c>
      <c r="F1049" s="563" t="s">
        <v>284</v>
      </c>
    </row>
    <row r="1050" spans="1:6">
      <c r="A1050" s="576"/>
      <c r="B1050" s="559" t="s">
        <v>1267</v>
      </c>
      <c r="C1050" s="603"/>
      <c r="D1050" s="579" t="s">
        <v>1268</v>
      </c>
      <c r="E1050" s="562">
        <f>'[2]COSTO LAMINADO CDMX-QRO-GDL'!I1040</f>
        <v>2404.7089947090003</v>
      </c>
      <c r="F1050" s="563" t="s">
        <v>284</v>
      </c>
    </row>
    <row r="1051" spans="1:6" ht="15.75" customHeight="1">
      <c r="A1051" s="576"/>
      <c r="B1051" s="559" t="s">
        <v>1269</v>
      </c>
      <c r="C1051" s="603"/>
      <c r="D1051" s="579" t="s">
        <v>1270</v>
      </c>
      <c r="E1051" s="562">
        <f>'[2]COSTO LAMINADO CDMX-QRO-GDL'!I1041</f>
        <v>2440.0705467372063</v>
      </c>
      <c r="F1051" s="563" t="s">
        <v>284</v>
      </c>
    </row>
    <row r="1052" spans="1:6" ht="14.25" customHeight="1">
      <c r="A1052" s="576"/>
      <c r="B1052" s="559" t="s">
        <v>1271</v>
      </c>
      <c r="C1052" s="603"/>
      <c r="D1052" s="579" t="s">
        <v>1272</v>
      </c>
      <c r="E1052" s="562">
        <f>'[2]COSTO LAMINADO CDMX-QRO-GDL'!I1042</f>
        <v>2998.0246913580318</v>
      </c>
      <c r="F1052" s="563" t="s">
        <v>284</v>
      </c>
    </row>
    <row r="1053" spans="1:6">
      <c r="A1053" s="576"/>
      <c r="B1053" s="559" t="s">
        <v>1273</v>
      </c>
      <c r="C1053" s="603"/>
      <c r="D1053" s="579" t="s">
        <v>1274</v>
      </c>
      <c r="E1053" s="562">
        <f>'[2]COSTO LAMINADO CDMX-QRO-GDL'!I1043</f>
        <v>3326.1199294532698</v>
      </c>
      <c r="F1053" s="563" t="s">
        <v>284</v>
      </c>
    </row>
    <row r="1054" spans="1:6">
      <c r="A1054" s="576"/>
      <c r="B1054" s="559"/>
      <c r="C1054" s="560"/>
      <c r="D1054" s="579"/>
      <c r="E1054" s="596"/>
      <c r="F1054" s="570"/>
    </row>
    <row r="1055" spans="1:6">
      <c r="A1055" s="710"/>
      <c r="B1055" s="711"/>
      <c r="C1055" s="615" t="s">
        <v>1275</v>
      </c>
      <c r="D1055" s="712"/>
      <c r="E1055" s="713"/>
      <c r="F1055" s="714"/>
    </row>
    <row r="1056" spans="1:6" ht="15">
      <c r="A1056" s="576"/>
      <c r="B1056" s="559" t="s">
        <v>1276</v>
      </c>
      <c r="C1056" s="603" t="s">
        <v>1217</v>
      </c>
      <c r="D1056" s="579" t="s">
        <v>1277</v>
      </c>
      <c r="E1056" s="562">
        <f>'[2]COSTO LAMINADO CDMX-QRO-GDL'!I1046</f>
        <v>1322.1869488536158</v>
      </c>
      <c r="F1056" s="563" t="s">
        <v>284</v>
      </c>
    </row>
    <row r="1057" spans="1:6">
      <c r="A1057" s="576"/>
      <c r="B1057" s="559" t="s">
        <v>1278</v>
      </c>
      <c r="C1057" s="603"/>
      <c r="D1057" s="579" t="s">
        <v>1279</v>
      </c>
      <c r="E1057" s="562">
        <f>'[2]COSTO LAMINADO CDMX-QRO-GDL'!I1047</f>
        <v>1434.1798941798936</v>
      </c>
      <c r="F1057" s="563" t="s">
        <v>284</v>
      </c>
    </row>
    <row r="1058" spans="1:6">
      <c r="A1058" s="576"/>
      <c r="B1058" s="559" t="s">
        <v>1280</v>
      </c>
      <c r="C1058" s="603"/>
      <c r="D1058" s="579" t="s">
        <v>1281</v>
      </c>
      <c r="E1058" s="562">
        <f>'[2]COSTO LAMINADO CDMX-QRO-GDL'!I1048</f>
        <v>1526.7019400352729</v>
      </c>
      <c r="F1058" s="563" t="s">
        <v>284</v>
      </c>
    </row>
    <row r="1059" spans="1:6">
      <c r="A1059" s="576"/>
      <c r="B1059" s="559" t="s">
        <v>1282</v>
      </c>
      <c r="C1059" s="603"/>
      <c r="D1059" s="579" t="s">
        <v>1283</v>
      </c>
      <c r="E1059" s="562">
        <f>'[2]COSTO LAMINADO CDMX-QRO-GDL'!I1049</f>
        <v>1630.6349206349205</v>
      </c>
      <c r="F1059" s="563" t="s">
        <v>284</v>
      </c>
    </row>
    <row r="1060" spans="1:6">
      <c r="A1060" s="576"/>
      <c r="B1060" s="559" t="s">
        <v>1284</v>
      </c>
      <c r="C1060" s="603"/>
      <c r="D1060" s="579" t="s">
        <v>1285</v>
      </c>
      <c r="E1060" s="562">
        <f>'[2]COSTO LAMINADO CDMX-QRO-GDL'!I1050</f>
        <v>1730.8465608465553</v>
      </c>
      <c r="F1060" s="563" t="s">
        <v>284</v>
      </c>
    </row>
    <row r="1061" spans="1:6">
      <c r="A1061" s="576"/>
      <c r="B1061" s="559" t="s">
        <v>1286</v>
      </c>
      <c r="C1061" s="603"/>
      <c r="D1061" s="579" t="s">
        <v>1287</v>
      </c>
      <c r="E1061" s="562">
        <f>'[2]COSTO LAMINADO CDMX-QRO-GDL'!I1051</f>
        <v>1834.9559082892383</v>
      </c>
      <c r="F1061" s="563" t="s">
        <v>284</v>
      </c>
    </row>
    <row r="1062" spans="1:6">
      <c r="A1062" s="576"/>
      <c r="B1062" s="559" t="s">
        <v>1288</v>
      </c>
      <c r="C1062" s="603"/>
      <c r="D1062" s="579" t="s">
        <v>1289</v>
      </c>
      <c r="E1062" s="562">
        <f>'[2]COSTO LAMINADO CDMX-QRO-GDL'!I1052</f>
        <v>1941.0582010582064</v>
      </c>
      <c r="F1062" s="563" t="s">
        <v>284</v>
      </c>
    </row>
    <row r="1063" spans="1:6">
      <c r="A1063" s="576"/>
      <c r="B1063" s="559"/>
      <c r="C1063" s="560"/>
      <c r="D1063" s="579"/>
      <c r="E1063" s="596"/>
      <c r="F1063" s="570"/>
    </row>
    <row r="1064" spans="1:6">
      <c r="A1064" s="710"/>
      <c r="B1064" s="711"/>
      <c r="C1064" s="615" t="s">
        <v>1290</v>
      </c>
      <c r="D1064" s="712"/>
      <c r="E1064" s="713"/>
      <c r="F1064" s="714"/>
    </row>
    <row r="1065" spans="1:6" ht="15">
      <c r="A1065" s="576"/>
      <c r="B1065" s="559" t="s">
        <v>1291</v>
      </c>
      <c r="C1065" s="603" t="s">
        <v>1217</v>
      </c>
      <c r="D1065" s="579" t="s">
        <v>1292</v>
      </c>
      <c r="E1065" s="562">
        <f>'[2]COSTO LAMINADO CDMX-QRO-GDL'!I1055</f>
        <v>1330.0529100529097</v>
      </c>
      <c r="F1065" s="563" t="s">
        <v>284</v>
      </c>
    </row>
    <row r="1066" spans="1:6">
      <c r="A1066" s="576"/>
      <c r="B1066" s="559" t="s">
        <v>1293</v>
      </c>
      <c r="C1066" s="603"/>
      <c r="D1066" s="579" t="s">
        <v>1294</v>
      </c>
      <c r="E1066" s="562">
        <f>'[2]COSTO LAMINADO CDMX-QRO-GDL'!I1056</f>
        <v>1434.1798941798936</v>
      </c>
      <c r="F1066" s="563" t="s">
        <v>284</v>
      </c>
    </row>
    <row r="1067" spans="1:6">
      <c r="A1067" s="576"/>
      <c r="B1067" s="559" t="s">
        <v>1295</v>
      </c>
      <c r="C1067" s="603"/>
      <c r="D1067" s="579" t="s">
        <v>1296</v>
      </c>
      <c r="E1067" s="562">
        <f>'[2]COSTO LAMINADO CDMX-QRO-GDL'!I1057</f>
        <v>1526.7019400352729</v>
      </c>
      <c r="F1067" s="563" t="s">
        <v>284</v>
      </c>
    </row>
    <row r="1068" spans="1:6">
      <c r="A1068" s="576"/>
      <c r="B1068" s="559" t="s">
        <v>1297</v>
      </c>
      <c r="C1068" s="603"/>
      <c r="D1068" s="579" t="s">
        <v>1298</v>
      </c>
      <c r="E1068" s="562">
        <f>'[2]COSTO LAMINADO CDMX-QRO-GDL'!I1058</f>
        <v>1630.6349206349205</v>
      </c>
      <c r="F1068" s="563" t="s">
        <v>284</v>
      </c>
    </row>
    <row r="1069" spans="1:6">
      <c r="A1069" s="576"/>
      <c r="B1069" s="559" t="s">
        <v>1299</v>
      </c>
      <c r="C1069" s="603"/>
      <c r="D1069" s="579" t="s">
        <v>1300</v>
      </c>
      <c r="E1069" s="562">
        <f>'[2]COSTO LAMINADO CDMX-QRO-GDL'!I1059</f>
        <v>1730.8465608465553</v>
      </c>
      <c r="F1069" s="563" t="s">
        <v>284</v>
      </c>
    </row>
    <row r="1070" spans="1:6">
      <c r="A1070" s="576"/>
      <c r="B1070" s="559" t="s">
        <v>1301</v>
      </c>
      <c r="C1070" s="603"/>
      <c r="D1070" s="579" t="s">
        <v>1302</v>
      </c>
      <c r="E1070" s="562">
        <f>'[2]COSTO LAMINADO CDMX-QRO-GDL'!I1060</f>
        <v>1834.9559082892383</v>
      </c>
      <c r="F1070" s="563" t="s">
        <v>284</v>
      </c>
    </row>
    <row r="1071" spans="1:6">
      <c r="A1071" s="576"/>
      <c r="B1071" s="559" t="s">
        <v>1303</v>
      </c>
      <c r="C1071" s="603"/>
      <c r="D1071" s="579" t="s">
        <v>1304</v>
      </c>
      <c r="E1071" s="562">
        <f>'[2]COSTO LAMINADO CDMX-QRO-GDL'!I1061</f>
        <v>1941.0582010582064</v>
      </c>
      <c r="F1071" s="563" t="s">
        <v>284</v>
      </c>
    </row>
    <row r="1072" spans="1:6">
      <c r="A1072" s="576"/>
      <c r="B1072" s="559"/>
      <c r="C1072" s="560"/>
      <c r="D1072" s="579"/>
      <c r="E1072" s="596"/>
      <c r="F1072" s="570"/>
    </row>
    <row r="1073" spans="1:6">
      <c r="A1073" s="710"/>
      <c r="B1073" s="711"/>
      <c r="C1073" s="615" t="s">
        <v>1305</v>
      </c>
      <c r="D1073" s="712"/>
      <c r="E1073" s="713"/>
      <c r="F1073" s="714"/>
    </row>
    <row r="1074" spans="1:6" ht="15">
      <c r="A1074" s="576"/>
      <c r="B1074" s="559" t="s">
        <v>1306</v>
      </c>
      <c r="C1074" s="600" t="s">
        <v>1217</v>
      </c>
      <c r="D1074" s="579" t="s">
        <v>1090</v>
      </c>
      <c r="E1074" s="562">
        <f>'[2]COSTO LAMINADO CDMX-QRO-GDL'!I1064</f>
        <v>1330.0529100529097</v>
      </c>
      <c r="F1074" s="563" t="s">
        <v>284</v>
      </c>
    </row>
    <row r="1075" spans="1:6">
      <c r="A1075" s="576"/>
      <c r="B1075" s="559" t="s">
        <v>1307</v>
      </c>
      <c r="C1075" s="603"/>
      <c r="D1075" s="579" t="s">
        <v>1308</v>
      </c>
      <c r="E1075" s="562">
        <f>'[2]COSTO LAMINADO CDMX-QRO-GDL'!I1065</f>
        <v>1434.1798941798936</v>
      </c>
      <c r="F1075" s="563" t="s">
        <v>284</v>
      </c>
    </row>
    <row r="1076" spans="1:6">
      <c r="A1076" s="576"/>
      <c r="B1076" s="559" t="s">
        <v>1309</v>
      </c>
      <c r="C1076" s="603"/>
      <c r="D1076" s="579" t="s">
        <v>1310</v>
      </c>
      <c r="E1076" s="562">
        <f>'[2]COSTO LAMINADO CDMX-QRO-GDL'!I1066</f>
        <v>1526.7019400352729</v>
      </c>
      <c r="F1076" s="563" t="s">
        <v>284</v>
      </c>
    </row>
    <row r="1077" spans="1:6">
      <c r="A1077" s="576"/>
      <c r="B1077" s="559" t="s">
        <v>1311</v>
      </c>
      <c r="C1077" s="603"/>
      <c r="D1077" s="579" t="s">
        <v>1312</v>
      </c>
      <c r="E1077" s="562">
        <f>'[2]COSTO LAMINADO CDMX-QRO-GDL'!I1067</f>
        <v>1630.6349206349205</v>
      </c>
      <c r="F1077" s="563" t="s">
        <v>284</v>
      </c>
    </row>
    <row r="1078" spans="1:6">
      <c r="A1078" s="576"/>
      <c r="B1078" s="559" t="s">
        <v>1313</v>
      </c>
      <c r="C1078" s="603"/>
      <c r="D1078" s="579" t="s">
        <v>1314</v>
      </c>
      <c r="E1078" s="562">
        <f>'[2]COSTO LAMINADO CDMX-QRO-GDL'!I1068</f>
        <v>1730.8465608465553</v>
      </c>
      <c r="F1078" s="563" t="s">
        <v>284</v>
      </c>
    </row>
    <row r="1079" spans="1:6">
      <c r="A1079" s="576"/>
      <c r="B1079" s="559" t="s">
        <v>1315</v>
      </c>
      <c r="C1079" s="603"/>
      <c r="D1079" s="579" t="s">
        <v>1316</v>
      </c>
      <c r="E1079" s="562">
        <f>'[2]COSTO LAMINADO CDMX-QRO-GDL'!I1069</f>
        <v>1834.9559082892383</v>
      </c>
      <c r="F1079" s="563" t="s">
        <v>284</v>
      </c>
    </row>
    <row r="1080" spans="1:6">
      <c r="A1080" s="576"/>
      <c r="B1080" s="559" t="s">
        <v>1317</v>
      </c>
      <c r="C1080" s="603"/>
      <c r="D1080" s="579" t="s">
        <v>1318</v>
      </c>
      <c r="E1080" s="562">
        <f>'[2]COSTO LAMINADO CDMX-QRO-GDL'!I1070</f>
        <v>1941.0582010582064</v>
      </c>
      <c r="F1080" s="563" t="s">
        <v>284</v>
      </c>
    </row>
    <row r="1081" spans="1:6">
      <c r="A1081" s="576"/>
      <c r="B1081" s="559"/>
      <c r="C1081" s="560"/>
      <c r="D1081" s="579"/>
      <c r="E1081" s="596"/>
      <c r="F1081" s="570"/>
    </row>
    <row r="1082" spans="1:6">
      <c r="A1082" s="710"/>
      <c r="B1082" s="711"/>
      <c r="C1082" s="615" t="s">
        <v>1319</v>
      </c>
      <c r="D1082" s="712"/>
      <c r="E1082" s="713"/>
      <c r="F1082" s="714"/>
    </row>
    <row r="1083" spans="1:6" ht="15">
      <c r="A1083" s="576"/>
      <c r="B1083" s="559" t="s">
        <v>1320</v>
      </c>
      <c r="C1083" s="600" t="s">
        <v>1217</v>
      </c>
      <c r="D1083" s="579" t="s">
        <v>1321</v>
      </c>
      <c r="E1083" s="562">
        <f>'[2]COSTO LAMINADO CDMX-QRO-GDL'!I1073</f>
        <v>1654.2151675485081</v>
      </c>
      <c r="F1083" s="563" t="s">
        <v>284</v>
      </c>
    </row>
    <row r="1084" spans="1:6">
      <c r="A1084" s="576"/>
      <c r="B1084" s="559" t="s">
        <v>1322</v>
      </c>
      <c r="C1084" s="603"/>
      <c r="D1084" s="579" t="s">
        <v>1323</v>
      </c>
      <c r="E1084" s="562">
        <f>'[2]COSTO LAMINADO CDMX-QRO-GDL'!I1074</f>
        <v>1777.9894179894129</v>
      </c>
      <c r="F1084" s="563" t="s">
        <v>284</v>
      </c>
    </row>
    <row r="1085" spans="1:6">
      <c r="A1085" s="576"/>
      <c r="B1085" s="559" t="s">
        <v>1324</v>
      </c>
      <c r="C1085" s="603"/>
      <c r="D1085" s="579" t="s">
        <v>1325</v>
      </c>
      <c r="E1085" s="562">
        <f>'[2]COSTO LAMINADO CDMX-QRO-GDL'!I1075</f>
        <v>1886.0493827160481</v>
      </c>
      <c r="F1085" s="563" t="s">
        <v>284</v>
      </c>
    </row>
    <row r="1086" spans="1:6">
      <c r="A1086" s="576"/>
      <c r="B1086" s="559" t="s">
        <v>1326</v>
      </c>
      <c r="C1086" s="603"/>
      <c r="D1086" s="579" t="s">
        <v>1327</v>
      </c>
      <c r="E1086" s="562">
        <f>'[2]COSTO LAMINADO CDMX-QRO-GDL'!I1076</f>
        <v>2015.7142857142858</v>
      </c>
      <c r="F1086" s="563" t="s">
        <v>284</v>
      </c>
    </row>
    <row r="1087" spans="1:6">
      <c r="A1087" s="576"/>
      <c r="B1087" s="559" t="s">
        <v>1328</v>
      </c>
      <c r="C1087" s="603"/>
      <c r="D1087" s="579" t="s">
        <v>1329</v>
      </c>
      <c r="E1087" s="562">
        <f>'[2]COSTO LAMINADO CDMX-QRO-GDL'!I1077</f>
        <v>2161.0934744268093</v>
      </c>
      <c r="F1087" s="563" t="s">
        <v>284</v>
      </c>
    </row>
    <row r="1088" spans="1:6">
      <c r="A1088" s="576"/>
      <c r="B1088" s="559" t="s">
        <v>1330</v>
      </c>
      <c r="C1088" s="603"/>
      <c r="D1088" s="579" t="s">
        <v>1331</v>
      </c>
      <c r="E1088" s="562">
        <f>'[2]COSTO LAMINADO CDMX-QRO-GDL'!I1078</f>
        <v>2316.2962962963015</v>
      </c>
      <c r="F1088" s="563" t="s">
        <v>284</v>
      </c>
    </row>
    <row r="1089" spans="1:6">
      <c r="A1089" s="576"/>
      <c r="B1089" s="559" t="s">
        <v>1332</v>
      </c>
      <c r="C1089" s="603"/>
      <c r="D1089" s="579" t="s">
        <v>1333</v>
      </c>
      <c r="E1089" s="562">
        <f>'[2]COSTO LAMINADO CDMX-QRO-GDL'!I1079</f>
        <v>2390.9523809523807</v>
      </c>
      <c r="F1089" s="563" t="s">
        <v>284</v>
      </c>
    </row>
    <row r="1090" spans="1:6">
      <c r="A1090" s="576"/>
      <c r="B1090" s="559"/>
      <c r="C1090" s="560"/>
      <c r="D1090" s="579"/>
      <c r="E1090" s="596"/>
      <c r="F1090" s="570"/>
    </row>
    <row r="1091" spans="1:6">
      <c r="A1091" s="672"/>
      <c r="B1091" s="673"/>
      <c r="C1091" s="553" t="s">
        <v>1060</v>
      </c>
      <c r="D1091" s="675"/>
      <c r="E1091" s="676"/>
      <c r="F1091" s="575"/>
    </row>
    <row r="1092" spans="1:6">
      <c r="A1092" s="558"/>
      <c r="B1092" s="565" t="s">
        <v>1334</v>
      </c>
      <c r="C1092" s="717" t="s">
        <v>1335</v>
      </c>
      <c r="D1092" s="561" t="s">
        <v>1204</v>
      </c>
      <c r="E1092" s="562">
        <f>'[2]COSTO LAMINADO CDMX-QRO-GDL'!I1082</f>
        <v>4142.8571428571431</v>
      </c>
      <c r="F1092" s="563" t="s">
        <v>284</v>
      </c>
    </row>
    <row r="1093" spans="1:6">
      <c r="A1093" s="558"/>
      <c r="B1093" s="565" t="s">
        <v>1336</v>
      </c>
      <c r="C1093" s="626" t="s">
        <v>1337</v>
      </c>
      <c r="D1093" s="561" t="s">
        <v>1214</v>
      </c>
      <c r="E1093" s="562">
        <f>'[2]COSTO LAMINADO CDMX-QRO-GDL'!I1083</f>
        <v>4871.4285714285716</v>
      </c>
      <c r="F1093" s="563" t="s">
        <v>284</v>
      </c>
    </row>
    <row r="1094" spans="1:6">
      <c r="A1094" s="558"/>
      <c r="B1094" s="565"/>
      <c r="D1094" s="561"/>
      <c r="E1094" s="569"/>
      <c r="F1094" s="570"/>
    </row>
    <row r="1095" spans="1:6">
      <c r="A1095" s="558"/>
      <c r="B1095" s="565"/>
      <c r="C1095" s="626"/>
      <c r="D1095" s="561"/>
      <c r="E1095" s="569"/>
      <c r="F1095" s="570"/>
    </row>
    <row r="1096" spans="1:6">
      <c r="A1096" s="558"/>
      <c r="B1096" s="565"/>
      <c r="C1096" s="626"/>
      <c r="D1096" s="561"/>
      <c r="E1096" s="569"/>
      <c r="F1096" s="570"/>
    </row>
    <row r="1097" spans="1:6">
      <c r="A1097" s="558"/>
      <c r="B1097" s="656"/>
      <c r="C1097" s="626"/>
      <c r="D1097" s="561"/>
      <c r="E1097" s="569"/>
      <c r="F1097" s="570"/>
    </row>
    <row r="1098" spans="1:6">
      <c r="A1098" s="558"/>
      <c r="B1098" s="656"/>
      <c r="C1098" s="626"/>
      <c r="D1098" s="561"/>
      <c r="E1098" s="569"/>
      <c r="F1098" s="570"/>
    </row>
    <row r="1099" spans="1:6">
      <c r="A1099" s="558"/>
      <c r="B1099" s="656"/>
      <c r="C1099" s="626"/>
      <c r="D1099" s="561"/>
      <c r="E1099" s="569"/>
      <c r="F1099" s="570"/>
    </row>
    <row r="1100" spans="1:6">
      <c r="A1100" s="558"/>
      <c r="B1100" s="565" t="s">
        <v>1338</v>
      </c>
      <c r="C1100" s="717" t="s">
        <v>1335</v>
      </c>
      <c r="D1100" s="561" t="s">
        <v>1339</v>
      </c>
      <c r="E1100" s="562">
        <f>'[2]COSTO LAMINADO CDMX-QRO-GDL'!I1090</f>
        <v>8300</v>
      </c>
      <c r="F1100" s="563" t="s">
        <v>284</v>
      </c>
    </row>
    <row r="1101" spans="1:6">
      <c r="A1101" s="558"/>
      <c r="B1101" s="565"/>
      <c r="C1101" s="626" t="s">
        <v>1337</v>
      </c>
      <c r="D1101" s="561"/>
      <c r="E1101" s="569"/>
      <c r="F1101" s="570"/>
    </row>
    <row r="1102" spans="1:6">
      <c r="A1102" s="558"/>
      <c r="B1102" s="565"/>
      <c r="C1102" s="626"/>
      <c r="D1102" s="561"/>
      <c r="E1102" s="569"/>
      <c r="F1102" s="570"/>
    </row>
    <row r="1103" spans="1:6">
      <c r="A1103" s="558"/>
      <c r="B1103" s="565"/>
      <c r="C1103" s="626"/>
      <c r="D1103" s="561"/>
      <c r="E1103" s="569"/>
      <c r="F1103" s="570"/>
    </row>
    <row r="1104" spans="1:6">
      <c r="A1104" s="558"/>
      <c r="B1104" s="565"/>
      <c r="C1104" s="626"/>
      <c r="D1104" s="561"/>
      <c r="E1104" s="569"/>
      <c r="F1104" s="570"/>
    </row>
    <row r="1105" spans="1:6">
      <c r="A1105" s="558"/>
      <c r="B1105" s="565"/>
      <c r="C1105" s="626"/>
      <c r="D1105" s="561"/>
      <c r="E1105" s="569"/>
      <c r="F1105" s="570"/>
    </row>
    <row r="1106" spans="1:6">
      <c r="A1106" s="558"/>
      <c r="B1106" s="565"/>
      <c r="C1106" s="626"/>
      <c r="D1106" s="561"/>
      <c r="E1106" s="569"/>
      <c r="F1106" s="570"/>
    </row>
    <row r="1107" spans="1:6">
      <c r="A1107" s="558"/>
      <c r="B1107" s="565" t="s">
        <v>1340</v>
      </c>
      <c r="C1107" s="717" t="s">
        <v>1335</v>
      </c>
      <c r="D1107" s="561" t="s">
        <v>1341</v>
      </c>
      <c r="E1107" s="562">
        <f>'[2]COSTO LAMINADO CDMX-QRO-GDL'!I1097</f>
        <v>16442.857142857145</v>
      </c>
      <c r="F1107" s="563" t="s">
        <v>284</v>
      </c>
    </row>
    <row r="1108" spans="1:6">
      <c r="A1108" s="558"/>
      <c r="B1108" s="565"/>
      <c r="C1108" s="626" t="s">
        <v>1337</v>
      </c>
      <c r="D1108" s="561"/>
      <c r="E1108" s="569"/>
      <c r="F1108" s="570"/>
    </row>
    <row r="1109" spans="1:6">
      <c r="A1109" s="558"/>
      <c r="B1109" s="565"/>
      <c r="C1109" s="626"/>
      <c r="D1109" s="561"/>
      <c r="E1109" s="569"/>
      <c r="F1109" s="570"/>
    </row>
    <row r="1110" spans="1:6">
      <c r="A1110" s="558"/>
      <c r="B1110" s="565"/>
      <c r="C1110" s="626"/>
      <c r="D1110" s="561"/>
      <c r="E1110" s="569"/>
      <c r="F1110" s="570"/>
    </row>
    <row r="1111" spans="1:6">
      <c r="A1111" s="558"/>
      <c r="B1111" s="565"/>
      <c r="C1111" s="626"/>
      <c r="D1111" s="561"/>
      <c r="E1111" s="569"/>
      <c r="F1111" s="570"/>
    </row>
    <row r="1112" spans="1:6">
      <c r="A1112" s="558"/>
      <c r="B1112" s="565"/>
      <c r="C1112" s="626"/>
      <c r="D1112" s="561"/>
      <c r="E1112" s="569"/>
      <c r="F1112" s="570"/>
    </row>
    <row r="1113" spans="1:6">
      <c r="A1113" s="558"/>
      <c r="B1113" s="565"/>
      <c r="C1113" s="626"/>
      <c r="D1113" s="561"/>
      <c r="E1113" s="569"/>
      <c r="F1113" s="570"/>
    </row>
    <row r="1114" spans="1:6">
      <c r="A1114" s="672"/>
      <c r="B1114" s="673"/>
      <c r="C1114" s="553" t="s">
        <v>1060</v>
      </c>
      <c r="D1114" s="675"/>
      <c r="E1114" s="676"/>
      <c r="F1114" s="575"/>
    </row>
    <row r="1115" spans="1:6">
      <c r="A1115" s="576"/>
      <c r="B1115" s="565" t="s">
        <v>1342</v>
      </c>
      <c r="C1115" s="718" t="s">
        <v>1335</v>
      </c>
      <c r="D1115" s="561" t="s">
        <v>1204</v>
      </c>
      <c r="E1115" s="562">
        <f>'[2]COSTO LAMINADO CDMX-QRO-GDL'!I1105</f>
        <v>4142.8571428571431</v>
      </c>
      <c r="F1115" s="563" t="s">
        <v>284</v>
      </c>
    </row>
    <row r="1116" spans="1:6">
      <c r="A1116" s="576"/>
      <c r="B1116" s="565" t="s">
        <v>1343</v>
      </c>
      <c r="C1116" s="694" t="s">
        <v>1344</v>
      </c>
      <c r="D1116" s="561" t="s">
        <v>1214</v>
      </c>
      <c r="E1116" s="562">
        <f>'[2]COSTO LAMINADO CDMX-QRO-GDL'!I1106</f>
        <v>4871.4285714285716</v>
      </c>
      <c r="F1116" s="563" t="s">
        <v>284</v>
      </c>
    </row>
    <row r="1117" spans="1:6">
      <c r="A1117" s="576"/>
      <c r="B1117" s="565"/>
      <c r="D1117" s="561"/>
      <c r="E1117" s="569"/>
      <c r="F1117" s="570"/>
    </row>
    <row r="1118" spans="1:6">
      <c r="A1118" s="576"/>
      <c r="B1118" s="565"/>
      <c r="C1118" s="694"/>
      <c r="D1118" s="561"/>
      <c r="E1118" s="569"/>
      <c r="F1118" s="570"/>
    </row>
    <row r="1119" spans="1:6">
      <c r="A1119" s="576"/>
      <c r="B1119" s="565"/>
      <c r="C1119" s="694"/>
      <c r="D1119" s="561"/>
      <c r="E1119" s="569"/>
      <c r="F1119" s="570"/>
    </row>
    <row r="1120" spans="1:6">
      <c r="A1120" s="576"/>
      <c r="B1120" s="656"/>
      <c r="C1120" s="694"/>
      <c r="D1120" s="561"/>
      <c r="E1120" s="569"/>
      <c r="F1120" s="570"/>
    </row>
    <row r="1121" spans="1:6">
      <c r="A1121" s="576"/>
      <c r="B1121" s="656"/>
      <c r="C1121" s="694"/>
      <c r="D1121" s="561"/>
      <c r="E1121" s="569"/>
      <c r="F1121" s="570"/>
    </row>
    <row r="1122" spans="1:6">
      <c r="A1122" s="576"/>
      <c r="B1122" s="656"/>
      <c r="C1122" s="694"/>
      <c r="D1122" s="561"/>
      <c r="E1122" s="569"/>
      <c r="F1122" s="570"/>
    </row>
    <row r="1123" spans="1:6">
      <c r="A1123" s="576"/>
      <c r="B1123" s="565" t="s">
        <v>1345</v>
      </c>
      <c r="C1123" s="718" t="s">
        <v>1335</v>
      </c>
      <c r="D1123" s="561" t="s">
        <v>1339</v>
      </c>
      <c r="E1123" s="562">
        <f>'[2]COSTO LAMINADO CDMX-QRO-GDL'!I1113</f>
        <v>8300</v>
      </c>
      <c r="F1123" s="563" t="s">
        <v>284</v>
      </c>
    </row>
    <row r="1124" spans="1:6">
      <c r="A1124" s="576"/>
      <c r="B1124" s="565"/>
      <c r="C1124" s="694" t="s">
        <v>1344</v>
      </c>
      <c r="D1124" s="561"/>
      <c r="E1124" s="569"/>
      <c r="F1124" s="570"/>
    </row>
    <row r="1125" spans="1:6">
      <c r="A1125" s="576"/>
      <c r="B1125" s="565"/>
      <c r="C1125" s="694"/>
      <c r="D1125" s="561"/>
      <c r="E1125" s="569"/>
      <c r="F1125" s="570"/>
    </row>
    <row r="1126" spans="1:6">
      <c r="A1126" s="576"/>
      <c r="B1126" s="565"/>
      <c r="C1126" s="694"/>
      <c r="D1126" s="561"/>
      <c r="E1126" s="569"/>
      <c r="F1126" s="570"/>
    </row>
    <row r="1127" spans="1:6">
      <c r="A1127" s="576"/>
      <c r="B1127" s="565"/>
      <c r="C1127" s="694"/>
      <c r="D1127" s="561"/>
      <c r="E1127" s="569"/>
      <c r="F1127" s="570"/>
    </row>
    <row r="1128" spans="1:6">
      <c r="A1128" s="576"/>
      <c r="B1128" s="565"/>
      <c r="C1128" s="694"/>
      <c r="D1128" s="561"/>
      <c r="E1128" s="569"/>
      <c r="F1128" s="570"/>
    </row>
    <row r="1129" spans="1:6">
      <c r="A1129" s="576"/>
      <c r="B1129" s="565"/>
      <c r="C1129" s="694"/>
      <c r="D1129" s="561"/>
      <c r="E1129" s="569"/>
      <c r="F1129" s="570"/>
    </row>
    <row r="1130" spans="1:6">
      <c r="A1130" s="576"/>
      <c r="B1130" s="565" t="s">
        <v>1346</v>
      </c>
      <c r="C1130" s="718" t="s">
        <v>1335</v>
      </c>
      <c r="D1130" s="561" t="s">
        <v>1341</v>
      </c>
      <c r="E1130" s="562">
        <f>'[2]COSTO LAMINADO CDMX-QRO-GDL'!I1120</f>
        <v>16442.857142857145</v>
      </c>
      <c r="F1130" s="563" t="s">
        <v>284</v>
      </c>
    </row>
    <row r="1131" spans="1:6">
      <c r="A1131" s="558"/>
      <c r="B1131" s="565"/>
      <c r="C1131" s="694" t="s">
        <v>1344</v>
      </c>
      <c r="D1131" s="561"/>
      <c r="E1131" s="569"/>
      <c r="F1131" s="570"/>
    </row>
    <row r="1132" spans="1:6">
      <c r="A1132" s="558"/>
      <c r="B1132" s="565"/>
      <c r="C1132" s="626"/>
      <c r="D1132" s="561"/>
      <c r="E1132" s="569"/>
      <c r="F1132" s="570"/>
    </row>
    <row r="1133" spans="1:6">
      <c r="A1133" s="558"/>
      <c r="B1133" s="565"/>
      <c r="C1133" s="626"/>
      <c r="D1133" s="561"/>
      <c r="E1133" s="569"/>
      <c r="F1133" s="570"/>
    </row>
    <row r="1134" spans="1:6">
      <c r="A1134" s="558"/>
      <c r="B1134" s="565"/>
      <c r="C1134" s="626"/>
      <c r="D1134" s="561"/>
      <c r="E1134" s="569"/>
      <c r="F1134" s="570"/>
    </row>
    <row r="1135" spans="1:6">
      <c r="A1135" s="558"/>
      <c r="B1135" s="565"/>
      <c r="C1135" s="626"/>
      <c r="D1135" s="561"/>
      <c r="E1135" s="569"/>
      <c r="F1135" s="570"/>
    </row>
    <row r="1136" spans="1:6">
      <c r="A1136" s="558"/>
      <c r="B1136" s="565"/>
      <c r="C1136" s="626"/>
      <c r="D1136" s="561"/>
      <c r="E1136" s="569"/>
      <c r="F1136" s="570"/>
    </row>
    <row r="1137" spans="1:6">
      <c r="A1137" s="558"/>
      <c r="B1137" s="565"/>
      <c r="C1137" s="626"/>
      <c r="D1137" s="561"/>
      <c r="E1137" s="569"/>
      <c r="F1137" s="570"/>
    </row>
    <row r="1138" spans="1:6">
      <c r="A1138" s="558"/>
      <c r="B1138" s="565"/>
      <c r="C1138" s="626"/>
      <c r="D1138" s="561"/>
      <c r="E1138" s="569"/>
      <c r="F1138" s="570"/>
    </row>
    <row r="1139" spans="1:6">
      <c r="A1139" s="558"/>
      <c r="B1139" s="565"/>
      <c r="C1139" s="626"/>
      <c r="D1139" s="561"/>
      <c r="E1139" s="569"/>
      <c r="F1139" s="570"/>
    </row>
    <row r="1140" spans="1:6">
      <c r="A1140" s="558"/>
      <c r="B1140" s="565"/>
      <c r="C1140" s="626"/>
      <c r="D1140" s="561"/>
      <c r="E1140" s="569"/>
      <c r="F1140" s="570"/>
    </row>
    <row r="1141" spans="1:6">
      <c r="A1141" s="558"/>
      <c r="B1141" s="565"/>
      <c r="C1141" s="626"/>
      <c r="D1141" s="561"/>
      <c r="E1141" s="569"/>
      <c r="F1141" s="570"/>
    </row>
    <row r="1142" spans="1:6">
      <c r="A1142" s="558"/>
      <c r="B1142" s="565"/>
      <c r="C1142" s="626"/>
      <c r="D1142" s="561"/>
      <c r="E1142" s="569"/>
      <c r="F1142" s="570"/>
    </row>
    <row r="1143" spans="1:6">
      <c r="A1143" s="558"/>
      <c r="B1143" s="565"/>
      <c r="C1143" s="626"/>
      <c r="D1143" s="561"/>
      <c r="E1143" s="569"/>
      <c r="F1143" s="570"/>
    </row>
    <row r="1144" spans="1:6">
      <c r="A1144" s="558"/>
      <c r="B1144" s="565"/>
      <c r="C1144" s="626"/>
      <c r="D1144" s="561"/>
      <c r="E1144" s="569"/>
      <c r="F1144" s="570"/>
    </row>
    <row r="1145" spans="1:6">
      <c r="A1145" s="558"/>
      <c r="B1145" s="565"/>
      <c r="C1145" s="626"/>
      <c r="D1145" s="561"/>
      <c r="E1145" s="569"/>
      <c r="F1145" s="570"/>
    </row>
    <row r="1146" spans="1:6">
      <c r="A1146" s="672"/>
      <c r="B1146" s="673"/>
      <c r="C1146" s="553" t="s">
        <v>1060</v>
      </c>
      <c r="D1146" s="675"/>
      <c r="E1146" s="676"/>
      <c r="F1146" s="575"/>
    </row>
    <row r="1147" spans="1:6">
      <c r="A1147" s="558"/>
      <c r="B1147" s="565" t="s">
        <v>1347</v>
      </c>
      <c r="C1147" s="717" t="s">
        <v>1335</v>
      </c>
      <c r="D1147" s="561" t="s">
        <v>1204</v>
      </c>
      <c r="E1147" s="562">
        <f>'[2]COSTO LAMINADO CDMX-QRO-GDL'!I1128</f>
        <v>4142.8571428571431</v>
      </c>
      <c r="F1147" s="563" t="s">
        <v>284</v>
      </c>
    </row>
    <row r="1148" spans="1:6">
      <c r="A1148" s="558"/>
      <c r="B1148" s="565" t="s">
        <v>1348</v>
      </c>
      <c r="C1148" s="626" t="s">
        <v>1349</v>
      </c>
      <c r="D1148" s="561" t="s">
        <v>1214</v>
      </c>
      <c r="E1148" s="562">
        <f>'[2]COSTO LAMINADO CDMX-QRO-GDL'!I1129</f>
        <v>4871.4285714285716</v>
      </c>
      <c r="F1148" s="563" t="s">
        <v>284</v>
      </c>
    </row>
    <row r="1149" spans="1:6">
      <c r="A1149" s="558"/>
      <c r="B1149" s="565"/>
      <c r="D1149" s="561"/>
      <c r="E1149" s="569"/>
      <c r="F1149" s="570"/>
    </row>
    <row r="1150" spans="1:6">
      <c r="A1150" s="558"/>
      <c r="B1150" s="565"/>
      <c r="C1150" s="626"/>
      <c r="D1150" s="561"/>
      <c r="E1150" s="569"/>
      <c r="F1150" s="570"/>
    </row>
    <row r="1151" spans="1:6">
      <c r="A1151" s="558"/>
      <c r="B1151" s="565"/>
      <c r="C1151" s="626"/>
      <c r="D1151" s="561"/>
      <c r="E1151" s="569"/>
      <c r="F1151" s="570"/>
    </row>
    <row r="1152" spans="1:6">
      <c r="A1152" s="558"/>
      <c r="B1152" s="656"/>
      <c r="C1152" s="626"/>
      <c r="D1152" s="561"/>
      <c r="E1152" s="569"/>
      <c r="F1152" s="570"/>
    </row>
    <row r="1153" spans="1:6">
      <c r="A1153" s="558"/>
      <c r="B1153" s="656"/>
      <c r="C1153" s="626"/>
      <c r="D1153" s="561"/>
      <c r="E1153" s="569"/>
      <c r="F1153" s="570"/>
    </row>
    <row r="1154" spans="1:6">
      <c r="A1154" s="558"/>
      <c r="B1154" s="565" t="s">
        <v>1350</v>
      </c>
      <c r="C1154" s="717" t="s">
        <v>1335</v>
      </c>
      <c r="D1154" s="561" t="s">
        <v>1339</v>
      </c>
      <c r="E1154" s="562">
        <f>'[2]COSTO LAMINADO CDMX-QRO-GDL'!I1135</f>
        <v>8300</v>
      </c>
      <c r="F1154" s="563" t="s">
        <v>284</v>
      </c>
    </row>
    <row r="1155" spans="1:6">
      <c r="A1155" s="558"/>
      <c r="B1155" s="565"/>
      <c r="C1155" s="626" t="s">
        <v>1349</v>
      </c>
      <c r="D1155" s="561"/>
      <c r="E1155" s="569"/>
      <c r="F1155" s="570"/>
    </row>
    <row r="1156" spans="1:6">
      <c r="A1156" s="558"/>
      <c r="B1156" s="565"/>
      <c r="C1156" s="626"/>
      <c r="D1156" s="561"/>
      <c r="E1156" s="569"/>
      <c r="F1156" s="570"/>
    </row>
    <row r="1157" spans="1:6">
      <c r="A1157" s="558"/>
      <c r="B1157" s="565"/>
      <c r="C1157" s="626"/>
      <c r="D1157" s="561"/>
      <c r="E1157" s="569"/>
      <c r="F1157" s="570"/>
    </row>
    <row r="1158" spans="1:6">
      <c r="A1158" s="558"/>
      <c r="B1158" s="565"/>
      <c r="C1158" s="626"/>
      <c r="D1158" s="561"/>
      <c r="E1158" s="569"/>
      <c r="F1158" s="570"/>
    </row>
    <row r="1159" spans="1:6">
      <c r="A1159" s="558"/>
      <c r="B1159" s="565"/>
      <c r="C1159" s="626"/>
      <c r="D1159" s="561"/>
      <c r="E1159" s="569"/>
      <c r="F1159" s="570"/>
    </row>
    <row r="1160" spans="1:6">
      <c r="A1160" s="558"/>
      <c r="B1160" s="565"/>
      <c r="C1160" s="626"/>
      <c r="D1160" s="561"/>
      <c r="E1160" s="569"/>
      <c r="F1160" s="570"/>
    </row>
    <row r="1161" spans="1:6">
      <c r="A1161" s="558"/>
      <c r="B1161" s="565" t="s">
        <v>1351</v>
      </c>
      <c r="C1161" s="717" t="s">
        <v>1335</v>
      </c>
      <c r="D1161" s="561" t="s">
        <v>1341</v>
      </c>
      <c r="E1161" s="562">
        <f>'[2]COSTO LAMINADO CDMX-QRO-GDL'!I1142</f>
        <v>16442.857142857145</v>
      </c>
      <c r="F1161" s="563" t="s">
        <v>284</v>
      </c>
    </row>
    <row r="1162" spans="1:6">
      <c r="A1162" s="558"/>
      <c r="B1162" s="565"/>
      <c r="C1162" s="626" t="s">
        <v>1349</v>
      </c>
      <c r="D1162" s="561"/>
      <c r="E1162" s="569"/>
      <c r="F1162" s="570"/>
    </row>
    <row r="1163" spans="1:6">
      <c r="A1163" s="558"/>
      <c r="B1163" s="565"/>
      <c r="C1163" s="626"/>
      <c r="D1163" s="561"/>
      <c r="E1163" s="569"/>
      <c r="F1163" s="570"/>
    </row>
    <row r="1164" spans="1:6">
      <c r="A1164" s="558"/>
      <c r="B1164" s="565"/>
      <c r="C1164" s="626"/>
      <c r="D1164" s="561"/>
      <c r="E1164" s="569"/>
      <c r="F1164" s="570"/>
    </row>
    <row r="1165" spans="1:6">
      <c r="A1165" s="558"/>
      <c r="B1165" s="565"/>
      <c r="C1165" s="626"/>
      <c r="D1165" s="561"/>
      <c r="E1165" s="569"/>
      <c r="F1165" s="570"/>
    </row>
    <row r="1166" spans="1:6">
      <c r="A1166" s="558"/>
      <c r="B1166" s="565"/>
      <c r="C1166" s="626"/>
      <c r="D1166" s="561"/>
      <c r="E1166" s="569"/>
      <c r="F1166" s="570"/>
    </row>
    <row r="1167" spans="1:6">
      <c r="A1167" s="558"/>
      <c r="B1167" s="565"/>
      <c r="C1167" s="626"/>
      <c r="D1167" s="561"/>
      <c r="E1167" s="569"/>
      <c r="F1167" s="570"/>
    </row>
    <row r="1168" spans="1:6">
      <c r="A1168" s="672"/>
      <c r="B1168" s="673"/>
      <c r="C1168" s="553" t="s">
        <v>1352</v>
      </c>
      <c r="D1168" s="675"/>
      <c r="E1168" s="676"/>
      <c r="F1168" s="575"/>
    </row>
    <row r="1169" spans="1:6">
      <c r="A1169" s="576"/>
      <c r="B1169" s="559" t="s">
        <v>1353</v>
      </c>
      <c r="C1169" s="694" t="s">
        <v>1354</v>
      </c>
      <c r="D1169" s="561" t="s">
        <v>921</v>
      </c>
      <c r="E1169" s="562">
        <f>'[2]COSTO LAMINADO CDMX-QRO-GDL'!I1150</f>
        <v>921.42857142857144</v>
      </c>
      <c r="F1169" s="563" t="s">
        <v>284</v>
      </c>
    </row>
    <row r="1170" spans="1:6">
      <c r="A1170" s="576"/>
      <c r="B1170" s="559" t="s">
        <v>1355</v>
      </c>
      <c r="C1170" s="694" t="s">
        <v>1356</v>
      </c>
      <c r="D1170" s="561" t="s">
        <v>1357</v>
      </c>
      <c r="E1170" s="562">
        <f>'[2]COSTO LAMINADO CDMX-QRO-GDL'!I1151</f>
        <v>1485.7142857142858</v>
      </c>
      <c r="F1170" s="563" t="s">
        <v>284</v>
      </c>
    </row>
    <row r="1171" spans="1:6">
      <c r="A1171" s="576"/>
      <c r="B1171" s="559" t="s">
        <v>1358</v>
      </c>
      <c r="C1171" s="694"/>
      <c r="D1171" s="561" t="s">
        <v>924</v>
      </c>
      <c r="E1171" s="562">
        <f>'[2]COSTO LAMINADO CDMX-QRO-GDL'!I1152</f>
        <v>1571.4285714285716</v>
      </c>
      <c r="F1171" s="563" t="s">
        <v>284</v>
      </c>
    </row>
    <row r="1172" spans="1:6">
      <c r="A1172" s="576"/>
      <c r="B1172" s="559" t="s">
        <v>1359</v>
      </c>
      <c r="C1172" s="694"/>
      <c r="D1172" s="561" t="s">
        <v>1360</v>
      </c>
      <c r="E1172" s="562">
        <f>'[2]COSTO LAMINADO CDMX-QRO-GDL'!I1153</f>
        <v>2385.7142857142858</v>
      </c>
      <c r="F1172" s="563" t="s">
        <v>284</v>
      </c>
    </row>
    <row r="1173" spans="1:6">
      <c r="A1173" s="576"/>
      <c r="B1173" s="559" t="s">
        <v>1361</v>
      </c>
      <c r="C1173" s="694"/>
      <c r="D1173" s="561" t="s">
        <v>1362</v>
      </c>
      <c r="E1173" s="562">
        <f>'[2]COSTO LAMINADO CDMX-QRO-GDL'!I1154</f>
        <v>3492.8571428571431</v>
      </c>
      <c r="F1173" s="563" t="s">
        <v>284</v>
      </c>
    </row>
    <row r="1174" spans="1:6">
      <c r="A1174" s="576"/>
      <c r="B1174" s="559" t="s">
        <v>1363</v>
      </c>
      <c r="C1174" s="694"/>
      <c r="D1174" s="561" t="s">
        <v>1192</v>
      </c>
      <c r="E1174" s="562">
        <f>'[2]COSTO LAMINADO CDMX-QRO-GDL'!I1155</f>
        <v>3771.4285714285716</v>
      </c>
      <c r="F1174" s="563" t="s">
        <v>284</v>
      </c>
    </row>
    <row r="1175" spans="1:6">
      <c r="A1175" s="576"/>
      <c r="B1175" s="559"/>
      <c r="C1175" s="694"/>
      <c r="D1175" s="561"/>
      <c r="E1175" s="562"/>
      <c r="F1175" s="563"/>
    </row>
    <row r="1176" spans="1:6">
      <c r="A1176" s="576"/>
      <c r="B1176" s="559"/>
      <c r="C1176" s="694"/>
      <c r="D1176" s="561"/>
      <c r="E1176" s="569"/>
      <c r="F1176" s="708"/>
    </row>
    <row r="1177" spans="1:6">
      <c r="A1177" s="576"/>
      <c r="B1177" s="559" t="s">
        <v>1364</v>
      </c>
      <c r="C1177" s="694" t="s">
        <v>1365</v>
      </c>
      <c r="D1177" s="561" t="s">
        <v>921</v>
      </c>
      <c r="E1177" s="562">
        <f>'[2]COSTO LAMINADO CDMX-QRO-GDL'!I1158</f>
        <v>950.00000000000011</v>
      </c>
      <c r="F1177" s="563" t="s">
        <v>284</v>
      </c>
    </row>
    <row r="1178" spans="1:6">
      <c r="A1178" s="576"/>
      <c r="B1178" s="559" t="s">
        <v>1366</v>
      </c>
      <c r="C1178" s="694" t="s">
        <v>1356</v>
      </c>
      <c r="D1178" s="561" t="s">
        <v>1357</v>
      </c>
      <c r="E1178" s="562">
        <f>'[2]COSTO LAMINADO CDMX-QRO-GDL'!I1159</f>
        <v>1528.5714285714287</v>
      </c>
      <c r="F1178" s="563" t="s">
        <v>284</v>
      </c>
    </row>
    <row r="1179" spans="1:6">
      <c r="A1179" s="576"/>
      <c r="B1179" s="559" t="s">
        <v>1367</v>
      </c>
      <c r="C1179" s="694"/>
      <c r="D1179" s="561" t="s">
        <v>924</v>
      </c>
      <c r="E1179" s="562">
        <f>'[2]COSTO LAMINADO CDMX-QRO-GDL'!I1160</f>
        <v>1642.8571428571429</v>
      </c>
      <c r="F1179" s="563" t="s">
        <v>284</v>
      </c>
    </row>
    <row r="1180" spans="1:6">
      <c r="A1180" s="576"/>
      <c r="B1180" s="559" t="s">
        <v>1368</v>
      </c>
      <c r="C1180" s="694"/>
      <c r="D1180" s="561" t="s">
        <v>1360</v>
      </c>
      <c r="E1180" s="562">
        <f>'[2]COSTO LAMINADO CDMX-QRO-GDL'!I1161</f>
        <v>2450</v>
      </c>
      <c r="F1180" s="563" t="s">
        <v>284</v>
      </c>
    </row>
    <row r="1181" spans="1:6">
      <c r="A1181" s="576"/>
      <c r="B1181" s="559" t="s">
        <v>1369</v>
      </c>
      <c r="C1181" s="694"/>
      <c r="D1181" s="561" t="s">
        <v>1362</v>
      </c>
      <c r="E1181" s="562">
        <f>'[2]COSTO LAMINADO CDMX-QRO-GDL'!I1162</f>
        <v>3600.0000000000005</v>
      </c>
      <c r="F1181" s="563" t="s">
        <v>284</v>
      </c>
    </row>
    <row r="1182" spans="1:6">
      <c r="A1182" s="576"/>
      <c r="B1182" s="559" t="s">
        <v>1370</v>
      </c>
      <c r="C1182" s="694"/>
      <c r="D1182" s="561" t="s">
        <v>1192</v>
      </c>
      <c r="E1182" s="562">
        <f>'[2]COSTO LAMINADO CDMX-QRO-GDL'!I1163</f>
        <v>3892.8571428571431</v>
      </c>
      <c r="F1182" s="563" t="s">
        <v>284</v>
      </c>
    </row>
    <row r="1183" spans="1:6">
      <c r="A1183" s="576"/>
      <c r="B1183" s="559"/>
      <c r="C1183" s="694"/>
      <c r="D1183" s="561"/>
      <c r="E1183" s="569"/>
      <c r="F1183" s="708"/>
    </row>
    <row r="1184" spans="1:6">
      <c r="A1184" s="576"/>
      <c r="B1184" s="559"/>
      <c r="C1184" s="694"/>
      <c r="D1184" s="561"/>
      <c r="E1184" s="569"/>
      <c r="F1184" s="708"/>
    </row>
    <row r="1185" spans="1:6">
      <c r="A1185" s="576"/>
      <c r="B1185" s="559" t="s">
        <v>1371</v>
      </c>
      <c r="C1185" s="694" t="s">
        <v>1372</v>
      </c>
      <c r="D1185" s="561" t="s">
        <v>1373</v>
      </c>
      <c r="E1185" s="562">
        <f>'[2]COSTO LAMINADO CDMX-QRO-GDL'!I1166</f>
        <v>992.85714285714289</v>
      </c>
      <c r="F1185" s="563" t="s">
        <v>284</v>
      </c>
    </row>
    <row r="1186" spans="1:6">
      <c r="A1186" s="576"/>
      <c r="B1186" s="559" t="s">
        <v>1374</v>
      </c>
      <c r="C1186" s="694" t="s">
        <v>1356</v>
      </c>
      <c r="D1186" s="561" t="s">
        <v>1375</v>
      </c>
      <c r="E1186" s="562">
        <f>'[2]COSTO LAMINADO CDMX-QRO-GDL'!I1167</f>
        <v>1571.4285714285716</v>
      </c>
      <c r="F1186" s="563" t="s">
        <v>284</v>
      </c>
    </row>
    <row r="1187" spans="1:6">
      <c r="A1187" s="576"/>
      <c r="B1187" s="559" t="s">
        <v>1376</v>
      </c>
      <c r="C1187" s="694"/>
      <c r="D1187" s="561" t="s">
        <v>1377</v>
      </c>
      <c r="E1187" s="562">
        <f>'[2]COSTO LAMINADO CDMX-QRO-GDL'!I1168</f>
        <v>1592.8571428571429</v>
      </c>
      <c r="F1187" s="563" t="s">
        <v>284</v>
      </c>
    </row>
    <row r="1188" spans="1:6">
      <c r="A1188" s="576"/>
      <c r="B1188" s="559" t="s">
        <v>1378</v>
      </c>
      <c r="C1188" s="694"/>
      <c r="D1188" s="561" t="s">
        <v>1379</v>
      </c>
      <c r="E1188" s="562">
        <f>'[2]COSTO LAMINADO CDMX-QRO-GDL'!I1169</f>
        <v>2514.2857142857142</v>
      </c>
      <c r="F1188" s="563" t="s">
        <v>284</v>
      </c>
    </row>
    <row r="1189" spans="1:6">
      <c r="A1189" s="576"/>
      <c r="B1189" s="559" t="s">
        <v>1380</v>
      </c>
      <c r="C1189" s="694"/>
      <c r="D1189" s="561" t="s">
        <v>1381</v>
      </c>
      <c r="E1189" s="562">
        <f>'[2]COSTO LAMINADO CDMX-QRO-GDL'!I1170</f>
        <v>3492.8571428571431</v>
      </c>
      <c r="F1189" s="563" t="s">
        <v>284</v>
      </c>
    </row>
    <row r="1190" spans="1:6">
      <c r="A1190" s="576"/>
      <c r="B1190" s="559" t="s">
        <v>1382</v>
      </c>
      <c r="C1190" s="694"/>
      <c r="D1190" s="561" t="s">
        <v>1383</v>
      </c>
      <c r="E1190" s="562">
        <f>'[2]COSTO LAMINADO CDMX-QRO-GDL'!I1171</f>
        <v>3785.7142857142858</v>
      </c>
      <c r="F1190" s="563" t="s">
        <v>284</v>
      </c>
    </row>
    <row r="1191" spans="1:6">
      <c r="A1191" s="672"/>
      <c r="B1191" s="673"/>
      <c r="C1191" s="553" t="s">
        <v>1384</v>
      </c>
      <c r="D1191" s="675"/>
      <c r="E1191" s="676"/>
      <c r="F1191" s="575"/>
    </row>
    <row r="1192" spans="1:6">
      <c r="A1192" s="576"/>
      <c r="B1192" s="559" t="s">
        <v>1385</v>
      </c>
      <c r="C1192" s="694" t="s">
        <v>1386</v>
      </c>
      <c r="D1192" s="561" t="s">
        <v>1387</v>
      </c>
      <c r="E1192" s="562">
        <f>'[2]COSTO LAMINADO CDMX-QRO-GDL'!I1173</f>
        <v>3878.5714285714289</v>
      </c>
      <c r="F1192" s="563" t="s">
        <v>284</v>
      </c>
    </row>
    <row r="1193" spans="1:6">
      <c r="A1193" s="576"/>
      <c r="B1193" s="559" t="s">
        <v>1388</v>
      </c>
      <c r="C1193" s="694" t="s">
        <v>1389</v>
      </c>
      <c r="D1193" s="561" t="s">
        <v>1390</v>
      </c>
      <c r="E1193" s="562">
        <f>'[2]COSTO LAMINADO CDMX-QRO-GDL'!I1174</f>
        <v>3914.2857142857147</v>
      </c>
      <c r="F1193" s="563" t="s">
        <v>284</v>
      </c>
    </row>
    <row r="1194" spans="1:6">
      <c r="A1194" s="576"/>
      <c r="B1194" s="559" t="s">
        <v>1391</v>
      </c>
      <c r="C1194" s="694"/>
      <c r="D1194" s="561" t="s">
        <v>1392</v>
      </c>
      <c r="E1194" s="562">
        <f>'[2]COSTO LAMINADO CDMX-QRO-GDL'!I1175</f>
        <v>3935.7142857142858</v>
      </c>
      <c r="F1194" s="563" t="s">
        <v>284</v>
      </c>
    </row>
    <row r="1195" spans="1:6">
      <c r="A1195" s="576"/>
      <c r="B1195" s="559"/>
      <c r="C1195" s="694"/>
      <c r="D1195" s="561"/>
      <c r="E1195" s="569"/>
      <c r="F1195" s="570"/>
    </row>
    <row r="1196" spans="1:6">
      <c r="A1196" s="576"/>
      <c r="B1196" s="559"/>
      <c r="C1196" s="694"/>
      <c r="D1196" s="561"/>
      <c r="E1196" s="569"/>
      <c r="F1196" s="570"/>
    </row>
    <row r="1197" spans="1:6">
      <c r="A1197" s="576"/>
      <c r="B1197" s="559"/>
      <c r="C1197" s="694"/>
      <c r="D1197" s="561"/>
      <c r="E1197" s="569"/>
      <c r="F1197" s="570"/>
    </row>
    <row r="1198" spans="1:6">
      <c r="A1198" s="576"/>
      <c r="B1198" s="559"/>
      <c r="C1198" s="694"/>
      <c r="D1198" s="561"/>
      <c r="E1198" s="569"/>
      <c r="F1198" s="570"/>
    </row>
    <row r="1199" spans="1:6">
      <c r="A1199" s="585"/>
      <c r="B1199" s="552"/>
      <c r="C1199" s="553" t="s">
        <v>1393</v>
      </c>
      <c r="D1199" s="554"/>
      <c r="E1199" s="586"/>
      <c r="F1199" s="575"/>
    </row>
    <row r="1200" spans="1:6">
      <c r="A1200" s="576"/>
      <c r="B1200" s="559" t="s">
        <v>1394</v>
      </c>
      <c r="C1200" s="694" t="s">
        <v>1395</v>
      </c>
      <c r="D1200" s="561" t="s">
        <v>1090</v>
      </c>
      <c r="E1200" s="562">
        <f>'[2]COSTO LAMINADO CDMX-QRO-GDL'!I1181</f>
        <v>2014.2857142857144</v>
      </c>
      <c r="F1200" s="563" t="s">
        <v>284</v>
      </c>
    </row>
    <row r="1201" spans="1:6">
      <c r="A1201" s="576"/>
      <c r="B1201" s="559" t="s">
        <v>1396</v>
      </c>
      <c r="C1201" s="694" t="s">
        <v>1389</v>
      </c>
      <c r="D1201" s="561" t="s">
        <v>1115</v>
      </c>
      <c r="E1201" s="562">
        <f>'[2]COSTO LAMINADO CDMX-QRO-GDL'!I1182</f>
        <v>3828.5714285714289</v>
      </c>
      <c r="F1201" s="563" t="s">
        <v>284</v>
      </c>
    </row>
    <row r="1202" spans="1:6">
      <c r="A1202" s="576"/>
      <c r="B1202" s="559" t="s">
        <v>1397</v>
      </c>
      <c r="C1202" s="694"/>
      <c r="D1202" s="561" t="s">
        <v>1140</v>
      </c>
      <c r="E1202" s="562">
        <f>'[2]COSTO LAMINADO CDMX-QRO-GDL'!I1183</f>
        <v>3957.1428571428573</v>
      </c>
      <c r="F1202" s="563" t="s">
        <v>284</v>
      </c>
    </row>
    <row r="1203" spans="1:6">
      <c r="A1203" s="576"/>
      <c r="B1203" s="559"/>
      <c r="C1203" s="694"/>
      <c r="D1203" s="561"/>
      <c r="E1203" s="569"/>
      <c r="F1203" s="570"/>
    </row>
    <row r="1204" spans="1:6">
      <c r="A1204" s="576"/>
      <c r="B1204" s="559"/>
      <c r="C1204" s="694"/>
      <c r="D1204" s="561"/>
      <c r="E1204" s="569"/>
      <c r="F1204" s="570"/>
    </row>
    <row r="1205" spans="1:6">
      <c r="A1205" s="576"/>
      <c r="B1205" s="559"/>
      <c r="C1205" s="694"/>
      <c r="D1205" s="561"/>
      <c r="E1205" s="569"/>
      <c r="F1205" s="570"/>
    </row>
    <row r="1206" spans="1:6">
      <c r="A1206" s="576"/>
      <c r="B1206" s="559" t="s">
        <v>1398</v>
      </c>
      <c r="C1206" s="694" t="s">
        <v>1399</v>
      </c>
      <c r="D1206" s="561" t="s">
        <v>1158</v>
      </c>
      <c r="E1206" s="562">
        <f>'[2]COSTO LAMINADO CDMX-QRO-GDL'!I1187</f>
        <v>4142.8571428571431</v>
      </c>
      <c r="F1206" s="563" t="s">
        <v>284</v>
      </c>
    </row>
    <row r="1207" spans="1:6">
      <c r="A1207" s="576"/>
      <c r="B1207" s="559"/>
      <c r="C1207" s="694" t="s">
        <v>1400</v>
      </c>
      <c r="D1207" s="561"/>
      <c r="E1207" s="562"/>
      <c r="F1207" s="563"/>
    </row>
    <row r="1208" spans="1:6">
      <c r="A1208" s="576"/>
      <c r="B1208" s="559"/>
      <c r="C1208" s="694"/>
      <c r="D1208" s="561"/>
      <c r="E1208" s="562"/>
      <c r="F1208" s="563"/>
    </row>
    <row r="1209" spans="1:6">
      <c r="A1209" s="576"/>
      <c r="B1209" s="559"/>
      <c r="C1209" s="694"/>
      <c r="D1209" s="561"/>
      <c r="E1209" s="569"/>
      <c r="F1209" s="570"/>
    </row>
    <row r="1210" spans="1:6">
      <c r="A1210" s="576"/>
      <c r="B1210" s="559"/>
      <c r="C1210" s="694"/>
      <c r="D1210" s="561"/>
      <c r="E1210" s="569"/>
      <c r="F1210" s="570"/>
    </row>
    <row r="1211" spans="1:6">
      <c r="A1211" s="576"/>
      <c r="B1211" s="559"/>
      <c r="C1211" s="694"/>
      <c r="D1211" s="561"/>
      <c r="E1211" s="569"/>
      <c r="F1211" s="570"/>
    </row>
    <row r="1212" spans="1:6">
      <c r="A1212" s="576"/>
      <c r="B1212" s="559"/>
      <c r="C1212" s="694"/>
      <c r="D1212" s="561"/>
      <c r="E1212" s="569"/>
      <c r="F1212" s="570"/>
    </row>
    <row r="1213" spans="1:6">
      <c r="A1213" s="576"/>
      <c r="B1213" s="559" t="s">
        <v>1401</v>
      </c>
      <c r="C1213" s="694" t="s">
        <v>1402</v>
      </c>
      <c r="D1213" s="561" t="s">
        <v>1158</v>
      </c>
      <c r="E1213" s="562">
        <f>'[2]COSTO LAMINADO CDMX-QRO-GDL'!I1194</f>
        <v>4142.8571428571431</v>
      </c>
      <c r="F1213" s="563" t="s">
        <v>284</v>
      </c>
    </row>
    <row r="1214" spans="1:6">
      <c r="A1214" s="576"/>
      <c r="B1214" s="559"/>
      <c r="C1214" s="694" t="s">
        <v>1403</v>
      </c>
      <c r="D1214" s="561"/>
      <c r="E1214" s="569"/>
      <c r="F1214" s="570"/>
    </row>
    <row r="1215" spans="1:6">
      <c r="A1215" s="576"/>
      <c r="B1215" s="559"/>
      <c r="C1215" s="694"/>
      <c r="D1215" s="561"/>
      <c r="E1215" s="569"/>
      <c r="F1215" s="570"/>
    </row>
    <row r="1216" spans="1:6">
      <c r="A1216" s="576"/>
      <c r="B1216" s="559"/>
      <c r="C1216" s="694"/>
      <c r="D1216" s="561"/>
      <c r="E1216" s="569"/>
      <c r="F1216" s="570"/>
    </row>
    <row r="1217" spans="1:6">
      <c r="A1217" s="576"/>
      <c r="B1217" s="559"/>
      <c r="C1217" s="694"/>
      <c r="D1217" s="561"/>
      <c r="E1217" s="569"/>
      <c r="F1217" s="570"/>
    </row>
    <row r="1218" spans="1:6">
      <c r="A1218" s="576"/>
      <c r="B1218" s="559"/>
      <c r="C1218" s="694"/>
      <c r="D1218" s="561"/>
      <c r="E1218" s="569"/>
      <c r="F1218" s="570"/>
    </row>
    <row r="1219" spans="1:6">
      <c r="A1219" s="576"/>
      <c r="B1219" s="559" t="s">
        <v>1404</v>
      </c>
      <c r="C1219" s="694" t="s">
        <v>1405</v>
      </c>
      <c r="D1219" s="561" t="s">
        <v>1406</v>
      </c>
      <c r="E1219" s="562">
        <f>'[2]COSTO LAMINADO CDMX-QRO-GDL'!I1200</f>
        <v>1042.8571428571429</v>
      </c>
      <c r="F1219" s="563" t="s">
        <v>284</v>
      </c>
    </row>
    <row r="1220" spans="1:6">
      <c r="A1220" s="576"/>
      <c r="B1220" s="559"/>
      <c r="C1220" s="694" t="s">
        <v>1407</v>
      </c>
      <c r="D1220" s="561"/>
      <c r="E1220" s="569"/>
      <c r="F1220" s="570"/>
    </row>
    <row r="1221" spans="1:6">
      <c r="A1221" s="576"/>
      <c r="B1221" s="559"/>
      <c r="C1221" s="694"/>
      <c r="D1221" s="561"/>
      <c r="E1221" s="569"/>
      <c r="F1221" s="570"/>
    </row>
    <row r="1222" spans="1:6">
      <c r="A1222" s="576"/>
      <c r="B1222" s="559"/>
      <c r="C1222" s="694"/>
      <c r="D1222" s="561"/>
      <c r="E1222" s="569"/>
      <c r="F1222" s="570"/>
    </row>
    <row r="1223" spans="1:6">
      <c r="A1223" s="576"/>
      <c r="B1223" s="559"/>
      <c r="C1223" s="694"/>
      <c r="D1223" s="561"/>
      <c r="E1223" s="569"/>
      <c r="F1223" s="570"/>
    </row>
    <row r="1224" spans="1:6">
      <c r="A1224" s="576"/>
      <c r="B1224" s="559"/>
      <c r="C1224" s="694"/>
      <c r="D1224" s="561"/>
      <c r="E1224" s="569"/>
      <c r="F1224" s="570"/>
    </row>
    <row r="1225" spans="1:6">
      <c r="A1225" s="585"/>
      <c r="B1225" s="552"/>
      <c r="C1225" s="553" t="s">
        <v>1408</v>
      </c>
      <c r="D1225" s="554"/>
      <c r="E1225" s="586"/>
      <c r="F1225" s="575"/>
    </row>
    <row r="1226" spans="1:6">
      <c r="A1226" s="576"/>
      <c r="B1226" s="559" t="s">
        <v>1409</v>
      </c>
      <c r="C1226" s="694" t="s">
        <v>1410</v>
      </c>
      <c r="D1226" s="561" t="s">
        <v>1411</v>
      </c>
      <c r="E1226" s="562">
        <f>'[2]COSTO LAMINADO CDMX-QRO-GDL'!I1207</f>
        <v>4542.8571428571431</v>
      </c>
      <c r="F1226" s="563" t="s">
        <v>284</v>
      </c>
    </row>
    <row r="1227" spans="1:6">
      <c r="A1227" s="576"/>
      <c r="B1227" s="559" t="s">
        <v>1412</v>
      </c>
      <c r="C1227" s="694" t="s">
        <v>1403</v>
      </c>
      <c r="D1227" s="561" t="s">
        <v>1413</v>
      </c>
      <c r="E1227" s="562">
        <f>'[2]COSTO LAMINADO CDMX-QRO-GDL'!I1208</f>
        <v>4542.8571428571431</v>
      </c>
      <c r="F1227" s="563" t="s">
        <v>284</v>
      </c>
    </row>
    <row r="1228" spans="1:6">
      <c r="A1228" s="576"/>
      <c r="B1228" s="559" t="s">
        <v>1414</v>
      </c>
      <c r="C1228" s="694"/>
      <c r="D1228" s="561" t="s">
        <v>1415</v>
      </c>
      <c r="E1228" s="562">
        <f>'[2]COSTO LAMINADO CDMX-QRO-GDL'!I1209</f>
        <v>5064.2857142857147</v>
      </c>
      <c r="F1228" s="563" t="s">
        <v>284</v>
      </c>
    </row>
    <row r="1229" spans="1:6">
      <c r="A1229" s="576"/>
      <c r="B1229" s="559" t="s">
        <v>1416</v>
      </c>
      <c r="C1229" s="694"/>
      <c r="D1229" s="561" t="s">
        <v>1417</v>
      </c>
      <c r="E1229" s="562">
        <f>'[2]COSTO LAMINADO CDMX-QRO-GDL'!I1210</f>
        <v>5907.1428571428578</v>
      </c>
      <c r="F1229" s="563" t="s">
        <v>284</v>
      </c>
    </row>
    <row r="1230" spans="1:6">
      <c r="A1230" s="576"/>
      <c r="B1230" s="559"/>
      <c r="C1230" s="694"/>
      <c r="D1230" s="561"/>
      <c r="E1230" s="569"/>
      <c r="F1230" s="570"/>
    </row>
    <row r="1231" spans="1:6">
      <c r="A1231" s="576"/>
      <c r="B1231" s="559"/>
      <c r="C1231" s="694"/>
      <c r="D1231" s="561"/>
      <c r="E1231" s="569"/>
      <c r="F1231" s="570"/>
    </row>
    <row r="1232" spans="1:6">
      <c r="A1232" s="576"/>
      <c r="B1232" s="559"/>
      <c r="C1232" s="694"/>
      <c r="D1232" s="561"/>
      <c r="E1232" s="569"/>
      <c r="F1232" s="570"/>
    </row>
    <row r="1233" spans="1:6">
      <c r="A1233" s="576"/>
      <c r="B1233" s="559"/>
      <c r="C1233" s="694"/>
      <c r="D1233" s="561"/>
      <c r="E1233" s="569"/>
      <c r="F1233" s="570"/>
    </row>
    <row r="1234" spans="1:6">
      <c r="A1234" s="576"/>
      <c r="B1234" s="559"/>
      <c r="C1234" s="694"/>
      <c r="D1234" s="561"/>
      <c r="E1234" s="569"/>
      <c r="F1234" s="570"/>
    </row>
    <row r="1235" spans="1:6">
      <c r="A1235" s="576"/>
      <c r="B1235" s="559" t="s">
        <v>1418</v>
      </c>
      <c r="C1235" s="694" t="s">
        <v>1419</v>
      </c>
      <c r="D1235" s="561" t="s">
        <v>1192</v>
      </c>
      <c r="E1235" s="562">
        <f>'[2]COSTO LAMINADO CDMX-QRO-GDL'!I1216</f>
        <v>3778.5714285714289</v>
      </c>
      <c r="F1235" s="563" t="s">
        <v>284</v>
      </c>
    </row>
    <row r="1236" spans="1:6">
      <c r="A1236" s="576"/>
      <c r="B1236" s="559" t="s">
        <v>1420</v>
      </c>
      <c r="C1236" s="694" t="s">
        <v>1421</v>
      </c>
      <c r="D1236" s="561" t="s">
        <v>1196</v>
      </c>
      <c r="E1236" s="562">
        <f>'[2]COSTO LAMINADO CDMX-QRO-GDL'!I1217</f>
        <v>3878.5714285714289</v>
      </c>
      <c r="F1236" s="563" t="s">
        <v>284</v>
      </c>
    </row>
    <row r="1237" spans="1:6">
      <c r="A1237" s="576"/>
      <c r="B1237" s="559" t="s">
        <v>1422</v>
      </c>
      <c r="C1237" s="694"/>
      <c r="D1237" s="561" t="s">
        <v>1200</v>
      </c>
      <c r="E1237" s="562">
        <f>'[2]COSTO LAMINADO CDMX-QRO-GDL'!I1218</f>
        <v>3907.1428571428573</v>
      </c>
      <c r="F1237" s="563" t="s">
        <v>284</v>
      </c>
    </row>
    <row r="1238" spans="1:6">
      <c r="A1238" s="576"/>
      <c r="B1238" s="559" t="s">
        <v>1423</v>
      </c>
      <c r="C1238" s="694"/>
      <c r="D1238" s="561" t="s">
        <v>1204</v>
      </c>
      <c r="E1238" s="562">
        <f>'[2]COSTO LAMINADO CDMX-QRO-GDL'!I1219</f>
        <v>4142.8571428571431</v>
      </c>
      <c r="F1238" s="563" t="s">
        <v>284</v>
      </c>
    </row>
    <row r="1239" spans="1:6">
      <c r="A1239" s="576"/>
      <c r="B1239" s="559"/>
      <c r="C1239" s="694"/>
      <c r="D1239" s="561"/>
      <c r="E1239" s="569"/>
      <c r="F1239" s="708"/>
    </row>
    <row r="1240" spans="1:6">
      <c r="A1240" s="576"/>
      <c r="B1240" s="559"/>
      <c r="C1240" s="694"/>
      <c r="D1240" s="561"/>
      <c r="E1240" s="569"/>
      <c r="F1240" s="570"/>
    </row>
    <row r="1241" spans="1:6">
      <c r="A1241" s="576"/>
      <c r="B1241" s="559"/>
      <c r="C1241" s="694"/>
      <c r="D1241" s="561"/>
      <c r="E1241" s="569"/>
      <c r="F1241" s="570"/>
    </row>
    <row r="1242" spans="1:6">
      <c r="A1242" s="576"/>
      <c r="B1242" s="559"/>
      <c r="C1242" s="694"/>
      <c r="D1242" s="561"/>
      <c r="E1242" s="569"/>
      <c r="F1242" s="570"/>
    </row>
    <row r="1243" spans="1:6">
      <c r="A1243" s="576"/>
      <c r="B1243" s="559"/>
      <c r="C1243" s="719"/>
      <c r="D1243" s="561"/>
      <c r="E1243" s="569"/>
      <c r="F1243" s="570"/>
    </row>
    <row r="1244" spans="1:6">
      <c r="A1244" s="576"/>
      <c r="B1244" s="559"/>
      <c r="C1244" s="694"/>
      <c r="D1244" s="561"/>
      <c r="E1244" s="569"/>
      <c r="F1244" s="570"/>
    </row>
    <row r="1245" spans="1:6">
      <c r="A1245" s="576"/>
      <c r="B1245" s="559" t="s">
        <v>1424</v>
      </c>
      <c r="C1245" s="694" t="s">
        <v>1419</v>
      </c>
      <c r="D1245" s="561" t="s">
        <v>1192</v>
      </c>
      <c r="E1245" s="562">
        <f>'[2]COSTO LAMINADO CDMX-QRO-GDL'!I1226</f>
        <v>3964.2857142857147</v>
      </c>
      <c r="F1245" s="563" t="s">
        <v>284</v>
      </c>
    </row>
    <row r="1246" spans="1:6">
      <c r="A1246" s="576"/>
      <c r="B1246" s="559" t="s">
        <v>1425</v>
      </c>
      <c r="C1246" s="694" t="s">
        <v>1426</v>
      </c>
      <c r="D1246" s="561" t="s">
        <v>1196</v>
      </c>
      <c r="E1246" s="562">
        <f>'[2]COSTO LAMINADO CDMX-QRO-GDL'!I1227</f>
        <v>4214.2857142857147</v>
      </c>
      <c r="F1246" s="563" t="s">
        <v>284</v>
      </c>
    </row>
    <row r="1247" spans="1:6">
      <c r="A1247" s="576"/>
      <c r="B1247" s="559" t="s">
        <v>1427</v>
      </c>
      <c r="C1247" s="694"/>
      <c r="D1247" s="561" t="s">
        <v>1200</v>
      </c>
      <c r="E1247" s="562">
        <f>'[2]COSTO LAMINADO CDMX-QRO-GDL'!I1228</f>
        <v>4242.8571428571431</v>
      </c>
      <c r="F1247" s="563" t="s">
        <v>284</v>
      </c>
    </row>
    <row r="1248" spans="1:6">
      <c r="A1248" s="576"/>
      <c r="B1248" s="559" t="s">
        <v>1428</v>
      </c>
      <c r="C1248" s="694"/>
      <c r="D1248" s="561" t="s">
        <v>1204</v>
      </c>
      <c r="E1248" s="562">
        <f>'[2]COSTO LAMINADO CDMX-QRO-GDL'!I1229</f>
        <v>4364.2857142857147</v>
      </c>
      <c r="F1248" s="563" t="s">
        <v>284</v>
      </c>
    </row>
    <row r="1249" spans="1:6">
      <c r="A1249" s="576"/>
      <c r="B1249" s="559"/>
      <c r="C1249" s="694"/>
      <c r="D1249" s="561"/>
      <c r="E1249" s="569"/>
      <c r="F1249" s="570"/>
    </row>
    <row r="1250" spans="1:6">
      <c r="A1250" s="576"/>
      <c r="B1250" s="559"/>
      <c r="C1250" s="694"/>
      <c r="D1250" s="561"/>
      <c r="E1250" s="569"/>
      <c r="F1250" s="570"/>
    </row>
    <row r="1251" spans="1:6">
      <c r="A1251" s="576"/>
      <c r="B1251" s="559"/>
      <c r="C1251" s="694"/>
      <c r="D1251" s="561"/>
      <c r="E1251" s="569"/>
      <c r="F1251" s="570"/>
    </row>
    <row r="1252" spans="1:6">
      <c r="A1252" s="576"/>
      <c r="B1252" s="559"/>
      <c r="C1252" s="694"/>
      <c r="D1252" s="561"/>
      <c r="E1252" s="569"/>
      <c r="F1252" s="570"/>
    </row>
    <row r="1253" spans="1:6">
      <c r="A1253" s="576"/>
      <c r="B1253" s="559"/>
      <c r="C1253" s="694"/>
      <c r="D1253" s="561"/>
      <c r="E1253" s="569"/>
      <c r="F1253" s="570"/>
    </row>
    <row r="1254" spans="1:6">
      <c r="A1254" s="585"/>
      <c r="B1254" s="552"/>
      <c r="C1254" s="553" t="s">
        <v>1429</v>
      </c>
      <c r="D1254" s="554"/>
      <c r="E1254" s="586"/>
      <c r="F1254" s="586"/>
    </row>
    <row r="1255" spans="1:6">
      <c r="A1255" s="576"/>
      <c r="B1255" s="559" t="s">
        <v>1430</v>
      </c>
      <c r="C1255" s="560" t="s">
        <v>1431</v>
      </c>
      <c r="D1255" s="561" t="s">
        <v>1432</v>
      </c>
      <c r="E1255" s="562">
        <f>'[2]COSTO LAMINADO CDMX-QRO-GDL'!I1236</f>
        <v>5735.7142857142862</v>
      </c>
      <c r="F1255" s="563" t="s">
        <v>284</v>
      </c>
    </row>
    <row r="1256" spans="1:6">
      <c r="A1256" s="576"/>
      <c r="B1256" s="559" t="s">
        <v>1433</v>
      </c>
      <c r="C1256" s="560" t="s">
        <v>1434</v>
      </c>
      <c r="D1256" s="561" t="s">
        <v>1435</v>
      </c>
      <c r="E1256" s="562">
        <f>'[2]COSTO LAMINADO CDMX-QRO-GDL'!I1237</f>
        <v>5735.7142857142862</v>
      </c>
      <c r="F1256" s="563" t="s">
        <v>284</v>
      </c>
    </row>
    <row r="1257" spans="1:6">
      <c r="A1257" s="576"/>
      <c r="B1257" s="559"/>
      <c r="C1257" s="720" t="s">
        <v>1436</v>
      </c>
      <c r="D1257" s="561"/>
      <c r="E1257" s="569"/>
      <c r="F1257" s="570"/>
    </row>
    <row r="1258" spans="1:6">
      <c r="A1258" s="576"/>
      <c r="B1258" s="559"/>
      <c r="C1258" s="720" t="s">
        <v>1437</v>
      </c>
      <c r="D1258" s="561"/>
      <c r="E1258" s="569"/>
      <c r="F1258" s="570"/>
    </row>
    <row r="1259" spans="1:6">
      <c r="A1259" s="576"/>
      <c r="B1259" s="559"/>
      <c r="C1259" s="721"/>
      <c r="D1259" s="561"/>
      <c r="E1259" s="569"/>
      <c r="F1259" s="570"/>
    </row>
    <row r="1260" spans="1:6">
      <c r="A1260" s="576"/>
      <c r="B1260" s="559"/>
      <c r="C1260" s="721"/>
      <c r="D1260" s="561"/>
      <c r="E1260" s="569"/>
      <c r="F1260" s="570"/>
    </row>
    <row r="1261" spans="1:6">
      <c r="A1261" s="576"/>
      <c r="B1261" s="559"/>
      <c r="C1261" s="721"/>
      <c r="D1261" s="561"/>
      <c r="E1261" s="569"/>
      <c r="F1261" s="570"/>
    </row>
    <row r="1262" spans="1:6">
      <c r="A1262" s="576"/>
      <c r="B1262" s="559"/>
      <c r="C1262" s="721"/>
      <c r="D1262" s="561"/>
      <c r="E1262" s="569"/>
      <c r="F1262" s="570"/>
    </row>
    <row r="1263" spans="1:6">
      <c r="A1263" s="576"/>
      <c r="B1263" s="559"/>
      <c r="C1263" s="560"/>
      <c r="D1263" s="561"/>
      <c r="E1263" s="569"/>
      <c r="F1263" s="570"/>
    </row>
    <row r="1264" spans="1:6">
      <c r="A1264" s="585"/>
      <c r="B1264" s="552"/>
      <c r="C1264" s="553" t="s">
        <v>1438</v>
      </c>
      <c r="D1264" s="554"/>
      <c r="E1264" s="586"/>
      <c r="F1264" s="575"/>
    </row>
    <row r="1265" spans="1:6">
      <c r="A1265" s="576"/>
      <c r="B1265" s="559" t="s">
        <v>1439</v>
      </c>
      <c r="C1265" s="560" t="s">
        <v>1440</v>
      </c>
      <c r="D1265" s="561" t="s">
        <v>1441</v>
      </c>
      <c r="E1265" s="562">
        <f>'[2]COSTO LAMINADO CDMX-QRO-GDL'!I1246</f>
        <v>1446.176758769351</v>
      </c>
      <c r="F1265" s="563" t="s">
        <v>284</v>
      </c>
    </row>
    <row r="1266" spans="1:6">
      <c r="A1266" s="576"/>
      <c r="B1266" s="559" t="s">
        <v>1442</v>
      </c>
      <c r="C1266" s="560" t="s">
        <v>1403</v>
      </c>
      <c r="D1266" s="561" t="s">
        <v>1443</v>
      </c>
      <c r="E1266" s="562">
        <f>'[2]COSTO LAMINADO CDMX-QRO-GDL'!I1247</f>
        <v>1457.9463060944286</v>
      </c>
      <c r="F1266" s="563" t="s">
        <v>284</v>
      </c>
    </row>
    <row r="1267" spans="1:6">
      <c r="A1267" s="576"/>
      <c r="B1267" s="559" t="s">
        <v>1444</v>
      </c>
      <c r="C1267" s="560"/>
      <c r="D1267" s="561" t="s">
        <v>1445</v>
      </c>
      <c r="E1267" s="562">
        <f>'[2]COSTO LAMINADO CDMX-QRO-GDL'!I1248</f>
        <v>1481.4854007446604</v>
      </c>
      <c r="F1267" s="563" t="s">
        <v>284</v>
      </c>
    </row>
    <row r="1268" spans="1:6">
      <c r="A1268" s="576"/>
      <c r="B1268" s="559" t="s">
        <v>1446</v>
      </c>
      <c r="C1268" s="560"/>
      <c r="D1268" s="561" t="s">
        <v>1447</v>
      </c>
      <c r="E1268" s="562">
        <f>'[2]COSTO LAMINADO CDMX-QRO-GDL'!I1249</f>
        <v>1493.2549480697635</v>
      </c>
      <c r="F1268" s="563" t="s">
        <v>284</v>
      </c>
    </row>
    <row r="1269" spans="1:6">
      <c r="A1269" s="576"/>
      <c r="B1269" s="559" t="s">
        <v>1448</v>
      </c>
      <c r="C1269" s="560"/>
      <c r="D1269" s="561" t="s">
        <v>1449</v>
      </c>
      <c r="E1269" s="562">
        <f>'[2]COSTO LAMINADO CDMX-QRO-GDL'!I1250</f>
        <v>2042.3774413743495</v>
      </c>
      <c r="F1269" s="563" t="s">
        <v>284</v>
      </c>
    </row>
    <row r="1270" spans="1:6">
      <c r="A1270" s="576"/>
      <c r="B1270" s="559" t="s">
        <v>1450</v>
      </c>
      <c r="C1270" s="560"/>
      <c r="D1270" s="561" t="s">
        <v>1451</v>
      </c>
      <c r="E1270" s="562">
        <f>'[2]COSTO LAMINADO CDMX-QRO-GDL'!I1251</f>
        <v>2124.091547455746</v>
      </c>
      <c r="F1270" s="563" t="s">
        <v>284</v>
      </c>
    </row>
    <row r="1271" spans="1:6">
      <c r="A1271" s="576"/>
      <c r="B1271" s="559" t="s">
        <v>1452</v>
      </c>
      <c r="C1271" s="560"/>
      <c r="D1271" s="561" t="s">
        <v>1453</v>
      </c>
      <c r="E1271" s="562">
        <f>'[2]COSTO LAMINADO CDMX-QRO-GDL'!I1252</f>
        <v>2287.5197596185239</v>
      </c>
      <c r="F1271" s="563" t="s">
        <v>284</v>
      </c>
    </row>
    <row r="1272" spans="1:6">
      <c r="A1272" s="576"/>
      <c r="B1272" s="559" t="s">
        <v>1454</v>
      </c>
      <c r="C1272" s="560"/>
      <c r="D1272" s="561" t="s">
        <v>1455</v>
      </c>
      <c r="E1272" s="562">
        <f>'[2]COSTO LAMINADO CDMX-QRO-GDL'!I1253</f>
        <v>2369.233865699905</v>
      </c>
      <c r="F1272" s="563" t="s">
        <v>284</v>
      </c>
    </row>
    <row r="1273" spans="1:6">
      <c r="A1273" s="576"/>
      <c r="B1273" s="559" t="s">
        <v>1456</v>
      </c>
      <c r="C1273" s="560"/>
      <c r="D1273" s="561" t="s">
        <v>1457</v>
      </c>
      <c r="E1273" s="562">
        <f>'[2]COSTO LAMINADO CDMX-QRO-GDL'!I1254</f>
        <v>2662.2398589065242</v>
      </c>
      <c r="F1273" s="563" t="s">
        <v>284</v>
      </c>
    </row>
    <row r="1274" spans="1:6">
      <c r="A1274" s="722"/>
      <c r="B1274" s="723"/>
      <c r="C1274" s="724"/>
      <c r="D1274" s="696"/>
      <c r="E1274" s="646"/>
      <c r="F1274" s="637"/>
    </row>
    <row r="1275" spans="1:6" s="521" customFormat="1">
      <c r="B1275" s="725"/>
      <c r="C1275" s="726"/>
      <c r="D1275" s="727"/>
      <c r="E1275" s="728"/>
    </row>
    <row r="1276" spans="1:6" s="521" customFormat="1">
      <c r="B1276" s="725"/>
      <c r="C1276" s="726"/>
      <c r="D1276" s="727"/>
      <c r="E1276" s="728"/>
    </row>
    <row r="1277" spans="1:6" s="521" customFormat="1">
      <c r="B1277" s="725"/>
      <c r="C1277" s="726"/>
      <c r="D1277" s="727"/>
      <c r="E1277" s="728"/>
    </row>
    <row r="1278" spans="1:6" s="521" customFormat="1">
      <c r="B1278" s="725"/>
      <c r="C1278" s="726"/>
      <c r="D1278" s="727"/>
      <c r="E1278" s="728"/>
    </row>
    <row r="1279" spans="1:6" s="521" customFormat="1">
      <c r="B1279" s="725"/>
      <c r="C1279" s="726"/>
      <c r="D1279" s="727"/>
      <c r="E1279" s="728"/>
    </row>
    <row r="1280" spans="1:6" s="521" customFormat="1">
      <c r="B1280" s="725"/>
      <c r="C1280" s="726"/>
      <c r="D1280" s="727"/>
      <c r="E1280" s="728"/>
    </row>
    <row r="1281" spans="2:5" s="521" customFormat="1">
      <c r="B1281" s="725"/>
      <c r="C1281" s="726"/>
      <c r="D1281" s="727"/>
      <c r="E1281" s="728"/>
    </row>
    <row r="1282" spans="2:5" s="521" customFormat="1">
      <c r="B1282" s="725"/>
      <c r="C1282" s="726"/>
      <c r="D1282" s="727"/>
      <c r="E1282" s="728"/>
    </row>
    <row r="1283" spans="2:5" s="521" customFormat="1">
      <c r="B1283" s="725"/>
      <c r="C1283" s="726"/>
      <c r="D1283" s="727"/>
      <c r="E1283" s="728"/>
    </row>
    <row r="1284" spans="2:5" s="521" customFormat="1">
      <c r="B1284" s="725"/>
      <c r="C1284" s="726"/>
      <c r="D1284" s="727"/>
      <c r="E1284" s="728"/>
    </row>
    <row r="1285" spans="2:5" s="521" customFormat="1">
      <c r="B1285" s="725"/>
      <c r="C1285" s="726"/>
      <c r="D1285" s="727"/>
      <c r="E1285" s="728"/>
    </row>
    <row r="1286" spans="2:5" s="521" customFormat="1">
      <c r="B1286" s="725"/>
      <c r="C1286" s="726"/>
      <c r="D1286" s="727"/>
      <c r="E1286" s="728"/>
    </row>
    <row r="1287" spans="2:5" s="521" customFormat="1">
      <c r="B1287" s="725"/>
      <c r="C1287" s="726"/>
      <c r="D1287" s="727"/>
      <c r="E1287" s="728"/>
    </row>
    <row r="1288" spans="2:5" s="521" customFormat="1">
      <c r="B1288" s="725"/>
      <c r="C1288" s="726"/>
      <c r="D1288" s="727"/>
      <c r="E1288" s="728"/>
    </row>
    <row r="1289" spans="2:5" s="521" customFormat="1">
      <c r="B1289" s="725"/>
      <c r="C1289" s="726"/>
      <c r="D1289" s="727"/>
      <c r="E1289" s="728"/>
    </row>
    <row r="1290" spans="2:5" s="521" customFormat="1">
      <c r="B1290" s="725"/>
      <c r="C1290" s="726"/>
      <c r="D1290" s="727"/>
      <c r="E1290" s="728"/>
    </row>
    <row r="1291" spans="2:5" s="521" customFormat="1">
      <c r="B1291" s="725"/>
      <c r="C1291" s="726"/>
      <c r="D1291" s="727"/>
      <c r="E1291" s="728"/>
    </row>
    <row r="1292" spans="2:5" s="521" customFormat="1">
      <c r="B1292" s="725"/>
      <c r="C1292" s="726"/>
      <c r="D1292" s="727"/>
      <c r="E1292" s="728"/>
    </row>
    <row r="1293" spans="2:5" s="521" customFormat="1">
      <c r="B1293" s="725"/>
      <c r="C1293" s="726"/>
      <c r="D1293" s="727"/>
      <c r="E1293" s="728"/>
    </row>
    <row r="1294" spans="2:5" s="521" customFormat="1">
      <c r="B1294" s="725"/>
      <c r="C1294" s="726"/>
      <c r="D1294" s="727"/>
      <c r="E1294" s="728"/>
    </row>
    <row r="1295" spans="2:5" s="521" customFormat="1">
      <c r="B1295" s="725"/>
      <c r="C1295" s="726"/>
      <c r="D1295" s="727"/>
      <c r="E1295" s="728"/>
    </row>
    <row r="1296" spans="2:5" s="521" customFormat="1">
      <c r="B1296" s="725"/>
      <c r="C1296" s="726"/>
      <c r="D1296" s="727"/>
      <c r="E1296" s="728"/>
    </row>
    <row r="1297" spans="2:5" s="521" customFormat="1">
      <c r="B1297" s="725"/>
      <c r="C1297" s="726"/>
      <c r="D1297" s="727"/>
      <c r="E1297" s="728"/>
    </row>
    <row r="1298" spans="2:5" s="521" customFormat="1">
      <c r="B1298" s="725"/>
      <c r="C1298" s="726"/>
      <c r="D1298" s="727"/>
      <c r="E1298" s="728"/>
    </row>
    <row r="1299" spans="2:5" s="521" customFormat="1">
      <c r="B1299" s="725"/>
      <c r="C1299" s="726"/>
      <c r="D1299" s="727"/>
      <c r="E1299" s="728"/>
    </row>
    <row r="1300" spans="2:5" s="521" customFormat="1">
      <c r="B1300" s="725"/>
      <c r="C1300" s="726"/>
      <c r="D1300" s="727"/>
      <c r="E1300" s="728"/>
    </row>
    <row r="1301" spans="2:5" s="521" customFormat="1">
      <c r="B1301" s="725"/>
      <c r="C1301" s="726"/>
      <c r="D1301" s="727"/>
      <c r="E1301" s="728"/>
    </row>
    <row r="1302" spans="2:5" s="521" customFormat="1">
      <c r="B1302" s="725"/>
      <c r="C1302" s="726"/>
      <c r="D1302" s="727"/>
      <c r="E1302" s="728"/>
    </row>
    <row r="1303" spans="2:5" s="521" customFormat="1">
      <c r="B1303" s="725"/>
      <c r="C1303" s="726"/>
      <c r="D1303" s="727"/>
      <c r="E1303" s="728"/>
    </row>
    <row r="1304" spans="2:5" s="521" customFormat="1">
      <c r="B1304" s="725"/>
      <c r="C1304" s="726"/>
      <c r="D1304" s="727"/>
      <c r="E1304" s="728"/>
    </row>
    <row r="1305" spans="2:5" s="521" customFormat="1">
      <c r="B1305" s="725"/>
      <c r="C1305" s="726"/>
      <c r="D1305" s="727"/>
      <c r="E1305" s="728"/>
    </row>
    <row r="1306" spans="2:5" s="521" customFormat="1">
      <c r="B1306" s="725"/>
      <c r="C1306" s="726"/>
      <c r="D1306" s="727"/>
      <c r="E1306" s="728"/>
    </row>
    <row r="1307" spans="2:5" s="521" customFormat="1">
      <c r="B1307" s="725"/>
      <c r="C1307" s="726"/>
      <c r="D1307" s="727"/>
      <c r="E1307" s="728"/>
    </row>
    <row r="1308" spans="2:5" s="521" customFormat="1">
      <c r="B1308" s="725"/>
      <c r="C1308" s="726"/>
      <c r="D1308" s="727"/>
      <c r="E1308" s="728"/>
    </row>
    <row r="1309" spans="2:5" s="521" customFormat="1">
      <c r="B1309" s="725"/>
      <c r="C1309" s="726"/>
      <c r="D1309" s="727"/>
      <c r="E1309" s="728"/>
    </row>
    <row r="1310" spans="2:5" s="521" customFormat="1">
      <c r="B1310" s="725"/>
      <c r="C1310" s="726"/>
      <c r="D1310" s="727"/>
      <c r="E1310" s="728"/>
    </row>
    <row r="1311" spans="2:5" s="521" customFormat="1">
      <c r="B1311" s="725"/>
      <c r="C1311" s="726"/>
      <c r="D1311" s="727"/>
      <c r="E1311" s="728"/>
    </row>
    <row r="1312" spans="2:5" s="521" customFormat="1">
      <c r="B1312" s="725"/>
      <c r="C1312" s="726"/>
      <c r="D1312" s="727"/>
      <c r="E1312" s="728"/>
    </row>
    <row r="1313" spans="2:5" s="521" customFormat="1">
      <c r="B1313" s="725"/>
      <c r="C1313" s="726"/>
      <c r="D1313" s="727"/>
      <c r="E1313" s="728"/>
    </row>
    <row r="1314" spans="2:5" s="521" customFormat="1">
      <c r="B1314" s="725"/>
      <c r="C1314" s="726"/>
      <c r="D1314" s="727"/>
      <c r="E1314" s="728"/>
    </row>
    <row r="1315" spans="2:5" s="521" customFormat="1">
      <c r="B1315" s="725"/>
      <c r="C1315" s="726"/>
      <c r="D1315" s="727"/>
      <c r="E1315" s="728"/>
    </row>
    <row r="1316" spans="2:5" s="521" customFormat="1">
      <c r="B1316" s="725"/>
      <c r="C1316" s="726"/>
      <c r="D1316" s="727"/>
      <c r="E1316" s="728"/>
    </row>
    <row r="1317" spans="2:5" s="521" customFormat="1">
      <c r="B1317" s="725"/>
      <c r="C1317" s="726"/>
      <c r="D1317" s="727"/>
      <c r="E1317" s="728"/>
    </row>
    <row r="1318" spans="2:5" s="521" customFormat="1">
      <c r="B1318" s="725"/>
      <c r="C1318" s="726"/>
      <c r="D1318" s="727"/>
      <c r="E1318" s="728"/>
    </row>
    <row r="1319" spans="2:5" s="521" customFormat="1">
      <c r="B1319" s="725"/>
      <c r="C1319" s="726"/>
      <c r="D1319" s="727"/>
      <c r="E1319" s="728"/>
    </row>
    <row r="1320" spans="2:5" s="521" customFormat="1">
      <c r="B1320" s="725"/>
      <c r="C1320" s="726"/>
      <c r="D1320" s="727"/>
      <c r="E1320" s="728"/>
    </row>
    <row r="1321" spans="2:5" s="521" customFormat="1">
      <c r="B1321" s="725"/>
      <c r="C1321" s="726"/>
      <c r="D1321" s="727"/>
      <c r="E1321" s="728"/>
    </row>
    <row r="1322" spans="2:5" s="521" customFormat="1">
      <c r="B1322" s="725"/>
      <c r="C1322" s="726"/>
      <c r="D1322" s="727"/>
      <c r="E1322" s="728"/>
    </row>
    <row r="1323" spans="2:5" s="521" customFormat="1">
      <c r="B1323" s="725"/>
      <c r="C1323" s="726"/>
      <c r="D1323" s="727"/>
      <c r="E1323" s="728"/>
    </row>
    <row r="1324" spans="2:5" s="521" customFormat="1">
      <c r="B1324" s="725"/>
      <c r="C1324" s="726"/>
      <c r="D1324" s="727"/>
      <c r="E1324" s="728"/>
    </row>
    <row r="1325" spans="2:5" s="521" customFormat="1">
      <c r="B1325" s="725"/>
      <c r="C1325" s="726"/>
      <c r="D1325" s="727"/>
      <c r="E1325" s="728"/>
    </row>
    <row r="1326" spans="2:5" s="521" customFormat="1">
      <c r="B1326" s="725"/>
      <c r="C1326" s="726"/>
      <c r="D1326" s="727"/>
      <c r="E1326" s="728"/>
    </row>
    <row r="1327" spans="2:5" s="521" customFormat="1">
      <c r="B1327" s="725"/>
      <c r="C1327" s="726"/>
      <c r="D1327" s="727"/>
      <c r="E1327" s="728"/>
    </row>
    <row r="1328" spans="2:5" s="521" customFormat="1">
      <c r="B1328" s="725"/>
      <c r="C1328" s="726"/>
      <c r="D1328" s="727"/>
      <c r="E1328" s="728"/>
    </row>
    <row r="1329" spans="2:5" s="521" customFormat="1">
      <c r="B1329" s="725"/>
      <c r="C1329" s="726"/>
      <c r="D1329" s="727"/>
      <c r="E1329" s="728"/>
    </row>
    <row r="1330" spans="2:5" s="521" customFormat="1">
      <c r="B1330" s="725"/>
      <c r="C1330" s="726"/>
      <c r="D1330" s="727"/>
      <c r="E1330" s="728"/>
    </row>
    <row r="1331" spans="2:5" s="521" customFormat="1">
      <c r="B1331" s="725"/>
      <c r="C1331" s="726"/>
      <c r="D1331" s="727"/>
      <c r="E1331" s="728"/>
    </row>
    <row r="1332" spans="2:5" s="521" customFormat="1">
      <c r="B1332" s="725"/>
      <c r="C1332" s="726"/>
      <c r="D1332" s="727"/>
      <c r="E1332" s="728"/>
    </row>
    <row r="1333" spans="2:5" s="521" customFormat="1">
      <c r="B1333" s="725"/>
      <c r="C1333" s="726"/>
      <c r="D1333" s="727"/>
      <c r="E1333" s="728"/>
    </row>
    <row r="1334" spans="2:5" s="521" customFormat="1">
      <c r="B1334" s="725"/>
      <c r="C1334" s="726"/>
      <c r="D1334" s="727"/>
      <c r="E1334" s="728"/>
    </row>
    <row r="1335" spans="2:5" s="521" customFormat="1">
      <c r="B1335" s="725"/>
      <c r="C1335" s="726"/>
      <c r="D1335" s="727"/>
      <c r="E1335" s="728"/>
    </row>
    <row r="1336" spans="2:5" s="521" customFormat="1">
      <c r="B1336" s="725"/>
      <c r="C1336" s="726"/>
      <c r="D1336" s="727"/>
      <c r="E1336" s="728"/>
    </row>
    <row r="1337" spans="2:5" s="521" customFormat="1">
      <c r="B1337" s="725"/>
      <c r="C1337" s="726"/>
      <c r="D1337" s="727"/>
      <c r="E1337" s="728"/>
    </row>
    <row r="1338" spans="2:5" s="521" customFormat="1">
      <c r="B1338" s="725"/>
      <c r="C1338" s="726"/>
      <c r="D1338" s="727"/>
      <c r="E1338" s="728"/>
    </row>
    <row r="1339" spans="2:5" s="521" customFormat="1">
      <c r="B1339" s="725"/>
      <c r="C1339" s="726"/>
      <c r="D1339" s="727"/>
      <c r="E1339" s="728"/>
    </row>
    <row r="1340" spans="2:5" s="521" customFormat="1">
      <c r="B1340" s="725"/>
      <c r="C1340" s="726"/>
      <c r="D1340" s="727"/>
      <c r="E1340" s="728"/>
    </row>
    <row r="1341" spans="2:5" s="521" customFormat="1">
      <c r="B1341" s="725"/>
      <c r="C1341" s="726"/>
      <c r="D1341" s="727"/>
      <c r="E1341" s="728"/>
    </row>
    <row r="1342" spans="2:5" s="521" customFormat="1">
      <c r="B1342" s="725"/>
      <c r="C1342" s="726"/>
      <c r="D1342" s="727"/>
      <c r="E1342" s="728"/>
    </row>
    <row r="1343" spans="2:5" s="521" customFormat="1">
      <c r="B1343" s="725"/>
      <c r="C1343" s="726"/>
      <c r="D1343" s="727"/>
      <c r="E1343" s="728"/>
    </row>
    <row r="1344" spans="2:5" s="521" customFormat="1">
      <c r="B1344" s="725"/>
      <c r="C1344" s="726"/>
      <c r="D1344" s="727"/>
      <c r="E1344" s="728"/>
    </row>
    <row r="1345" spans="2:5" s="521" customFormat="1">
      <c r="B1345" s="725"/>
      <c r="C1345" s="726"/>
      <c r="D1345" s="727"/>
      <c r="E1345" s="728"/>
    </row>
    <row r="1346" spans="2:5" s="521" customFormat="1">
      <c r="B1346" s="725"/>
      <c r="C1346" s="726"/>
      <c r="D1346" s="727"/>
      <c r="E1346" s="728"/>
    </row>
    <row r="1347" spans="2:5" s="521" customFormat="1">
      <c r="B1347" s="725"/>
      <c r="C1347" s="726"/>
      <c r="D1347" s="727"/>
      <c r="E1347" s="728"/>
    </row>
    <row r="1348" spans="2:5" s="521" customFormat="1">
      <c r="B1348" s="725"/>
      <c r="C1348" s="726"/>
      <c r="D1348" s="727"/>
      <c r="E1348" s="728"/>
    </row>
    <row r="1349" spans="2:5" s="521" customFormat="1">
      <c r="B1349" s="725"/>
      <c r="C1349" s="726"/>
      <c r="D1349" s="727"/>
      <c r="E1349" s="728"/>
    </row>
    <row r="1350" spans="2:5" s="521" customFormat="1">
      <c r="B1350" s="725"/>
      <c r="C1350" s="726"/>
      <c r="D1350" s="727"/>
      <c r="E1350" s="728"/>
    </row>
    <row r="1351" spans="2:5" s="521" customFormat="1">
      <c r="B1351" s="725"/>
      <c r="C1351" s="726"/>
      <c r="D1351" s="727"/>
      <c r="E1351" s="728"/>
    </row>
    <row r="1352" spans="2:5" s="521" customFormat="1">
      <c r="B1352" s="725"/>
      <c r="C1352" s="726"/>
      <c r="D1352" s="727"/>
      <c r="E1352" s="728"/>
    </row>
    <row r="1353" spans="2:5" s="521" customFormat="1">
      <c r="B1353" s="725"/>
      <c r="C1353" s="726"/>
      <c r="D1353" s="727"/>
      <c r="E1353" s="728"/>
    </row>
    <row r="1354" spans="2:5" s="521" customFormat="1">
      <c r="B1354" s="725"/>
      <c r="C1354" s="726"/>
      <c r="D1354" s="727"/>
      <c r="E1354" s="728"/>
    </row>
    <row r="1355" spans="2:5" s="521" customFormat="1">
      <c r="B1355" s="725"/>
      <c r="C1355" s="726"/>
      <c r="D1355" s="727"/>
      <c r="E1355" s="728"/>
    </row>
    <row r="1356" spans="2:5" s="521" customFormat="1">
      <c r="B1356" s="725"/>
      <c r="C1356" s="726"/>
      <c r="D1356" s="727"/>
      <c r="E1356" s="728"/>
    </row>
    <row r="1357" spans="2:5" s="521" customFormat="1">
      <c r="B1357" s="725"/>
      <c r="C1357" s="726"/>
      <c r="D1357" s="727"/>
      <c r="E1357" s="728"/>
    </row>
    <row r="1358" spans="2:5" s="521" customFormat="1">
      <c r="B1358" s="725"/>
      <c r="C1358" s="726"/>
      <c r="D1358" s="727"/>
      <c r="E1358" s="728"/>
    </row>
    <row r="1359" spans="2:5" s="521" customFormat="1">
      <c r="B1359" s="725"/>
      <c r="C1359" s="726"/>
      <c r="D1359" s="727"/>
      <c r="E1359" s="728"/>
    </row>
    <row r="1360" spans="2:5" s="521" customFormat="1">
      <c r="B1360" s="725"/>
      <c r="C1360" s="726"/>
      <c r="D1360" s="727"/>
      <c r="E1360" s="728"/>
    </row>
    <row r="1361" spans="2:5" s="521" customFormat="1">
      <c r="B1361" s="725"/>
      <c r="C1361" s="726"/>
      <c r="D1361" s="727"/>
      <c r="E1361" s="728"/>
    </row>
    <row r="1362" spans="2:5" s="521" customFormat="1">
      <c r="B1362" s="725"/>
      <c r="C1362" s="726"/>
      <c r="D1362" s="727"/>
      <c r="E1362" s="728"/>
    </row>
    <row r="1363" spans="2:5" s="521" customFormat="1">
      <c r="B1363" s="725"/>
      <c r="C1363" s="726"/>
      <c r="D1363" s="727"/>
      <c r="E1363" s="728"/>
    </row>
    <row r="1364" spans="2:5" s="521" customFormat="1">
      <c r="B1364" s="725"/>
      <c r="C1364" s="726"/>
      <c r="D1364" s="727"/>
      <c r="E1364" s="728"/>
    </row>
    <row r="1365" spans="2:5" s="521" customFormat="1">
      <c r="B1365" s="725"/>
      <c r="C1365" s="726"/>
      <c r="D1365" s="727"/>
      <c r="E1365" s="728"/>
    </row>
    <row r="1366" spans="2:5" s="521" customFormat="1">
      <c r="B1366" s="725"/>
      <c r="C1366" s="726"/>
      <c r="D1366" s="727"/>
      <c r="E1366" s="728"/>
    </row>
    <row r="1367" spans="2:5" s="521" customFormat="1">
      <c r="B1367" s="725"/>
      <c r="C1367" s="726"/>
      <c r="D1367" s="727"/>
      <c r="E1367" s="728"/>
    </row>
    <row r="1368" spans="2:5" s="521" customFormat="1">
      <c r="B1368" s="725"/>
      <c r="C1368" s="726"/>
      <c r="D1368" s="727"/>
      <c r="E1368" s="728"/>
    </row>
    <row r="1369" spans="2:5" s="521" customFormat="1">
      <c r="B1369" s="725"/>
      <c r="C1369" s="726"/>
      <c r="D1369" s="727"/>
      <c r="E1369" s="728"/>
    </row>
    <row r="1370" spans="2:5" s="521" customFormat="1">
      <c r="B1370" s="725"/>
      <c r="C1370" s="726"/>
      <c r="D1370" s="727"/>
      <c r="E1370" s="728"/>
    </row>
    <row r="1371" spans="2:5" s="521" customFormat="1">
      <c r="B1371" s="725"/>
      <c r="C1371" s="726"/>
      <c r="D1371" s="727"/>
      <c r="E1371" s="728"/>
    </row>
    <row r="1372" spans="2:5" s="521" customFormat="1">
      <c r="B1372" s="725"/>
      <c r="C1372" s="726"/>
      <c r="D1372" s="727"/>
      <c r="E1372" s="728"/>
    </row>
    <row r="1373" spans="2:5" s="521" customFormat="1">
      <c r="B1373" s="725"/>
      <c r="C1373" s="726"/>
      <c r="D1373" s="727"/>
      <c r="E1373" s="728"/>
    </row>
    <row r="1374" spans="2:5" s="521" customFormat="1">
      <c r="B1374" s="725"/>
      <c r="C1374" s="726"/>
      <c r="D1374" s="727"/>
      <c r="E1374" s="728"/>
    </row>
    <row r="1375" spans="2:5" s="521" customFormat="1">
      <c r="B1375" s="725"/>
      <c r="C1375" s="726"/>
      <c r="D1375" s="727"/>
      <c r="E1375" s="728"/>
    </row>
    <row r="1376" spans="2:5" s="521" customFormat="1">
      <c r="B1376" s="725"/>
      <c r="C1376" s="726"/>
      <c r="D1376" s="727"/>
      <c r="E1376" s="728"/>
    </row>
    <row r="1377" spans="2:5" s="521" customFormat="1">
      <c r="B1377" s="725"/>
      <c r="C1377" s="726"/>
      <c r="D1377" s="727"/>
      <c r="E1377" s="728"/>
    </row>
    <row r="1378" spans="2:5" s="521" customFormat="1">
      <c r="B1378" s="725"/>
      <c r="C1378" s="726"/>
      <c r="D1378" s="727"/>
      <c r="E1378" s="728"/>
    </row>
    <row r="1379" spans="2:5" s="521" customFormat="1">
      <c r="B1379" s="725"/>
      <c r="C1379" s="726"/>
      <c r="D1379" s="727"/>
      <c r="E1379" s="728"/>
    </row>
    <row r="1380" spans="2:5" s="521" customFormat="1">
      <c r="B1380" s="725"/>
      <c r="C1380" s="726"/>
      <c r="D1380" s="727"/>
      <c r="E1380" s="728"/>
    </row>
    <row r="1381" spans="2:5" s="521" customFormat="1">
      <c r="B1381" s="725"/>
      <c r="C1381" s="726"/>
      <c r="D1381" s="727"/>
      <c r="E1381" s="728"/>
    </row>
    <row r="1382" spans="2:5" s="521" customFormat="1">
      <c r="B1382" s="725"/>
      <c r="C1382" s="726"/>
      <c r="D1382" s="727"/>
      <c r="E1382" s="728"/>
    </row>
    <row r="1383" spans="2:5" s="521" customFormat="1">
      <c r="B1383" s="725"/>
      <c r="C1383" s="726"/>
      <c r="D1383" s="727"/>
      <c r="E1383" s="728"/>
    </row>
    <row r="1384" spans="2:5" s="521" customFormat="1">
      <c r="B1384" s="725"/>
      <c r="C1384" s="726"/>
      <c r="D1384" s="727"/>
      <c r="E1384" s="728"/>
    </row>
    <row r="1385" spans="2:5" s="521" customFormat="1">
      <c r="B1385" s="725"/>
      <c r="C1385" s="726"/>
      <c r="D1385" s="727"/>
      <c r="E1385" s="728"/>
    </row>
    <row r="1386" spans="2:5" s="521" customFormat="1">
      <c r="B1386" s="725"/>
      <c r="C1386" s="726"/>
      <c r="D1386" s="727"/>
      <c r="E1386" s="728"/>
    </row>
    <row r="1387" spans="2:5" s="521" customFormat="1">
      <c r="B1387" s="725"/>
      <c r="C1387" s="726"/>
      <c r="D1387" s="727"/>
      <c r="E1387" s="728"/>
    </row>
    <row r="1388" spans="2:5" s="521" customFormat="1">
      <c r="B1388" s="725"/>
      <c r="C1388" s="726"/>
      <c r="D1388" s="727"/>
      <c r="E1388" s="728"/>
    </row>
    <row r="1389" spans="2:5" s="521" customFormat="1">
      <c r="B1389" s="725"/>
      <c r="C1389" s="726"/>
      <c r="D1389" s="727"/>
      <c r="E1389" s="728"/>
    </row>
    <row r="1390" spans="2:5" s="521" customFormat="1">
      <c r="B1390" s="725"/>
      <c r="C1390" s="726"/>
      <c r="D1390" s="727"/>
      <c r="E1390" s="728"/>
    </row>
    <row r="1391" spans="2:5" s="521" customFormat="1">
      <c r="B1391" s="725"/>
      <c r="C1391" s="726"/>
      <c r="D1391" s="727"/>
      <c r="E1391" s="728"/>
    </row>
    <row r="1392" spans="2:5" s="521" customFormat="1">
      <c r="B1392" s="725"/>
      <c r="C1392" s="726"/>
      <c r="D1392" s="727"/>
      <c r="E1392" s="728"/>
    </row>
    <row r="1393" spans="2:5" s="521" customFormat="1">
      <c r="B1393" s="725"/>
      <c r="C1393" s="726"/>
      <c r="D1393" s="727"/>
      <c r="E1393" s="728"/>
    </row>
    <row r="1394" spans="2:5" s="521" customFormat="1">
      <c r="B1394" s="725"/>
      <c r="C1394" s="726"/>
      <c r="D1394" s="727"/>
      <c r="E1394" s="728"/>
    </row>
    <row r="1395" spans="2:5" s="521" customFormat="1">
      <c r="B1395" s="725"/>
      <c r="C1395" s="726"/>
      <c r="D1395" s="727"/>
      <c r="E1395" s="728"/>
    </row>
    <row r="1396" spans="2:5" s="521" customFormat="1">
      <c r="B1396" s="725"/>
      <c r="C1396" s="726"/>
      <c r="D1396" s="727"/>
      <c r="E1396" s="728"/>
    </row>
    <row r="1397" spans="2:5" s="521" customFormat="1">
      <c r="B1397" s="725"/>
      <c r="C1397" s="726"/>
      <c r="D1397" s="727"/>
      <c r="E1397" s="728"/>
    </row>
    <row r="1398" spans="2:5" s="521" customFormat="1">
      <c r="B1398" s="725"/>
      <c r="C1398" s="726"/>
      <c r="D1398" s="727"/>
      <c r="E1398" s="728"/>
    </row>
    <row r="1399" spans="2:5" s="521" customFormat="1">
      <c r="B1399" s="725"/>
      <c r="C1399" s="726"/>
      <c r="D1399" s="727"/>
      <c r="E1399" s="728"/>
    </row>
    <row r="1400" spans="2:5" s="521" customFormat="1">
      <c r="B1400" s="725"/>
      <c r="C1400" s="726"/>
      <c r="D1400" s="727"/>
      <c r="E1400" s="728"/>
    </row>
    <row r="1401" spans="2:5" s="521" customFormat="1">
      <c r="B1401" s="725"/>
      <c r="C1401" s="726"/>
      <c r="D1401" s="727"/>
      <c r="E1401" s="728"/>
    </row>
    <row r="1402" spans="2:5" s="521" customFormat="1">
      <c r="B1402" s="725"/>
      <c r="C1402" s="726"/>
      <c r="D1402" s="727"/>
      <c r="E1402" s="728"/>
    </row>
    <row r="1403" spans="2:5" s="521" customFormat="1">
      <c r="B1403" s="725"/>
      <c r="C1403" s="726"/>
      <c r="D1403" s="727"/>
      <c r="E1403" s="728"/>
    </row>
    <row r="1404" spans="2:5" s="521" customFormat="1">
      <c r="B1404" s="725"/>
      <c r="C1404" s="726"/>
      <c r="D1404" s="727"/>
      <c r="E1404" s="728"/>
    </row>
    <row r="1405" spans="2:5" s="521" customFormat="1">
      <c r="B1405" s="725"/>
      <c r="C1405" s="726"/>
      <c r="D1405" s="727"/>
      <c r="E1405" s="728"/>
    </row>
    <row r="1406" spans="2:5" s="521" customFormat="1">
      <c r="B1406" s="725"/>
      <c r="C1406" s="726"/>
      <c r="D1406" s="727"/>
      <c r="E1406" s="728"/>
    </row>
    <row r="1407" spans="2:5" s="521" customFormat="1">
      <c r="B1407" s="725"/>
      <c r="C1407" s="726"/>
      <c r="D1407" s="727"/>
      <c r="E1407" s="728"/>
    </row>
    <row r="1408" spans="2:5" s="521" customFormat="1">
      <c r="B1408" s="725"/>
      <c r="C1408" s="726"/>
      <c r="D1408" s="727"/>
      <c r="E1408" s="728"/>
    </row>
    <row r="1409" spans="2:5" s="521" customFormat="1">
      <c r="B1409" s="725"/>
      <c r="C1409" s="726"/>
      <c r="D1409" s="727"/>
      <c r="E1409" s="728"/>
    </row>
    <row r="1410" spans="2:5" s="521" customFormat="1">
      <c r="B1410" s="725"/>
      <c r="C1410" s="726"/>
      <c r="D1410" s="727"/>
      <c r="E1410" s="728"/>
    </row>
    <row r="1411" spans="2:5" s="521" customFormat="1">
      <c r="B1411" s="725"/>
      <c r="C1411" s="726"/>
      <c r="D1411" s="727"/>
      <c r="E1411" s="728"/>
    </row>
    <row r="1412" spans="2:5" s="521" customFormat="1">
      <c r="B1412" s="725"/>
      <c r="C1412" s="726"/>
      <c r="D1412" s="727"/>
      <c r="E1412" s="728"/>
    </row>
    <row r="1413" spans="2:5" s="521" customFormat="1">
      <c r="B1413" s="725"/>
      <c r="C1413" s="726"/>
      <c r="D1413" s="727"/>
      <c r="E1413" s="728"/>
    </row>
    <row r="1414" spans="2:5" s="521" customFormat="1">
      <c r="B1414" s="725"/>
      <c r="C1414" s="726"/>
      <c r="D1414" s="727"/>
      <c r="E1414" s="728"/>
    </row>
    <row r="1415" spans="2:5" s="521" customFormat="1">
      <c r="B1415" s="725"/>
      <c r="C1415" s="726"/>
      <c r="D1415" s="727"/>
      <c r="E1415" s="728"/>
    </row>
    <row r="1416" spans="2:5" s="521" customFormat="1">
      <c r="B1416" s="725"/>
      <c r="C1416" s="726"/>
      <c r="D1416" s="727"/>
      <c r="E1416" s="728"/>
    </row>
    <row r="1417" spans="2:5" s="521" customFormat="1">
      <c r="B1417" s="725"/>
      <c r="C1417" s="726"/>
      <c r="D1417" s="727"/>
      <c r="E1417" s="728"/>
    </row>
    <row r="1418" spans="2:5" s="521" customFormat="1">
      <c r="B1418" s="725"/>
      <c r="C1418" s="726"/>
      <c r="D1418" s="727"/>
      <c r="E1418" s="728"/>
    </row>
    <row r="1419" spans="2:5" s="521" customFormat="1">
      <c r="B1419" s="725"/>
      <c r="C1419" s="726"/>
      <c r="D1419" s="727"/>
      <c r="E1419" s="728"/>
    </row>
    <row r="1420" spans="2:5" s="521" customFormat="1">
      <c r="B1420" s="725"/>
      <c r="C1420" s="726"/>
      <c r="D1420" s="727"/>
      <c r="E1420" s="728"/>
    </row>
    <row r="1421" spans="2:5" s="521" customFormat="1">
      <c r="B1421" s="725"/>
      <c r="C1421" s="726"/>
      <c r="D1421" s="727"/>
      <c r="E1421" s="728"/>
    </row>
    <row r="1422" spans="2:5" s="521" customFormat="1">
      <c r="B1422" s="725"/>
      <c r="C1422" s="726"/>
      <c r="D1422" s="727"/>
      <c r="E1422" s="728"/>
    </row>
    <row r="1423" spans="2:5" s="521" customFormat="1">
      <c r="B1423" s="725"/>
      <c r="C1423" s="726"/>
      <c r="D1423" s="727"/>
      <c r="E1423" s="728"/>
    </row>
    <row r="1424" spans="2:5" s="521" customFormat="1">
      <c r="B1424" s="725"/>
      <c r="C1424" s="726"/>
      <c r="D1424" s="727"/>
      <c r="E1424" s="728"/>
    </row>
    <row r="1425" spans="2:5" s="521" customFormat="1">
      <c r="B1425" s="725"/>
      <c r="C1425" s="726"/>
      <c r="D1425" s="727"/>
      <c r="E1425" s="728"/>
    </row>
    <row r="1426" spans="2:5" s="521" customFormat="1">
      <c r="B1426" s="725"/>
      <c r="C1426" s="726"/>
      <c r="D1426" s="727"/>
      <c r="E1426" s="728"/>
    </row>
    <row r="1427" spans="2:5" s="521" customFormat="1">
      <c r="B1427" s="725"/>
      <c r="C1427" s="726"/>
      <c r="D1427" s="727"/>
      <c r="E1427" s="728"/>
    </row>
    <row r="1428" spans="2:5" s="521" customFormat="1">
      <c r="B1428" s="725"/>
      <c r="C1428" s="726"/>
      <c r="D1428" s="727"/>
      <c r="E1428" s="728"/>
    </row>
    <row r="1429" spans="2:5" s="521" customFormat="1">
      <c r="B1429" s="725"/>
      <c r="C1429" s="726"/>
      <c r="D1429" s="727"/>
      <c r="E1429" s="728"/>
    </row>
    <row r="1430" spans="2:5" s="521" customFormat="1">
      <c r="B1430" s="725"/>
      <c r="C1430" s="726"/>
      <c r="D1430" s="727"/>
      <c r="E1430" s="728"/>
    </row>
    <row r="1431" spans="2:5" s="521" customFormat="1">
      <c r="B1431" s="725"/>
      <c r="C1431" s="726"/>
      <c r="D1431" s="727"/>
      <c r="E1431" s="728"/>
    </row>
    <row r="1432" spans="2:5" s="521" customFormat="1">
      <c r="B1432" s="725"/>
      <c r="C1432" s="726"/>
      <c r="D1432" s="727"/>
      <c r="E1432" s="728"/>
    </row>
    <row r="1433" spans="2:5" s="521" customFormat="1">
      <c r="B1433" s="725"/>
      <c r="C1433" s="726"/>
      <c r="D1433" s="727"/>
      <c r="E1433" s="728"/>
    </row>
    <row r="1434" spans="2:5" s="521" customFormat="1">
      <c r="B1434" s="725"/>
      <c r="C1434" s="726"/>
      <c r="D1434" s="727"/>
      <c r="E1434" s="728"/>
    </row>
    <row r="1435" spans="2:5" s="521" customFormat="1">
      <c r="B1435" s="725"/>
      <c r="C1435" s="726"/>
      <c r="D1435" s="727"/>
      <c r="E1435" s="728"/>
    </row>
    <row r="1436" spans="2:5" s="521" customFormat="1">
      <c r="B1436" s="725"/>
      <c r="C1436" s="726"/>
      <c r="D1436" s="727"/>
      <c r="E1436" s="728"/>
    </row>
    <row r="1437" spans="2:5" s="521" customFormat="1">
      <c r="B1437" s="725"/>
      <c r="C1437" s="726"/>
      <c r="D1437" s="727"/>
      <c r="E1437" s="728"/>
    </row>
    <row r="1438" spans="2:5" s="521" customFormat="1">
      <c r="B1438" s="725"/>
      <c r="C1438" s="726"/>
      <c r="D1438" s="727"/>
      <c r="E1438" s="728"/>
    </row>
    <row r="1439" spans="2:5" s="521" customFormat="1">
      <c r="B1439" s="725"/>
      <c r="C1439" s="726"/>
      <c r="D1439" s="727"/>
      <c r="E1439" s="728"/>
    </row>
    <row r="1440" spans="2:5" s="521" customFormat="1">
      <c r="B1440" s="725"/>
      <c r="C1440" s="726"/>
      <c r="D1440" s="727"/>
      <c r="E1440" s="728"/>
    </row>
    <row r="1441" spans="2:5" s="521" customFormat="1">
      <c r="B1441" s="725"/>
      <c r="C1441" s="726"/>
      <c r="D1441" s="727"/>
      <c r="E1441" s="728"/>
    </row>
    <row r="1442" spans="2:5" s="521" customFormat="1">
      <c r="B1442" s="725"/>
      <c r="C1442" s="726"/>
      <c r="D1442" s="727"/>
      <c r="E1442" s="728"/>
    </row>
    <row r="1443" spans="2:5" s="521" customFormat="1">
      <c r="B1443" s="725"/>
      <c r="C1443" s="726"/>
      <c r="D1443" s="727"/>
      <c r="E1443" s="728"/>
    </row>
    <row r="1444" spans="2:5" s="521" customFormat="1">
      <c r="B1444" s="725"/>
      <c r="C1444" s="726"/>
      <c r="D1444" s="727"/>
      <c r="E1444" s="728"/>
    </row>
    <row r="1445" spans="2:5" s="521" customFormat="1">
      <c r="B1445" s="725"/>
      <c r="C1445" s="726"/>
      <c r="D1445" s="727"/>
      <c r="E1445" s="728"/>
    </row>
    <row r="1446" spans="2:5" s="521" customFormat="1">
      <c r="B1446" s="725"/>
      <c r="C1446" s="726"/>
      <c r="D1446" s="727"/>
      <c r="E1446" s="728"/>
    </row>
    <row r="1447" spans="2:5" s="521" customFormat="1">
      <c r="B1447" s="725"/>
      <c r="C1447" s="726"/>
      <c r="D1447" s="727"/>
      <c r="E1447" s="728"/>
    </row>
    <row r="1448" spans="2:5" s="521" customFormat="1">
      <c r="B1448" s="725"/>
      <c r="C1448" s="726"/>
      <c r="D1448" s="727"/>
      <c r="E1448" s="728"/>
    </row>
    <row r="1449" spans="2:5" s="521" customFormat="1">
      <c r="B1449" s="725"/>
      <c r="C1449" s="726"/>
      <c r="D1449" s="727"/>
      <c r="E1449" s="728"/>
    </row>
    <row r="1450" spans="2:5" s="521" customFormat="1">
      <c r="B1450" s="725"/>
      <c r="C1450" s="726"/>
      <c r="D1450" s="727"/>
      <c r="E1450" s="728"/>
    </row>
    <row r="1451" spans="2:5" s="521" customFormat="1">
      <c r="B1451" s="725"/>
      <c r="C1451" s="726"/>
      <c r="D1451" s="727"/>
      <c r="E1451" s="728"/>
    </row>
    <row r="1452" spans="2:5" s="521" customFormat="1">
      <c r="B1452" s="725"/>
      <c r="C1452" s="726"/>
      <c r="D1452" s="727"/>
      <c r="E1452" s="728"/>
    </row>
    <row r="1453" spans="2:5" s="521" customFormat="1">
      <c r="B1453" s="725"/>
      <c r="C1453" s="726"/>
      <c r="D1453" s="727"/>
      <c r="E1453" s="728"/>
    </row>
    <row r="1454" spans="2:5" s="521" customFormat="1">
      <c r="B1454" s="725"/>
      <c r="C1454" s="726"/>
      <c r="D1454" s="727"/>
      <c r="E1454" s="728"/>
    </row>
    <row r="1455" spans="2:5" s="521" customFormat="1">
      <c r="B1455" s="725"/>
      <c r="C1455" s="726"/>
      <c r="D1455" s="727"/>
      <c r="E1455" s="728"/>
    </row>
    <row r="1456" spans="2:5" s="521" customFormat="1">
      <c r="B1456" s="725"/>
      <c r="C1456" s="726"/>
      <c r="D1456" s="727"/>
      <c r="E1456" s="728"/>
    </row>
    <row r="1457" spans="2:5" s="521" customFormat="1">
      <c r="B1457" s="725"/>
      <c r="C1457" s="726"/>
      <c r="D1457" s="727"/>
      <c r="E1457" s="728"/>
    </row>
    <row r="1458" spans="2:5" s="521" customFormat="1">
      <c r="B1458" s="725"/>
      <c r="C1458" s="726"/>
      <c r="D1458" s="727"/>
      <c r="E1458" s="728"/>
    </row>
    <row r="1459" spans="2:5" s="521" customFormat="1">
      <c r="B1459" s="725"/>
      <c r="C1459" s="726"/>
      <c r="D1459" s="727"/>
      <c r="E1459" s="728"/>
    </row>
    <row r="1460" spans="2:5" s="521" customFormat="1">
      <c r="B1460" s="725"/>
      <c r="C1460" s="726"/>
      <c r="D1460" s="727"/>
      <c r="E1460" s="728"/>
    </row>
    <row r="1461" spans="2:5" s="521" customFormat="1">
      <c r="B1461" s="725"/>
      <c r="C1461" s="726"/>
      <c r="D1461" s="727"/>
      <c r="E1461" s="728"/>
    </row>
    <row r="1462" spans="2:5" s="521" customFormat="1">
      <c r="B1462" s="725"/>
      <c r="C1462" s="726"/>
      <c r="D1462" s="727"/>
      <c r="E1462" s="728"/>
    </row>
    <row r="1463" spans="2:5" s="521" customFormat="1">
      <c r="B1463" s="725"/>
      <c r="C1463" s="726"/>
      <c r="D1463" s="727"/>
      <c r="E1463" s="728"/>
    </row>
    <row r="1464" spans="2:5" s="521" customFormat="1">
      <c r="B1464" s="725"/>
      <c r="C1464" s="726"/>
      <c r="D1464" s="727"/>
      <c r="E1464" s="728"/>
    </row>
    <row r="1465" spans="2:5" s="521" customFormat="1">
      <c r="B1465" s="725"/>
      <c r="C1465" s="726"/>
      <c r="D1465" s="727"/>
      <c r="E1465" s="728"/>
    </row>
    <row r="1466" spans="2:5" s="521" customFormat="1">
      <c r="B1466" s="725"/>
      <c r="C1466" s="726"/>
      <c r="D1466" s="727"/>
      <c r="E1466" s="728"/>
    </row>
    <row r="1467" spans="2:5" s="521" customFormat="1">
      <c r="B1467" s="725"/>
      <c r="C1467" s="726"/>
      <c r="D1467" s="727"/>
      <c r="E1467" s="728"/>
    </row>
    <row r="1468" spans="2:5" s="521" customFormat="1">
      <c r="B1468" s="725"/>
      <c r="C1468" s="726"/>
      <c r="D1468" s="727"/>
      <c r="E1468" s="728"/>
    </row>
    <row r="1469" spans="2:5" s="521" customFormat="1">
      <c r="B1469" s="725"/>
      <c r="C1469" s="726"/>
      <c r="D1469" s="727"/>
      <c r="E1469" s="728"/>
    </row>
    <row r="1470" spans="2:5" s="521" customFormat="1">
      <c r="B1470" s="725"/>
      <c r="C1470" s="726"/>
      <c r="D1470" s="727"/>
      <c r="E1470" s="728"/>
    </row>
    <row r="1471" spans="2:5" s="521" customFormat="1">
      <c r="B1471" s="725"/>
      <c r="C1471" s="726"/>
      <c r="D1471" s="727"/>
      <c r="E1471" s="728"/>
    </row>
    <row r="1472" spans="2:5" s="521" customFormat="1">
      <c r="B1472" s="725"/>
      <c r="C1472" s="726"/>
      <c r="D1472" s="727"/>
      <c r="E1472" s="728"/>
    </row>
    <row r="1473" spans="2:5" s="521" customFormat="1">
      <c r="B1473" s="725"/>
      <c r="C1473" s="726"/>
      <c r="D1473" s="727"/>
      <c r="E1473" s="728"/>
    </row>
    <row r="1474" spans="2:5" s="521" customFormat="1">
      <c r="B1474" s="725"/>
      <c r="C1474" s="726"/>
      <c r="D1474" s="727"/>
      <c r="E1474" s="728"/>
    </row>
    <row r="1475" spans="2:5" s="521" customFormat="1">
      <c r="B1475" s="725"/>
      <c r="C1475" s="726"/>
      <c r="D1475" s="727"/>
      <c r="E1475" s="728"/>
    </row>
    <row r="1476" spans="2:5" s="521" customFormat="1">
      <c r="B1476" s="725"/>
      <c r="C1476" s="726"/>
      <c r="D1476" s="727"/>
      <c r="E1476" s="728"/>
    </row>
    <row r="1477" spans="2:5" s="521" customFormat="1">
      <c r="B1477" s="725"/>
      <c r="C1477" s="726"/>
      <c r="D1477" s="727"/>
      <c r="E1477" s="728"/>
    </row>
    <row r="1478" spans="2:5" s="521" customFormat="1">
      <c r="B1478" s="725"/>
      <c r="C1478" s="726"/>
      <c r="D1478" s="727"/>
      <c r="E1478" s="728"/>
    </row>
    <row r="1479" spans="2:5" s="521" customFormat="1">
      <c r="B1479" s="725"/>
      <c r="C1479" s="726"/>
      <c r="D1479" s="727"/>
      <c r="E1479" s="728"/>
    </row>
    <row r="1480" spans="2:5" s="521" customFormat="1">
      <c r="B1480" s="725"/>
      <c r="C1480" s="726"/>
      <c r="D1480" s="727"/>
      <c r="E1480" s="728"/>
    </row>
    <row r="1481" spans="2:5" s="521" customFormat="1">
      <c r="B1481" s="725"/>
      <c r="C1481" s="726"/>
      <c r="D1481" s="727"/>
      <c r="E1481" s="728"/>
    </row>
    <row r="1482" spans="2:5" s="521" customFormat="1">
      <c r="B1482" s="725"/>
      <c r="C1482" s="726"/>
      <c r="D1482" s="727"/>
      <c r="E1482" s="728"/>
    </row>
    <row r="1483" spans="2:5" s="521" customFormat="1">
      <c r="B1483" s="725"/>
      <c r="C1483" s="726"/>
      <c r="D1483" s="727"/>
      <c r="E1483" s="728"/>
    </row>
    <row r="1484" spans="2:5" s="521" customFormat="1">
      <c r="B1484" s="725"/>
      <c r="C1484" s="726"/>
      <c r="D1484" s="727"/>
      <c r="E1484" s="728"/>
    </row>
    <row r="1485" spans="2:5" s="521" customFormat="1">
      <c r="B1485" s="725"/>
      <c r="C1485" s="726"/>
      <c r="D1485" s="727"/>
      <c r="E1485" s="728"/>
    </row>
    <row r="1486" spans="2:5" s="521" customFormat="1">
      <c r="B1486" s="725"/>
      <c r="C1486" s="726"/>
      <c r="D1486" s="727"/>
      <c r="E1486" s="728"/>
    </row>
    <row r="1487" spans="2:5" s="521" customFormat="1">
      <c r="B1487" s="725"/>
      <c r="C1487" s="726"/>
      <c r="D1487" s="727"/>
      <c r="E1487" s="728"/>
    </row>
    <row r="1488" spans="2:5" s="521" customFormat="1">
      <c r="B1488" s="725"/>
      <c r="C1488" s="726"/>
      <c r="D1488" s="727"/>
      <c r="E1488" s="728"/>
    </row>
    <row r="1489" spans="2:5" s="521" customFormat="1">
      <c r="B1489" s="725"/>
      <c r="C1489" s="726"/>
      <c r="D1489" s="727"/>
      <c r="E1489" s="728"/>
    </row>
    <row r="1490" spans="2:5" s="521" customFormat="1">
      <c r="B1490" s="725"/>
      <c r="C1490" s="726"/>
      <c r="D1490" s="727"/>
      <c r="E1490" s="728"/>
    </row>
    <row r="1491" spans="2:5" s="521" customFormat="1">
      <c r="B1491" s="725"/>
      <c r="C1491" s="726"/>
      <c r="D1491" s="727"/>
      <c r="E1491" s="728"/>
    </row>
    <row r="1492" spans="2:5" s="521" customFormat="1">
      <c r="B1492" s="725"/>
      <c r="C1492" s="726"/>
      <c r="D1492" s="727"/>
      <c r="E1492" s="728"/>
    </row>
    <row r="1493" spans="2:5" s="521" customFormat="1">
      <c r="B1493" s="725"/>
      <c r="C1493" s="726"/>
      <c r="D1493" s="727"/>
      <c r="E1493" s="728"/>
    </row>
    <row r="1494" spans="2:5" s="521" customFormat="1">
      <c r="B1494" s="725"/>
      <c r="C1494" s="726"/>
      <c r="D1494" s="727"/>
      <c r="E1494" s="728"/>
    </row>
    <row r="1495" spans="2:5" s="521" customFormat="1">
      <c r="B1495" s="725"/>
      <c r="C1495" s="726"/>
      <c r="D1495" s="727"/>
      <c r="E1495" s="728"/>
    </row>
    <row r="1496" spans="2:5" s="521" customFormat="1">
      <c r="B1496" s="725"/>
      <c r="C1496" s="726"/>
      <c r="D1496" s="727"/>
      <c r="E1496" s="728"/>
    </row>
    <row r="1497" spans="2:5" s="521" customFormat="1">
      <c r="B1497" s="725"/>
      <c r="C1497" s="726"/>
      <c r="D1497" s="727"/>
      <c r="E1497" s="728"/>
    </row>
    <row r="1498" spans="2:5" s="521" customFormat="1">
      <c r="B1498" s="725"/>
      <c r="C1498" s="726"/>
      <c r="D1498" s="727"/>
      <c r="E1498" s="728"/>
    </row>
    <row r="1499" spans="2:5" s="521" customFormat="1">
      <c r="B1499" s="725"/>
      <c r="C1499" s="726"/>
      <c r="D1499" s="727"/>
      <c r="E1499" s="728"/>
    </row>
    <row r="1500" spans="2:5" s="521" customFormat="1">
      <c r="B1500" s="725"/>
      <c r="C1500" s="726"/>
      <c r="D1500" s="727"/>
      <c r="E1500" s="728"/>
    </row>
    <row r="1501" spans="2:5" s="521" customFormat="1">
      <c r="B1501" s="725"/>
      <c r="C1501" s="726"/>
      <c r="D1501" s="727"/>
      <c r="E1501" s="728"/>
    </row>
    <row r="1502" spans="2:5" s="521" customFormat="1">
      <c r="B1502" s="725"/>
      <c r="C1502" s="726"/>
      <c r="D1502" s="727"/>
      <c r="E1502" s="728"/>
    </row>
    <row r="1503" spans="2:5" s="521" customFormat="1">
      <c r="B1503" s="725"/>
      <c r="C1503" s="726"/>
      <c r="D1503" s="727"/>
      <c r="E1503" s="728"/>
    </row>
    <row r="1504" spans="2:5" s="521" customFormat="1">
      <c r="B1504" s="725"/>
      <c r="C1504" s="726"/>
      <c r="D1504" s="727"/>
      <c r="E1504" s="728"/>
    </row>
    <row r="1505" spans="2:5" s="521" customFormat="1">
      <c r="B1505" s="725"/>
      <c r="C1505" s="726"/>
      <c r="D1505" s="727"/>
      <c r="E1505" s="728"/>
    </row>
    <row r="1506" spans="2:5" s="521" customFormat="1">
      <c r="B1506" s="725"/>
      <c r="C1506" s="726"/>
      <c r="D1506" s="727"/>
      <c r="E1506" s="728"/>
    </row>
    <row r="1507" spans="2:5" s="521" customFormat="1">
      <c r="B1507" s="725"/>
      <c r="C1507" s="726"/>
      <c r="D1507" s="727"/>
      <c r="E1507" s="728"/>
    </row>
    <row r="1508" spans="2:5" s="521" customFormat="1">
      <c r="B1508" s="725"/>
      <c r="C1508" s="726"/>
      <c r="D1508" s="727"/>
      <c r="E1508" s="728"/>
    </row>
    <row r="1509" spans="2:5" s="521" customFormat="1">
      <c r="B1509" s="725"/>
      <c r="C1509" s="726"/>
      <c r="D1509" s="727"/>
      <c r="E1509" s="728"/>
    </row>
    <row r="1510" spans="2:5" s="521" customFormat="1">
      <c r="B1510" s="725"/>
      <c r="C1510" s="726"/>
      <c r="D1510" s="727"/>
      <c r="E1510" s="728"/>
    </row>
    <row r="1511" spans="2:5" s="521" customFormat="1">
      <c r="B1511" s="725"/>
      <c r="C1511" s="726"/>
      <c r="D1511" s="727"/>
      <c r="E1511" s="728"/>
    </row>
    <row r="1512" spans="2:5" s="521" customFormat="1">
      <c r="B1512" s="725"/>
      <c r="C1512" s="726"/>
      <c r="D1512" s="727"/>
      <c r="E1512" s="728"/>
    </row>
    <row r="1513" spans="2:5" s="521" customFormat="1">
      <c r="B1513" s="725"/>
      <c r="C1513" s="726"/>
      <c r="D1513" s="727"/>
      <c r="E1513" s="728"/>
    </row>
    <row r="1514" spans="2:5" s="521" customFormat="1">
      <c r="B1514" s="725"/>
      <c r="C1514" s="726"/>
      <c r="D1514" s="727"/>
      <c r="E1514" s="728"/>
    </row>
    <row r="1515" spans="2:5" s="521" customFormat="1">
      <c r="B1515" s="725"/>
      <c r="C1515" s="726"/>
      <c r="D1515" s="727"/>
      <c r="E1515" s="728"/>
    </row>
    <row r="1516" spans="2:5" s="521" customFormat="1">
      <c r="B1516" s="725"/>
      <c r="C1516" s="726"/>
      <c r="D1516" s="727"/>
      <c r="E1516" s="728"/>
    </row>
    <row r="1517" spans="2:5" s="521" customFormat="1">
      <c r="B1517" s="725"/>
      <c r="C1517" s="726"/>
      <c r="D1517" s="727"/>
      <c r="E1517" s="728"/>
    </row>
    <row r="1518" spans="2:5" s="521" customFormat="1">
      <c r="B1518" s="725"/>
      <c r="C1518" s="726"/>
      <c r="D1518" s="727"/>
      <c r="E1518" s="728"/>
    </row>
    <row r="1519" spans="2:5" s="521" customFormat="1">
      <c r="B1519" s="725"/>
      <c r="C1519" s="726"/>
      <c r="D1519" s="727"/>
      <c r="E1519" s="728"/>
    </row>
    <row r="1520" spans="2:5" s="521" customFormat="1">
      <c r="B1520" s="725"/>
      <c r="C1520" s="726"/>
      <c r="D1520" s="727"/>
      <c r="E1520" s="728"/>
    </row>
    <row r="1521" spans="2:5" s="521" customFormat="1">
      <c r="B1521" s="725"/>
      <c r="C1521" s="726"/>
      <c r="D1521" s="727"/>
      <c r="E1521" s="728"/>
    </row>
    <row r="1522" spans="2:5" s="521" customFormat="1">
      <c r="B1522" s="725"/>
      <c r="C1522" s="726"/>
      <c r="D1522" s="727"/>
      <c r="E1522" s="728"/>
    </row>
    <row r="1523" spans="2:5" s="521" customFormat="1">
      <c r="B1523" s="725"/>
      <c r="C1523" s="726"/>
      <c r="D1523" s="727"/>
      <c r="E1523" s="728"/>
    </row>
    <row r="1524" spans="2:5" s="521" customFormat="1">
      <c r="B1524" s="725"/>
      <c r="C1524" s="726"/>
      <c r="D1524" s="727"/>
      <c r="E1524" s="728"/>
    </row>
    <row r="1525" spans="2:5" s="521" customFormat="1">
      <c r="B1525" s="725"/>
      <c r="C1525" s="726"/>
      <c r="D1525" s="727"/>
      <c r="E1525" s="728"/>
    </row>
    <row r="1526" spans="2:5" s="521" customFormat="1">
      <c r="B1526" s="725"/>
      <c r="C1526" s="726"/>
      <c r="D1526" s="727"/>
      <c r="E1526" s="728"/>
    </row>
    <row r="1527" spans="2:5" s="521" customFormat="1">
      <c r="B1527" s="725"/>
      <c r="C1527" s="726"/>
      <c r="D1527" s="727"/>
      <c r="E1527" s="728"/>
    </row>
    <row r="1528" spans="2:5" s="521" customFormat="1">
      <c r="B1528" s="725"/>
      <c r="C1528" s="726"/>
      <c r="D1528" s="727"/>
      <c r="E1528" s="728"/>
    </row>
    <row r="1529" spans="2:5" s="521" customFormat="1">
      <c r="B1529" s="725"/>
      <c r="C1529" s="726"/>
      <c r="D1529" s="727"/>
      <c r="E1529" s="728"/>
    </row>
    <row r="1530" spans="2:5" s="521" customFormat="1">
      <c r="B1530" s="725"/>
      <c r="C1530" s="726"/>
      <c r="D1530" s="727"/>
      <c r="E1530" s="728"/>
    </row>
    <row r="1531" spans="2:5" s="521" customFormat="1">
      <c r="B1531" s="725"/>
      <c r="C1531" s="726"/>
      <c r="D1531" s="727"/>
      <c r="E1531" s="728"/>
    </row>
    <row r="1532" spans="2:5" s="521" customFormat="1">
      <c r="B1532" s="725"/>
      <c r="C1532" s="726"/>
      <c r="D1532" s="727"/>
      <c r="E1532" s="728"/>
    </row>
    <row r="1533" spans="2:5" s="521" customFormat="1">
      <c r="B1533" s="725"/>
      <c r="C1533" s="726"/>
      <c r="D1533" s="727"/>
      <c r="E1533" s="728"/>
    </row>
    <row r="1534" spans="2:5" s="521" customFormat="1">
      <c r="B1534" s="725"/>
      <c r="C1534" s="726"/>
      <c r="D1534" s="727"/>
      <c r="E1534" s="728"/>
    </row>
    <row r="1535" spans="2:5" s="521" customFormat="1">
      <c r="B1535" s="725"/>
      <c r="C1535" s="726"/>
      <c r="D1535" s="727"/>
      <c r="E1535" s="728"/>
    </row>
    <row r="1536" spans="2:5" s="521" customFormat="1">
      <c r="B1536" s="725"/>
      <c r="C1536" s="726"/>
      <c r="D1536" s="727"/>
      <c r="E1536" s="728"/>
    </row>
    <row r="1537" spans="2:5" s="521" customFormat="1">
      <c r="B1537" s="725"/>
      <c r="C1537" s="726"/>
      <c r="D1537" s="727"/>
      <c r="E1537" s="728"/>
    </row>
    <row r="1538" spans="2:5" s="521" customFormat="1">
      <c r="B1538" s="725"/>
      <c r="C1538" s="726"/>
      <c r="D1538" s="727"/>
      <c r="E1538" s="728"/>
    </row>
    <row r="1539" spans="2:5" s="521" customFormat="1">
      <c r="B1539" s="725"/>
      <c r="C1539" s="726"/>
      <c r="D1539" s="727"/>
      <c r="E1539" s="728"/>
    </row>
    <row r="1540" spans="2:5" s="521" customFormat="1">
      <c r="B1540" s="725"/>
      <c r="C1540" s="726"/>
      <c r="D1540" s="727"/>
      <c r="E1540" s="728"/>
    </row>
    <row r="1541" spans="2:5" s="521" customFormat="1">
      <c r="B1541" s="725"/>
      <c r="C1541" s="726"/>
      <c r="D1541" s="727"/>
      <c r="E1541" s="728"/>
    </row>
    <row r="1542" spans="2:5" s="521" customFormat="1">
      <c r="B1542" s="725"/>
      <c r="C1542" s="726"/>
      <c r="D1542" s="727"/>
      <c r="E1542" s="728"/>
    </row>
    <row r="1543" spans="2:5" s="521" customFormat="1">
      <c r="B1543" s="725"/>
      <c r="C1543" s="726"/>
      <c r="D1543" s="727"/>
      <c r="E1543" s="728"/>
    </row>
    <row r="1544" spans="2:5" s="521" customFormat="1">
      <c r="B1544" s="725"/>
      <c r="C1544" s="726"/>
      <c r="D1544" s="727"/>
      <c r="E1544" s="728"/>
    </row>
    <row r="1545" spans="2:5" s="521" customFormat="1">
      <c r="B1545" s="725"/>
      <c r="C1545" s="726"/>
      <c r="D1545" s="727"/>
      <c r="E1545" s="728"/>
    </row>
    <row r="1546" spans="2:5" s="521" customFormat="1">
      <c r="B1546" s="725"/>
      <c r="C1546" s="726"/>
      <c r="D1546" s="727"/>
      <c r="E1546" s="728"/>
    </row>
    <row r="1547" spans="2:5" s="521" customFormat="1">
      <c r="B1547" s="725"/>
      <c r="C1547" s="726"/>
      <c r="D1547" s="727"/>
      <c r="E1547" s="728"/>
    </row>
    <row r="1548" spans="2:5" s="521" customFormat="1">
      <c r="B1548" s="725"/>
      <c r="C1548" s="726"/>
      <c r="D1548" s="727"/>
      <c r="E1548" s="728"/>
    </row>
    <row r="1549" spans="2:5" s="521" customFormat="1">
      <c r="B1549" s="725"/>
      <c r="C1549" s="726"/>
      <c r="D1549" s="727"/>
      <c r="E1549" s="728"/>
    </row>
    <row r="1550" spans="2:5" s="521" customFormat="1">
      <c r="B1550" s="725"/>
      <c r="C1550" s="726"/>
      <c r="D1550" s="727"/>
      <c r="E1550" s="728"/>
    </row>
    <row r="1551" spans="2:5" s="521" customFormat="1">
      <c r="B1551" s="725"/>
      <c r="C1551" s="726"/>
      <c r="D1551" s="727"/>
      <c r="E1551" s="728"/>
    </row>
    <row r="1552" spans="2:5" s="521" customFormat="1">
      <c r="B1552" s="725"/>
      <c r="C1552" s="726"/>
      <c r="D1552" s="727"/>
      <c r="E1552" s="728"/>
    </row>
    <row r="1553" spans="2:5" s="521" customFormat="1">
      <c r="B1553" s="725"/>
      <c r="C1553" s="726"/>
      <c r="D1553" s="727"/>
      <c r="E1553" s="728"/>
    </row>
    <row r="1554" spans="2:5" s="521" customFormat="1">
      <c r="B1554" s="725"/>
      <c r="C1554" s="726"/>
      <c r="D1554" s="727"/>
      <c r="E1554" s="728"/>
    </row>
    <row r="1555" spans="2:5" s="521" customFormat="1">
      <c r="B1555" s="725"/>
      <c r="C1555" s="726"/>
      <c r="D1555" s="727"/>
      <c r="E1555" s="728"/>
    </row>
    <row r="1556" spans="2:5" s="521" customFormat="1">
      <c r="B1556" s="725"/>
      <c r="C1556" s="726"/>
      <c r="D1556" s="727"/>
      <c r="E1556" s="728"/>
    </row>
    <row r="1557" spans="2:5" s="521" customFormat="1">
      <c r="B1557" s="725"/>
      <c r="C1557" s="726"/>
      <c r="D1557" s="727"/>
      <c r="E1557" s="728"/>
    </row>
    <row r="1558" spans="2:5" s="521" customFormat="1">
      <c r="B1558" s="725"/>
      <c r="C1558" s="726"/>
      <c r="D1558" s="727"/>
      <c r="E1558" s="728"/>
    </row>
    <row r="1559" spans="2:5" s="521" customFormat="1">
      <c r="B1559" s="725"/>
      <c r="C1559" s="726"/>
      <c r="D1559" s="727"/>
      <c r="E1559" s="728"/>
    </row>
    <row r="1560" spans="2:5" s="521" customFormat="1">
      <c r="B1560" s="725"/>
      <c r="C1560" s="726"/>
      <c r="D1560" s="727"/>
      <c r="E1560" s="728"/>
    </row>
    <row r="1561" spans="2:5" s="521" customFormat="1">
      <c r="B1561" s="725"/>
      <c r="C1561" s="726"/>
      <c r="D1561" s="727"/>
      <c r="E1561" s="728"/>
    </row>
    <row r="1562" spans="2:5" s="521" customFormat="1">
      <c r="B1562" s="725"/>
      <c r="C1562" s="726"/>
      <c r="D1562" s="727"/>
      <c r="E1562" s="728"/>
    </row>
    <row r="1563" spans="2:5" s="521" customFormat="1">
      <c r="B1563" s="725"/>
      <c r="C1563" s="726"/>
      <c r="D1563" s="727"/>
      <c r="E1563" s="728"/>
    </row>
    <row r="1564" spans="2:5" s="521" customFormat="1">
      <c r="B1564" s="725"/>
      <c r="C1564" s="726"/>
      <c r="D1564" s="727"/>
      <c r="E1564" s="728"/>
    </row>
    <row r="1565" spans="2:5" s="521" customFormat="1">
      <c r="B1565" s="725"/>
      <c r="C1565" s="726"/>
      <c r="D1565" s="727"/>
      <c r="E1565" s="728"/>
    </row>
    <row r="1566" spans="2:5" s="521" customFormat="1">
      <c r="B1566" s="725"/>
      <c r="C1566" s="726"/>
      <c r="D1566" s="727"/>
      <c r="E1566" s="728"/>
    </row>
    <row r="1567" spans="2:5" s="521" customFormat="1">
      <c r="B1567" s="725"/>
      <c r="C1567" s="726"/>
      <c r="D1567" s="727"/>
      <c r="E1567" s="728"/>
    </row>
    <row r="1568" spans="2:5" s="521" customFormat="1">
      <c r="B1568" s="725"/>
      <c r="C1568" s="726"/>
      <c r="D1568" s="727"/>
      <c r="E1568" s="728"/>
    </row>
    <row r="1569" spans="2:5" s="521" customFormat="1">
      <c r="B1569" s="725"/>
      <c r="C1569" s="726"/>
      <c r="D1569" s="727"/>
      <c r="E1569" s="728"/>
    </row>
    <row r="1570" spans="2:5" s="521" customFormat="1">
      <c r="B1570" s="725"/>
      <c r="C1570" s="726"/>
      <c r="D1570" s="727"/>
      <c r="E1570" s="728"/>
    </row>
    <row r="1571" spans="2:5" s="521" customFormat="1">
      <c r="B1571" s="725"/>
      <c r="C1571" s="726"/>
      <c r="D1571" s="727"/>
      <c r="E1571" s="728"/>
    </row>
    <row r="1572" spans="2:5" s="521" customFormat="1">
      <c r="B1572" s="725"/>
      <c r="C1572" s="726"/>
      <c r="D1572" s="727"/>
      <c r="E1572" s="728"/>
    </row>
    <row r="1573" spans="2:5" s="521" customFormat="1">
      <c r="B1573" s="725"/>
      <c r="C1573" s="726"/>
      <c r="D1573" s="727"/>
      <c r="E1573" s="728"/>
    </row>
    <row r="1574" spans="2:5" s="521" customFormat="1">
      <c r="B1574" s="725"/>
      <c r="C1574" s="726"/>
      <c r="D1574" s="727"/>
      <c r="E1574" s="728"/>
    </row>
    <row r="1575" spans="2:5" s="521" customFormat="1">
      <c r="B1575" s="725"/>
      <c r="C1575" s="726"/>
      <c r="D1575" s="727"/>
      <c r="E1575" s="728"/>
    </row>
    <row r="1576" spans="2:5" s="521" customFormat="1">
      <c r="B1576" s="725"/>
      <c r="C1576" s="726"/>
      <c r="D1576" s="727"/>
      <c r="E1576" s="728"/>
    </row>
    <row r="1577" spans="2:5" s="521" customFormat="1">
      <c r="B1577" s="725"/>
      <c r="C1577" s="726"/>
      <c r="D1577" s="727"/>
      <c r="E1577" s="728"/>
    </row>
    <row r="1578" spans="2:5" s="521" customFormat="1">
      <c r="B1578" s="725"/>
      <c r="C1578" s="726"/>
      <c r="D1578" s="727"/>
      <c r="E1578" s="728"/>
    </row>
    <row r="1579" spans="2:5" s="521" customFormat="1">
      <c r="B1579" s="725"/>
      <c r="C1579" s="726"/>
      <c r="D1579" s="727"/>
      <c r="E1579" s="728"/>
    </row>
    <row r="1580" spans="2:5" s="521" customFormat="1">
      <c r="B1580" s="725"/>
      <c r="C1580" s="726"/>
      <c r="D1580" s="727"/>
      <c r="E1580" s="728"/>
    </row>
    <row r="1581" spans="2:5" s="521" customFormat="1">
      <c r="B1581" s="725"/>
      <c r="C1581" s="726"/>
      <c r="D1581" s="727"/>
      <c r="E1581" s="728"/>
    </row>
    <row r="1582" spans="2:5" s="521" customFormat="1">
      <c r="B1582" s="725"/>
      <c r="C1582" s="726"/>
      <c r="D1582" s="727"/>
      <c r="E1582" s="728"/>
    </row>
    <row r="1583" spans="2:5" s="521" customFormat="1">
      <c r="B1583" s="725"/>
      <c r="C1583" s="726"/>
      <c r="D1583" s="727"/>
      <c r="E1583" s="728"/>
    </row>
    <row r="1584" spans="2:5" s="521" customFormat="1">
      <c r="B1584" s="725"/>
      <c r="C1584" s="726"/>
      <c r="D1584" s="727"/>
      <c r="E1584" s="728"/>
    </row>
    <row r="1585" spans="2:5" s="521" customFormat="1">
      <c r="B1585" s="725"/>
      <c r="C1585" s="726"/>
      <c r="D1585" s="727"/>
      <c r="E1585" s="728"/>
    </row>
    <row r="1586" spans="2:5" s="521" customFormat="1">
      <c r="B1586" s="725"/>
      <c r="C1586" s="726"/>
      <c r="D1586" s="727"/>
      <c r="E1586" s="728"/>
    </row>
    <row r="1587" spans="2:5" s="521" customFormat="1">
      <c r="B1587" s="725"/>
      <c r="C1587" s="726"/>
      <c r="D1587" s="727"/>
      <c r="E1587" s="728"/>
    </row>
    <row r="1588" spans="2:5" s="521" customFormat="1">
      <c r="B1588" s="725"/>
      <c r="C1588" s="726"/>
      <c r="D1588" s="727"/>
      <c r="E1588" s="728"/>
    </row>
    <row r="1589" spans="2:5" s="521" customFormat="1">
      <c r="B1589" s="725"/>
      <c r="C1589" s="726"/>
      <c r="D1589" s="727"/>
      <c r="E1589" s="728"/>
    </row>
    <row r="1590" spans="2:5" s="521" customFormat="1">
      <c r="B1590" s="725"/>
      <c r="C1590" s="726"/>
      <c r="D1590" s="727"/>
      <c r="E1590" s="728"/>
    </row>
    <row r="1591" spans="2:5" s="521" customFormat="1">
      <c r="B1591" s="725"/>
      <c r="C1591" s="726"/>
      <c r="D1591" s="727"/>
      <c r="E1591" s="728"/>
    </row>
    <row r="1592" spans="2:5" s="521" customFormat="1">
      <c r="B1592" s="725"/>
      <c r="C1592" s="726"/>
      <c r="D1592" s="727"/>
      <c r="E1592" s="728"/>
    </row>
    <row r="1593" spans="2:5" s="521" customFormat="1">
      <c r="B1593" s="725"/>
      <c r="C1593" s="726"/>
      <c r="D1593" s="727"/>
      <c r="E1593" s="728"/>
    </row>
    <row r="1594" spans="2:5" s="521" customFormat="1">
      <c r="B1594" s="725"/>
      <c r="C1594" s="726"/>
      <c r="D1594" s="727"/>
      <c r="E1594" s="728"/>
    </row>
    <row r="1595" spans="2:5" s="521" customFormat="1">
      <c r="B1595" s="725"/>
      <c r="C1595" s="726"/>
      <c r="D1595" s="727"/>
      <c r="E1595" s="728"/>
    </row>
    <row r="1596" spans="2:5" s="521" customFormat="1">
      <c r="B1596" s="725"/>
      <c r="C1596" s="726"/>
      <c r="D1596" s="727"/>
      <c r="E1596" s="728"/>
    </row>
    <row r="1597" spans="2:5" s="521" customFormat="1">
      <c r="B1597" s="725"/>
      <c r="C1597" s="726"/>
      <c r="D1597" s="727"/>
      <c r="E1597" s="728"/>
    </row>
    <row r="1598" spans="2:5" s="521" customFormat="1">
      <c r="B1598" s="725"/>
      <c r="C1598" s="726"/>
      <c r="D1598" s="727"/>
      <c r="E1598" s="728"/>
    </row>
    <row r="1599" spans="2:5" s="521" customFormat="1">
      <c r="B1599" s="725"/>
      <c r="C1599" s="726"/>
      <c r="D1599" s="727"/>
      <c r="E1599" s="728"/>
    </row>
    <row r="1600" spans="2:5" s="521" customFormat="1">
      <c r="B1600" s="725"/>
      <c r="C1600" s="726"/>
      <c r="D1600" s="727"/>
      <c r="E1600" s="728"/>
    </row>
    <row r="1601" spans="2:5" s="521" customFormat="1">
      <c r="B1601" s="725"/>
      <c r="C1601" s="726"/>
      <c r="D1601" s="727"/>
      <c r="E1601" s="728"/>
    </row>
    <row r="1602" spans="2:5" s="521" customFormat="1">
      <c r="B1602" s="725"/>
      <c r="C1602" s="726"/>
      <c r="D1602" s="727"/>
      <c r="E1602" s="728"/>
    </row>
    <row r="1603" spans="2:5" s="521" customFormat="1">
      <c r="B1603" s="725"/>
      <c r="C1603" s="726"/>
      <c r="D1603" s="727"/>
      <c r="E1603" s="728"/>
    </row>
    <row r="1604" spans="2:5" s="521" customFormat="1">
      <c r="B1604" s="725"/>
      <c r="C1604" s="726"/>
      <c r="D1604" s="727"/>
      <c r="E1604" s="728"/>
    </row>
    <row r="1605" spans="2:5" s="521" customFormat="1">
      <c r="B1605" s="725"/>
      <c r="C1605" s="726"/>
      <c r="D1605" s="727"/>
      <c r="E1605" s="728"/>
    </row>
    <row r="1606" spans="2:5" s="521" customFormat="1">
      <c r="B1606" s="725"/>
      <c r="C1606" s="726"/>
      <c r="D1606" s="727"/>
      <c r="E1606" s="728"/>
    </row>
    <row r="1607" spans="2:5" s="521" customFormat="1">
      <c r="B1607" s="725"/>
      <c r="C1607" s="726"/>
      <c r="D1607" s="727"/>
      <c r="E1607" s="728"/>
    </row>
    <row r="1608" spans="2:5" s="521" customFormat="1">
      <c r="B1608" s="725"/>
      <c r="C1608" s="726"/>
      <c r="D1608" s="727"/>
      <c r="E1608" s="728"/>
    </row>
    <row r="1609" spans="2:5" s="521" customFormat="1">
      <c r="B1609" s="725"/>
      <c r="C1609" s="726"/>
      <c r="D1609" s="727"/>
      <c r="E1609" s="728"/>
    </row>
    <row r="1610" spans="2:5" s="521" customFormat="1">
      <c r="B1610" s="725"/>
      <c r="C1610" s="726"/>
      <c r="D1610" s="727"/>
      <c r="E1610" s="728"/>
    </row>
    <row r="1611" spans="2:5" s="521" customFormat="1">
      <c r="B1611" s="725"/>
      <c r="C1611" s="726"/>
      <c r="D1611" s="727"/>
      <c r="E1611" s="728"/>
    </row>
    <row r="1612" spans="2:5" s="521" customFormat="1">
      <c r="B1612" s="725"/>
      <c r="C1612" s="726"/>
      <c r="D1612" s="727"/>
      <c r="E1612" s="728"/>
    </row>
    <row r="1613" spans="2:5" s="521" customFormat="1">
      <c r="B1613" s="725"/>
      <c r="C1613" s="726"/>
      <c r="D1613" s="727"/>
      <c r="E1613" s="728"/>
    </row>
    <row r="1614" spans="2:5" s="521" customFormat="1">
      <c r="B1614" s="725"/>
      <c r="C1614" s="726"/>
      <c r="D1614" s="727"/>
      <c r="E1614" s="728"/>
    </row>
    <row r="1615" spans="2:5" s="521" customFormat="1">
      <c r="B1615" s="725"/>
      <c r="C1615" s="726"/>
      <c r="D1615" s="727"/>
      <c r="E1615" s="728"/>
    </row>
    <row r="1616" spans="2:5" s="521" customFormat="1">
      <c r="B1616" s="725"/>
      <c r="C1616" s="726"/>
      <c r="D1616" s="727"/>
      <c r="E1616" s="728"/>
    </row>
    <row r="1617" spans="2:5" s="521" customFormat="1">
      <c r="B1617" s="725"/>
      <c r="C1617" s="726"/>
      <c r="D1617" s="727"/>
      <c r="E1617" s="728"/>
    </row>
    <row r="1618" spans="2:5" s="521" customFormat="1">
      <c r="B1618" s="725"/>
      <c r="C1618" s="726"/>
      <c r="D1618" s="727"/>
      <c r="E1618" s="728"/>
    </row>
    <row r="1619" spans="2:5" s="521" customFormat="1">
      <c r="B1619" s="725"/>
      <c r="C1619" s="726"/>
      <c r="D1619" s="727"/>
      <c r="E1619" s="728"/>
    </row>
    <row r="1620" spans="2:5" s="521" customFormat="1">
      <c r="B1620" s="725"/>
      <c r="C1620" s="726"/>
      <c r="D1620" s="727"/>
      <c r="E1620" s="728"/>
    </row>
    <row r="1621" spans="2:5" s="521" customFormat="1">
      <c r="B1621" s="725"/>
      <c r="C1621" s="726"/>
      <c r="D1621" s="727"/>
      <c r="E1621" s="728"/>
    </row>
    <row r="1622" spans="2:5" s="521" customFormat="1">
      <c r="B1622" s="725"/>
      <c r="C1622" s="726"/>
      <c r="D1622" s="727"/>
      <c r="E1622" s="728"/>
    </row>
    <row r="1623" spans="2:5" s="521" customFormat="1">
      <c r="B1623" s="725"/>
      <c r="C1623" s="726"/>
      <c r="D1623" s="727"/>
      <c r="E1623" s="728"/>
    </row>
    <row r="1624" spans="2:5" s="521" customFormat="1">
      <c r="B1624" s="725"/>
      <c r="C1624" s="726"/>
      <c r="D1624" s="727"/>
      <c r="E1624" s="728"/>
    </row>
    <row r="1625" spans="2:5" s="521" customFormat="1">
      <c r="B1625" s="725"/>
      <c r="C1625" s="726"/>
      <c r="D1625" s="727"/>
      <c r="E1625" s="728"/>
    </row>
    <row r="1626" spans="2:5" s="521" customFormat="1">
      <c r="B1626" s="725"/>
      <c r="C1626" s="726"/>
      <c r="D1626" s="727"/>
      <c r="E1626" s="728"/>
    </row>
    <row r="1627" spans="2:5" s="521" customFormat="1">
      <c r="B1627" s="725"/>
      <c r="C1627" s="726"/>
      <c r="D1627" s="727"/>
      <c r="E1627" s="728"/>
    </row>
    <row r="1628" spans="2:5" s="521" customFormat="1">
      <c r="B1628" s="725"/>
      <c r="C1628" s="726"/>
      <c r="D1628" s="727"/>
      <c r="E1628" s="728"/>
    </row>
    <row r="1629" spans="2:5" s="521" customFormat="1">
      <c r="B1629" s="725"/>
      <c r="C1629" s="726"/>
      <c r="D1629" s="727"/>
      <c r="E1629" s="728"/>
    </row>
    <row r="1630" spans="2:5" s="521" customFormat="1">
      <c r="B1630" s="725"/>
      <c r="C1630" s="726"/>
      <c r="D1630" s="727"/>
      <c r="E1630" s="728"/>
    </row>
    <row r="1631" spans="2:5" s="521" customFormat="1">
      <c r="B1631" s="725"/>
      <c r="C1631" s="726"/>
      <c r="D1631" s="727"/>
      <c r="E1631" s="728"/>
    </row>
    <row r="1632" spans="2:5" s="521" customFormat="1">
      <c r="B1632" s="725"/>
      <c r="C1632" s="726"/>
      <c r="D1632" s="727"/>
      <c r="E1632" s="728"/>
    </row>
    <row r="1633" spans="2:5" s="521" customFormat="1">
      <c r="B1633" s="725"/>
      <c r="C1633" s="726"/>
      <c r="D1633" s="727"/>
      <c r="E1633" s="728"/>
    </row>
    <row r="1634" spans="2:5" s="521" customFormat="1">
      <c r="B1634" s="725"/>
      <c r="C1634" s="726"/>
      <c r="D1634" s="727"/>
      <c r="E1634" s="728"/>
    </row>
    <row r="1635" spans="2:5" s="521" customFormat="1">
      <c r="B1635" s="725"/>
      <c r="C1635" s="726"/>
      <c r="D1635" s="727"/>
      <c r="E1635" s="728"/>
    </row>
    <row r="1636" spans="2:5" s="521" customFormat="1">
      <c r="B1636" s="725"/>
      <c r="C1636" s="726"/>
      <c r="D1636" s="727"/>
      <c r="E1636" s="728"/>
    </row>
    <row r="1637" spans="2:5" s="521" customFormat="1">
      <c r="B1637" s="725"/>
      <c r="C1637" s="726"/>
      <c r="D1637" s="727"/>
      <c r="E1637" s="728"/>
    </row>
    <row r="1638" spans="2:5" s="521" customFormat="1">
      <c r="B1638" s="725"/>
      <c r="C1638" s="726"/>
      <c r="D1638" s="727"/>
      <c r="E1638" s="728"/>
    </row>
    <row r="1639" spans="2:5" s="521" customFormat="1">
      <c r="B1639" s="725"/>
      <c r="C1639" s="726"/>
      <c r="D1639" s="727"/>
      <c r="E1639" s="728"/>
    </row>
    <row r="1640" spans="2:5" s="521" customFormat="1">
      <c r="B1640" s="725"/>
      <c r="C1640" s="726"/>
      <c r="D1640" s="727"/>
      <c r="E1640" s="728"/>
    </row>
  </sheetData>
  <mergeCells count="45">
    <mergeCell ref="D2:F2"/>
    <mergeCell ref="D3:F3"/>
    <mergeCell ref="A5:B5"/>
    <mergeCell ref="E5:F5"/>
    <mergeCell ref="C6:C7"/>
    <mergeCell ref="D6:F7"/>
    <mergeCell ref="C113:C114"/>
    <mergeCell ref="D113:D114"/>
    <mergeCell ref="E113:F114"/>
    <mergeCell ref="C220:C221"/>
    <mergeCell ref="D220:D221"/>
    <mergeCell ref="E220:F221"/>
    <mergeCell ref="C342:C343"/>
    <mergeCell ref="D342:D343"/>
    <mergeCell ref="E342:F343"/>
    <mergeCell ref="C518:C519"/>
    <mergeCell ref="D518:D519"/>
    <mergeCell ref="E518:F519"/>
    <mergeCell ref="C581:C582"/>
    <mergeCell ref="D581:D582"/>
    <mergeCell ref="E581:F582"/>
    <mergeCell ref="C600:C601"/>
    <mergeCell ref="D600:D601"/>
    <mergeCell ref="E600:F601"/>
    <mergeCell ref="C619:C620"/>
    <mergeCell ref="D619:D620"/>
    <mergeCell ref="E619:F620"/>
    <mergeCell ref="C669:C670"/>
    <mergeCell ref="D669:D670"/>
    <mergeCell ref="E669:F670"/>
    <mergeCell ref="C733:C734"/>
    <mergeCell ref="D733:D734"/>
    <mergeCell ref="E733:F734"/>
    <mergeCell ref="C750:C751"/>
    <mergeCell ref="D750:D751"/>
    <mergeCell ref="E750:F751"/>
    <mergeCell ref="C934:C935"/>
    <mergeCell ref="D934:D935"/>
    <mergeCell ref="E934:F935"/>
    <mergeCell ref="C805:C806"/>
    <mergeCell ref="D805:D806"/>
    <mergeCell ref="E805:F806"/>
    <mergeCell ref="C900:C901"/>
    <mergeCell ref="D900:D901"/>
    <mergeCell ref="E900:F901"/>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defaultColWidth="10.85546875" defaultRowHeight="14.1"/>
  <cols>
    <col min="1" max="1" width="42.42578125" style="750" customWidth="1"/>
    <col min="2" max="2" width="17.28515625" style="819" bestFit="1" customWidth="1"/>
    <col min="3" max="3" width="98.85546875" style="800" customWidth="1"/>
    <col min="4" max="4" width="17.85546875" style="750" customWidth="1"/>
    <col min="5" max="5" width="15.42578125" style="330" customWidth="1"/>
    <col min="6" max="6" width="15.7109375" style="820" customWidth="1"/>
    <col min="7" max="8" width="12" style="750" bestFit="1" customWidth="1"/>
    <col min="9" max="9" width="11.42578125" style="750" bestFit="1" customWidth="1"/>
    <col min="10" max="13" width="10.85546875" style="750"/>
    <col min="14" max="60" width="10.85546875" style="752"/>
    <col min="61" max="16384" width="10.85546875" style="750"/>
  </cols>
  <sheetData>
    <row r="1" spans="1:60" ht="15" customHeight="1">
      <c r="A1" s="747"/>
      <c r="B1" s="748"/>
      <c r="C1" s="749"/>
      <c r="F1" s="821" t="s">
        <v>1458</v>
      </c>
      <c r="G1" s="751"/>
      <c r="H1" s="751"/>
      <c r="I1" s="751"/>
    </row>
    <row r="2" spans="1:60" s="757" customFormat="1" ht="27.75" customHeight="1">
      <c r="A2" s="753"/>
      <c r="B2" s="754"/>
      <c r="C2" s="755"/>
      <c r="D2" s="756" t="s">
        <v>1459</v>
      </c>
      <c r="F2" s="822"/>
      <c r="G2" s="756"/>
      <c r="H2" s="756"/>
      <c r="I2" s="756"/>
    </row>
    <row r="3" spans="1:60" s="757" customFormat="1" ht="15" customHeight="1">
      <c r="A3" s="753"/>
      <c r="B3" s="754"/>
      <c r="C3" s="758"/>
      <c r="F3" s="823" t="s">
        <v>1460</v>
      </c>
      <c r="G3" s="759"/>
      <c r="H3" s="759"/>
      <c r="I3" s="759"/>
    </row>
    <row r="4" spans="1:60" s="757" customFormat="1" ht="15">
      <c r="A4" s="760"/>
      <c r="B4" s="761"/>
      <c r="C4" s="762"/>
      <c r="F4" s="824" t="s">
        <v>506</v>
      </c>
      <c r="G4" s="763"/>
      <c r="H4" s="763"/>
      <c r="I4" s="763"/>
    </row>
    <row r="5" spans="1:60" s="768" customFormat="1" ht="15" customHeight="1">
      <c r="A5" s="1507"/>
      <c r="B5" s="1508"/>
      <c r="C5" s="764" t="s">
        <v>507</v>
      </c>
      <c r="D5" s="765" t="s">
        <v>508</v>
      </c>
      <c r="E5" s="1509">
        <f ca="1">(TODAY())</f>
        <v>46278</v>
      </c>
      <c r="F5" s="1510"/>
      <c r="G5" s="766"/>
      <c r="H5" s="767"/>
      <c r="I5" s="767"/>
      <c r="J5" s="767"/>
      <c r="K5" s="767"/>
      <c r="L5" s="767"/>
      <c r="M5" s="767"/>
      <c r="N5" s="767"/>
      <c r="O5" s="767"/>
      <c r="P5" s="767"/>
      <c r="Q5" s="767"/>
      <c r="R5" s="767"/>
      <c r="S5" s="767"/>
      <c r="T5" s="767"/>
      <c r="U5" s="767"/>
    </row>
    <row r="6" spans="1:60" s="768" customFormat="1" ht="15" customHeight="1">
      <c r="A6" s="769" t="s">
        <v>1461</v>
      </c>
      <c r="B6" s="770"/>
      <c r="C6" s="1505" t="s">
        <v>1462</v>
      </c>
      <c r="D6" s="771"/>
      <c r="E6" s="772"/>
      <c r="F6" s="773"/>
      <c r="G6" s="757"/>
      <c r="H6" s="767"/>
      <c r="I6" s="767"/>
      <c r="J6" s="767"/>
      <c r="K6" s="767"/>
      <c r="L6" s="767"/>
      <c r="M6" s="767"/>
      <c r="N6" s="774"/>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4"/>
      <c r="AT6" s="774"/>
      <c r="AU6" s="774"/>
      <c r="AV6" s="774"/>
      <c r="AW6" s="774"/>
      <c r="AX6" s="774"/>
      <c r="AY6" s="774"/>
      <c r="AZ6" s="774"/>
      <c r="BA6" s="774"/>
      <c r="BB6" s="774"/>
      <c r="BC6" s="774"/>
      <c r="BD6" s="774"/>
      <c r="BE6" s="774"/>
      <c r="BF6" s="774"/>
      <c r="BG6" s="774"/>
      <c r="BH6" s="774"/>
    </row>
    <row r="7" spans="1:60" s="782" customFormat="1" ht="20.100000000000001" customHeight="1">
      <c r="A7" s="775" t="s">
        <v>1463</v>
      </c>
      <c r="B7" s="776"/>
      <c r="C7" s="1506"/>
      <c r="D7" s="777"/>
      <c r="E7" s="778"/>
      <c r="F7" s="779"/>
      <c r="G7" s="757"/>
      <c r="H7" s="780"/>
      <c r="I7" s="780"/>
      <c r="J7" s="780"/>
      <c r="K7" s="780"/>
      <c r="L7" s="780"/>
      <c r="M7" s="780"/>
      <c r="N7" s="781"/>
      <c r="O7" s="781"/>
      <c r="P7" s="781"/>
      <c r="Q7" s="781"/>
      <c r="R7" s="781"/>
      <c r="S7" s="781"/>
      <c r="T7" s="781"/>
      <c r="U7" s="781"/>
      <c r="V7" s="781"/>
      <c r="W7" s="781"/>
      <c r="X7" s="781"/>
      <c r="Y7" s="781"/>
      <c r="Z7" s="781"/>
      <c r="AA7" s="781"/>
      <c r="AB7" s="781"/>
      <c r="AC7" s="781"/>
      <c r="AD7" s="781"/>
      <c r="AE7" s="781"/>
      <c r="AF7" s="781"/>
      <c r="AG7" s="781"/>
      <c r="AH7" s="781"/>
      <c r="AI7" s="781"/>
      <c r="AJ7" s="781"/>
      <c r="AK7" s="781"/>
      <c r="AL7" s="781"/>
      <c r="AM7" s="781"/>
      <c r="AN7" s="781"/>
      <c r="AO7" s="781"/>
      <c r="AP7" s="781"/>
      <c r="AQ7" s="781"/>
      <c r="AR7" s="781"/>
      <c r="AS7" s="781"/>
      <c r="AT7" s="781"/>
      <c r="AU7" s="781"/>
      <c r="AV7" s="781"/>
      <c r="AW7" s="781"/>
      <c r="AX7" s="781"/>
      <c r="AY7" s="781"/>
      <c r="AZ7" s="781"/>
      <c r="BA7" s="781"/>
      <c r="BB7" s="781"/>
      <c r="BC7" s="781"/>
      <c r="BD7" s="781"/>
      <c r="BE7" s="781"/>
      <c r="BF7" s="781"/>
      <c r="BG7" s="781"/>
      <c r="BH7" s="781"/>
    </row>
    <row r="8" spans="1:60" s="786" customFormat="1">
      <c r="A8" s="783" t="s">
        <v>512</v>
      </c>
      <c r="B8" s="784" t="s">
        <v>513</v>
      </c>
      <c r="C8" s="201" t="s">
        <v>514</v>
      </c>
      <c r="D8" s="783" t="s">
        <v>515</v>
      </c>
      <c r="E8" s="202" t="s">
        <v>516</v>
      </c>
      <c r="F8" s="785" t="s">
        <v>517</v>
      </c>
      <c r="G8" s="768"/>
      <c r="N8" s="787"/>
      <c r="O8" s="787"/>
      <c r="P8" s="787"/>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87"/>
      <c r="AS8" s="787"/>
      <c r="AT8" s="787"/>
      <c r="AU8" s="787"/>
      <c r="AV8" s="787"/>
      <c r="AW8" s="787"/>
      <c r="AX8" s="787"/>
      <c r="AY8" s="787"/>
      <c r="AZ8" s="787"/>
      <c r="BA8" s="787"/>
      <c r="BB8" s="787"/>
      <c r="BC8" s="787"/>
      <c r="BD8" s="787"/>
      <c r="BE8" s="787"/>
      <c r="BF8" s="787"/>
      <c r="BG8" s="787"/>
      <c r="BH8" s="787"/>
    </row>
    <row r="9" spans="1:60" ht="15" customHeight="1">
      <c r="A9" s="788"/>
      <c r="B9" s="789"/>
      <c r="C9" s="790" t="s">
        <v>1464</v>
      </c>
      <c r="D9" s="791"/>
      <c r="E9" s="210"/>
      <c r="F9" s="792"/>
      <c r="G9" s="757"/>
    </row>
    <row r="10" spans="1:60" ht="14.1" customHeight="1">
      <c r="A10" s="793"/>
      <c r="B10" s="794" t="s">
        <v>1465</v>
      </c>
      <c r="C10" s="795" t="s">
        <v>1466</v>
      </c>
      <c r="D10" s="796" t="s">
        <v>1467</v>
      </c>
      <c r="E10" s="216">
        <f>'[3]COSTO LUMBRO '!H10</f>
        <v>5648</v>
      </c>
      <c r="F10" s="259" t="s">
        <v>284</v>
      </c>
    </row>
    <row r="11" spans="1:60" ht="14.1" customHeight="1">
      <c r="A11" s="793"/>
      <c r="B11" s="794"/>
      <c r="C11" s="797" t="s">
        <v>1468</v>
      </c>
      <c r="D11" s="796"/>
      <c r="E11" s="216"/>
      <c r="F11" s="259"/>
    </row>
    <row r="12" spans="1:60" ht="14.1" customHeight="1">
      <c r="A12" s="793"/>
      <c r="B12" s="798"/>
      <c r="C12" s="799" t="s">
        <v>1469</v>
      </c>
      <c r="D12" s="796"/>
      <c r="E12" s="216"/>
      <c r="F12" s="259"/>
    </row>
    <row r="13" spans="1:60" ht="14.1" customHeight="1">
      <c r="A13" s="793"/>
      <c r="B13" s="794"/>
      <c r="D13" s="796"/>
      <c r="E13" s="216"/>
      <c r="F13" s="259"/>
    </row>
    <row r="14" spans="1:60" ht="14.1" customHeight="1">
      <c r="A14" s="793"/>
      <c r="B14" s="794"/>
      <c r="C14" s="801" t="s">
        <v>1470</v>
      </c>
      <c r="D14" s="796"/>
      <c r="E14" s="216"/>
      <c r="F14" s="259"/>
    </row>
    <row r="15" spans="1:60" ht="14.1" customHeight="1">
      <c r="A15" s="793"/>
      <c r="B15" s="794"/>
      <c r="C15" s="802" t="s">
        <v>1471</v>
      </c>
      <c r="D15" s="796"/>
      <c r="E15" s="216"/>
      <c r="F15" s="259"/>
    </row>
    <row r="16" spans="1:60" ht="14.1" customHeight="1">
      <c r="A16" s="793"/>
      <c r="B16" s="794"/>
      <c r="C16" s="803"/>
      <c r="D16" s="796"/>
      <c r="E16" s="216"/>
      <c r="F16" s="259"/>
    </row>
    <row r="17" spans="1:6" ht="14.1" customHeight="1">
      <c r="A17" s="793"/>
      <c r="B17" s="804"/>
      <c r="C17" s="797"/>
      <c r="D17" s="796"/>
      <c r="E17" s="222"/>
      <c r="F17" s="805"/>
    </row>
    <row r="18" spans="1:6" ht="14.1" customHeight="1">
      <c r="A18" s="793"/>
      <c r="B18" s="806"/>
      <c r="C18" s="807"/>
      <c r="D18" s="808"/>
      <c r="E18" s="227"/>
      <c r="F18" s="809"/>
    </row>
    <row r="19" spans="1:6" ht="15" customHeight="1">
      <c r="A19" s="788"/>
      <c r="B19" s="789"/>
      <c r="C19" s="790" t="s">
        <v>1472</v>
      </c>
      <c r="D19" s="791"/>
      <c r="E19" s="210"/>
      <c r="F19" s="211"/>
    </row>
    <row r="20" spans="1:6" ht="14.1" customHeight="1">
      <c r="A20" s="793"/>
      <c r="B20" s="794" t="s">
        <v>1465</v>
      </c>
      <c r="C20" s="795" t="s">
        <v>1473</v>
      </c>
      <c r="D20" s="796" t="s">
        <v>1467</v>
      </c>
      <c r="E20" s="216">
        <f>'[3]COSTO LUMBRO '!H20</f>
        <v>5848</v>
      </c>
      <c r="F20" s="259" t="s">
        <v>284</v>
      </c>
    </row>
    <row r="21" spans="1:6" ht="14.1" customHeight="1">
      <c r="A21" s="793"/>
      <c r="B21" s="794"/>
      <c r="C21" s="797" t="s">
        <v>1468</v>
      </c>
      <c r="D21" s="796"/>
      <c r="E21" s="810"/>
      <c r="F21" s="259"/>
    </row>
    <row r="22" spans="1:6" ht="14.1" customHeight="1">
      <c r="A22" s="793"/>
      <c r="B22" s="798"/>
      <c r="C22" s="799" t="s">
        <v>1469</v>
      </c>
      <c r="D22" s="796"/>
      <c r="E22" s="810"/>
      <c r="F22" s="259"/>
    </row>
    <row r="23" spans="1:6" ht="14.1" customHeight="1">
      <c r="A23" s="793"/>
      <c r="B23" s="794"/>
      <c r="D23" s="796"/>
      <c r="E23" s="810"/>
      <c r="F23" s="259"/>
    </row>
    <row r="24" spans="1:6" ht="14.1" customHeight="1">
      <c r="A24" s="793"/>
      <c r="B24" s="794"/>
      <c r="C24" s="801" t="s">
        <v>1470</v>
      </c>
      <c r="D24" s="796"/>
      <c r="E24" s="810"/>
      <c r="F24" s="259"/>
    </row>
    <row r="25" spans="1:6" ht="14.1" customHeight="1">
      <c r="A25" s="793"/>
      <c r="B25" s="794"/>
      <c r="C25" s="802" t="s">
        <v>1471</v>
      </c>
      <c r="D25" s="796"/>
      <c r="E25" s="810"/>
      <c r="F25" s="259"/>
    </row>
    <row r="26" spans="1:6" ht="14.1" customHeight="1">
      <c r="A26" s="793"/>
      <c r="B26" s="794"/>
      <c r="C26" s="803"/>
      <c r="D26" s="796"/>
      <c r="E26" s="810"/>
      <c r="F26" s="259"/>
    </row>
    <row r="27" spans="1:6" ht="14.1" customHeight="1">
      <c r="A27" s="793"/>
      <c r="B27" s="798"/>
      <c r="C27" s="803"/>
      <c r="D27" s="796"/>
      <c r="E27" s="810"/>
      <c r="F27" s="259"/>
    </row>
    <row r="28" spans="1:6" ht="14.1" customHeight="1">
      <c r="A28" s="793"/>
      <c r="B28" s="798"/>
      <c r="C28" s="803"/>
      <c r="D28" s="796"/>
      <c r="E28" s="810"/>
      <c r="F28" s="259"/>
    </row>
    <row r="29" spans="1:6" ht="14.1" customHeight="1">
      <c r="A29" s="793"/>
      <c r="B29" s="798"/>
      <c r="C29" s="797"/>
      <c r="D29" s="796"/>
      <c r="E29" s="810"/>
      <c r="F29" s="259"/>
    </row>
    <row r="30" spans="1:6">
      <c r="A30" s="788"/>
      <c r="B30" s="789"/>
      <c r="C30" s="790" t="s">
        <v>1474</v>
      </c>
      <c r="D30" s="791"/>
      <c r="E30" s="210"/>
      <c r="F30" s="211"/>
    </row>
    <row r="31" spans="1:6">
      <c r="A31" s="793"/>
      <c r="B31" s="794" t="s">
        <v>1475</v>
      </c>
      <c r="C31" s="795" t="s">
        <v>1476</v>
      </c>
      <c r="D31" s="796" t="s">
        <v>1467</v>
      </c>
      <c r="E31" s="216">
        <f>'[3]COSTO LUMBRO '!H31</f>
        <v>2928</v>
      </c>
      <c r="F31" s="259" t="s">
        <v>284</v>
      </c>
    </row>
    <row r="32" spans="1:6">
      <c r="A32" s="793"/>
      <c r="B32" s="794"/>
      <c r="C32" s="797" t="s">
        <v>1477</v>
      </c>
      <c r="D32" s="796"/>
      <c r="E32" s="810"/>
      <c r="F32" s="259"/>
    </row>
    <row r="33" spans="1:6">
      <c r="A33" s="793"/>
      <c r="B33" s="798"/>
      <c r="C33" s="799" t="s">
        <v>1469</v>
      </c>
      <c r="D33" s="796"/>
      <c r="E33" s="810"/>
      <c r="F33" s="259"/>
    </row>
    <row r="34" spans="1:6">
      <c r="A34" s="793"/>
      <c r="B34" s="794"/>
      <c r="D34" s="796"/>
      <c r="E34" s="810"/>
      <c r="F34" s="259"/>
    </row>
    <row r="35" spans="1:6">
      <c r="A35" s="793"/>
      <c r="B35" s="794"/>
      <c r="C35" s="801" t="s">
        <v>1470</v>
      </c>
      <c r="D35" s="796"/>
      <c r="E35" s="810"/>
      <c r="F35" s="259"/>
    </row>
    <row r="36" spans="1:6">
      <c r="A36" s="793"/>
      <c r="B36" s="794"/>
      <c r="C36" s="802" t="s">
        <v>1471</v>
      </c>
      <c r="D36" s="796"/>
      <c r="E36" s="810"/>
      <c r="F36" s="259"/>
    </row>
    <row r="37" spans="1:6">
      <c r="A37" s="793"/>
      <c r="B37" s="794"/>
      <c r="C37" s="803"/>
      <c r="D37" s="796"/>
      <c r="E37" s="810"/>
      <c r="F37" s="259"/>
    </row>
    <row r="38" spans="1:6">
      <c r="A38" s="793"/>
      <c r="B38" s="804"/>
      <c r="C38" s="797"/>
      <c r="D38" s="796"/>
      <c r="E38" s="810"/>
      <c r="F38" s="259"/>
    </row>
    <row r="39" spans="1:6">
      <c r="A39" s="793"/>
      <c r="B39" s="806"/>
      <c r="C39" s="807"/>
      <c r="D39" s="808"/>
      <c r="E39" s="810"/>
      <c r="F39" s="259"/>
    </row>
    <row r="40" spans="1:6">
      <c r="A40" s="788"/>
      <c r="B40" s="789"/>
      <c r="C40" s="790" t="s">
        <v>1478</v>
      </c>
      <c r="D40" s="791"/>
      <c r="E40" s="210"/>
      <c r="F40" s="211"/>
    </row>
    <row r="41" spans="1:6">
      <c r="A41" s="793"/>
      <c r="B41" s="794" t="s">
        <v>1475</v>
      </c>
      <c r="C41" s="795" t="s">
        <v>1476</v>
      </c>
      <c r="D41" s="796" t="s">
        <v>1467</v>
      </c>
      <c r="E41" s="216">
        <f>'[3]COSTO LUMBRO '!H41</f>
        <v>3068</v>
      </c>
      <c r="F41" s="259" t="s">
        <v>284</v>
      </c>
    </row>
    <row r="42" spans="1:6">
      <c r="A42" s="793"/>
      <c r="B42" s="794"/>
      <c r="C42" s="797" t="s">
        <v>1477</v>
      </c>
      <c r="D42" s="796"/>
      <c r="E42" s="810"/>
      <c r="F42" s="259"/>
    </row>
    <row r="43" spans="1:6">
      <c r="A43" s="793"/>
      <c r="B43" s="798"/>
      <c r="C43" s="799" t="s">
        <v>1469</v>
      </c>
      <c r="D43" s="796"/>
      <c r="E43" s="810"/>
      <c r="F43" s="259"/>
    </row>
    <row r="44" spans="1:6">
      <c r="A44" s="793"/>
      <c r="B44" s="794"/>
      <c r="D44" s="796"/>
      <c r="E44" s="810"/>
      <c r="F44" s="259"/>
    </row>
    <row r="45" spans="1:6">
      <c r="A45" s="793"/>
      <c r="B45" s="794"/>
      <c r="C45" s="801" t="s">
        <v>1470</v>
      </c>
      <c r="D45" s="796"/>
      <c r="E45" s="810"/>
      <c r="F45" s="259"/>
    </row>
    <row r="46" spans="1:6">
      <c r="A46" s="793"/>
      <c r="B46" s="794"/>
      <c r="C46" s="802" t="s">
        <v>1471</v>
      </c>
      <c r="D46" s="796"/>
      <c r="E46" s="810"/>
      <c r="F46" s="259"/>
    </row>
    <row r="47" spans="1:6">
      <c r="A47" s="793"/>
      <c r="B47" s="794"/>
      <c r="C47" s="803"/>
      <c r="D47" s="796"/>
      <c r="E47" s="810"/>
      <c r="F47" s="259"/>
    </row>
    <row r="48" spans="1:6">
      <c r="A48" s="793"/>
      <c r="B48" s="804"/>
      <c r="C48" s="797"/>
      <c r="D48" s="796"/>
      <c r="E48" s="810"/>
      <c r="F48" s="259"/>
    </row>
    <row r="49" spans="1:6">
      <c r="A49" s="793"/>
      <c r="B49" s="806"/>
      <c r="C49" s="807"/>
      <c r="D49" s="808"/>
      <c r="E49" s="810"/>
      <c r="F49" s="259"/>
    </row>
    <row r="50" spans="1:6">
      <c r="A50" s="788"/>
      <c r="B50" s="789"/>
      <c r="C50" s="790" t="s">
        <v>1479</v>
      </c>
      <c r="D50" s="791"/>
      <c r="E50" s="210"/>
      <c r="F50" s="211"/>
    </row>
    <row r="51" spans="1:6">
      <c r="A51" s="793"/>
      <c r="B51" s="794" t="s">
        <v>1480</v>
      </c>
      <c r="C51" s="795" t="s">
        <v>1481</v>
      </c>
      <c r="D51" s="796" t="s">
        <v>1482</v>
      </c>
      <c r="E51" s="216">
        <f>'[3]COSTO LUMBRO '!H51</f>
        <v>6278</v>
      </c>
      <c r="F51" s="259" t="s">
        <v>284</v>
      </c>
    </row>
    <row r="52" spans="1:6">
      <c r="A52" s="793"/>
      <c r="B52" s="794"/>
      <c r="C52" s="797" t="s">
        <v>1483</v>
      </c>
      <c r="D52" s="796"/>
      <c r="E52" s="810"/>
      <c r="F52" s="259"/>
    </row>
    <row r="53" spans="1:6">
      <c r="A53" s="793"/>
      <c r="B53" s="798"/>
      <c r="C53" s="799" t="s">
        <v>1469</v>
      </c>
      <c r="D53" s="796"/>
      <c r="E53" s="810"/>
      <c r="F53" s="259"/>
    </row>
    <row r="54" spans="1:6">
      <c r="A54" s="793"/>
      <c r="B54" s="794"/>
      <c r="D54" s="796"/>
      <c r="E54" s="810"/>
      <c r="F54" s="259"/>
    </row>
    <row r="55" spans="1:6">
      <c r="A55" s="793"/>
      <c r="B55" s="794"/>
      <c r="C55" s="801" t="s">
        <v>1484</v>
      </c>
      <c r="D55" s="796"/>
      <c r="E55" s="810"/>
      <c r="F55" s="259"/>
    </row>
    <row r="56" spans="1:6">
      <c r="A56" s="793"/>
      <c r="B56" s="794"/>
      <c r="C56" s="802" t="s">
        <v>1471</v>
      </c>
      <c r="D56" s="796"/>
      <c r="E56" s="810"/>
      <c r="F56" s="259"/>
    </row>
    <row r="57" spans="1:6">
      <c r="A57" s="793"/>
      <c r="B57" s="794"/>
      <c r="C57" s="803"/>
      <c r="D57" s="796"/>
      <c r="E57" s="810"/>
      <c r="F57" s="259"/>
    </row>
    <row r="58" spans="1:6">
      <c r="A58" s="793"/>
      <c r="B58" s="804"/>
      <c r="C58" s="797"/>
      <c r="D58" s="796"/>
      <c r="E58" s="810"/>
      <c r="F58" s="259"/>
    </row>
    <row r="59" spans="1:6">
      <c r="A59" s="793"/>
      <c r="B59" s="806"/>
      <c r="C59" s="807"/>
      <c r="D59" s="808"/>
      <c r="E59" s="810"/>
      <c r="F59" s="259"/>
    </row>
    <row r="60" spans="1:6">
      <c r="A60" s="788"/>
      <c r="B60" s="789"/>
      <c r="C60" s="790" t="s">
        <v>1485</v>
      </c>
      <c r="D60" s="791"/>
      <c r="E60" s="210"/>
      <c r="F60" s="211"/>
    </row>
    <row r="61" spans="1:6">
      <c r="A61" s="793"/>
      <c r="B61" s="794" t="s">
        <v>1486</v>
      </c>
      <c r="C61" s="795" t="s">
        <v>1487</v>
      </c>
      <c r="D61" s="796" t="s">
        <v>1488</v>
      </c>
      <c r="E61" s="216">
        <f>'[3]COSTO LUMBRO '!H61</f>
        <v>6708</v>
      </c>
      <c r="F61" s="259" t="s">
        <v>284</v>
      </c>
    </row>
    <row r="62" spans="1:6">
      <c r="A62" s="793"/>
      <c r="B62" s="794"/>
      <c r="C62" s="797" t="s">
        <v>1489</v>
      </c>
      <c r="D62" s="796"/>
      <c r="E62" s="810"/>
      <c r="F62" s="259"/>
    </row>
    <row r="63" spans="1:6">
      <c r="A63" s="793"/>
      <c r="B63" s="798"/>
      <c r="C63" s="799" t="s">
        <v>1490</v>
      </c>
      <c r="D63" s="796"/>
      <c r="E63" s="810"/>
      <c r="F63" s="259"/>
    </row>
    <row r="64" spans="1:6">
      <c r="A64" s="793"/>
      <c r="B64" s="794"/>
      <c r="D64" s="796"/>
      <c r="E64" s="810"/>
      <c r="F64" s="259"/>
    </row>
    <row r="65" spans="1:6">
      <c r="A65" s="793"/>
      <c r="B65" s="794"/>
      <c r="C65" s="801" t="s">
        <v>1491</v>
      </c>
      <c r="D65" s="796"/>
      <c r="E65" s="810"/>
      <c r="F65" s="259"/>
    </row>
    <row r="66" spans="1:6">
      <c r="A66" s="793"/>
      <c r="B66" s="794"/>
      <c r="C66" s="802" t="s">
        <v>1471</v>
      </c>
      <c r="D66" s="796"/>
      <c r="E66" s="810"/>
      <c r="F66" s="259"/>
    </row>
    <row r="67" spans="1:6">
      <c r="A67" s="793"/>
      <c r="B67" s="794"/>
      <c r="C67" s="803"/>
      <c r="D67" s="796"/>
      <c r="E67" s="810"/>
      <c r="F67" s="259"/>
    </row>
    <row r="68" spans="1:6">
      <c r="A68" s="793"/>
      <c r="B68" s="804"/>
      <c r="C68" s="797"/>
      <c r="D68" s="796"/>
      <c r="E68" s="810"/>
      <c r="F68" s="259"/>
    </row>
    <row r="69" spans="1:6">
      <c r="A69" s="793"/>
      <c r="B69" s="806"/>
      <c r="C69" s="807"/>
      <c r="D69" s="808"/>
      <c r="E69" s="810"/>
      <c r="F69" s="259"/>
    </row>
    <row r="70" spans="1:6">
      <c r="A70" s="788"/>
      <c r="B70" s="789"/>
      <c r="C70" s="790" t="s">
        <v>1492</v>
      </c>
      <c r="D70" s="791"/>
      <c r="E70" s="210"/>
      <c r="F70" s="211"/>
    </row>
    <row r="71" spans="1:6">
      <c r="A71" s="793"/>
      <c r="B71" s="794" t="s">
        <v>1486</v>
      </c>
      <c r="C71" s="795" t="s">
        <v>1493</v>
      </c>
      <c r="D71" s="796" t="s">
        <v>1488</v>
      </c>
      <c r="E71" s="216">
        <f>'[3]COSTO LUMBRO '!H71</f>
        <v>6908</v>
      </c>
      <c r="F71" s="259" t="s">
        <v>284</v>
      </c>
    </row>
    <row r="72" spans="1:6">
      <c r="A72" s="793"/>
      <c r="B72" s="794"/>
      <c r="C72" s="797" t="s">
        <v>1494</v>
      </c>
      <c r="D72" s="796"/>
      <c r="E72" s="810"/>
      <c r="F72" s="259"/>
    </row>
    <row r="73" spans="1:6">
      <c r="A73" s="793"/>
      <c r="B73" s="798"/>
      <c r="C73" s="799" t="s">
        <v>1490</v>
      </c>
      <c r="D73" s="796"/>
      <c r="E73" s="810"/>
      <c r="F73" s="259"/>
    </row>
    <row r="74" spans="1:6">
      <c r="A74" s="793"/>
      <c r="B74" s="794"/>
      <c r="D74" s="796"/>
      <c r="E74" s="810"/>
      <c r="F74" s="259"/>
    </row>
    <row r="75" spans="1:6">
      <c r="A75" s="793"/>
      <c r="B75" s="794"/>
      <c r="C75" s="801" t="s">
        <v>1491</v>
      </c>
      <c r="D75" s="796"/>
      <c r="E75" s="810"/>
      <c r="F75" s="259"/>
    </row>
    <row r="76" spans="1:6">
      <c r="A76" s="793"/>
      <c r="B76" s="794"/>
      <c r="C76" s="802" t="s">
        <v>1471</v>
      </c>
      <c r="D76" s="796"/>
      <c r="E76" s="810"/>
      <c r="F76" s="259"/>
    </row>
    <row r="77" spans="1:6">
      <c r="A77" s="793"/>
      <c r="B77" s="794"/>
      <c r="C77" s="803"/>
      <c r="D77" s="796"/>
      <c r="E77" s="810"/>
      <c r="F77" s="259"/>
    </row>
    <row r="78" spans="1:6">
      <c r="A78" s="793"/>
      <c r="B78" s="804"/>
      <c r="C78" s="797"/>
      <c r="D78" s="796"/>
      <c r="E78" s="810"/>
      <c r="F78" s="259"/>
    </row>
    <row r="79" spans="1:6">
      <c r="A79" s="811"/>
      <c r="B79" s="806"/>
      <c r="C79" s="812"/>
      <c r="D79" s="813"/>
      <c r="E79" s="810"/>
      <c r="F79" s="259"/>
    </row>
    <row r="80" spans="1:6">
      <c r="A80" s="788"/>
      <c r="B80" s="789"/>
      <c r="C80" s="790" t="s">
        <v>1495</v>
      </c>
      <c r="D80" s="791"/>
      <c r="E80" s="210"/>
      <c r="F80" s="211"/>
    </row>
    <row r="81" spans="1:6">
      <c r="A81" s="793"/>
      <c r="B81" s="794" t="s">
        <v>1496</v>
      </c>
      <c r="C81" s="795" t="s">
        <v>1497</v>
      </c>
      <c r="D81" s="796" t="s">
        <v>1498</v>
      </c>
      <c r="E81" s="216">
        <f>'[3]COSTO LUMBRO '!H81</f>
        <v>1448</v>
      </c>
      <c r="F81" s="259" t="s">
        <v>284</v>
      </c>
    </row>
    <row r="82" spans="1:6">
      <c r="A82" s="793"/>
      <c r="B82" s="794"/>
      <c r="C82" s="797" t="s">
        <v>1499</v>
      </c>
      <c r="D82" s="796"/>
      <c r="E82" s="810"/>
      <c r="F82" s="259"/>
    </row>
    <row r="83" spans="1:6">
      <c r="A83" s="793"/>
      <c r="B83" s="798"/>
      <c r="C83" s="799" t="s">
        <v>1469</v>
      </c>
      <c r="D83" s="796"/>
      <c r="E83" s="810"/>
      <c r="F83" s="259"/>
    </row>
    <row r="84" spans="1:6">
      <c r="A84" s="793"/>
      <c r="B84" s="794"/>
      <c r="D84" s="796"/>
      <c r="E84" s="810"/>
      <c r="F84" s="259"/>
    </row>
    <row r="85" spans="1:6">
      <c r="A85" s="793"/>
      <c r="B85" s="794"/>
      <c r="C85" s="801" t="s">
        <v>1500</v>
      </c>
      <c r="D85" s="796"/>
      <c r="E85" s="810"/>
      <c r="F85" s="259"/>
    </row>
    <row r="86" spans="1:6">
      <c r="A86" s="793"/>
      <c r="B86" s="794"/>
      <c r="C86" s="802" t="s">
        <v>1471</v>
      </c>
      <c r="D86" s="796"/>
      <c r="E86" s="810"/>
      <c r="F86" s="259"/>
    </row>
    <row r="87" spans="1:6">
      <c r="A87" s="793"/>
      <c r="B87" s="794"/>
      <c r="C87" s="803"/>
      <c r="D87" s="796"/>
      <c r="E87" s="810"/>
      <c r="F87" s="259"/>
    </row>
    <row r="88" spans="1:6">
      <c r="A88" s="793"/>
      <c r="B88" s="804"/>
      <c r="C88" s="797"/>
      <c r="D88" s="796"/>
      <c r="E88" s="810"/>
      <c r="F88" s="259"/>
    </row>
    <row r="89" spans="1:6">
      <c r="A89" s="811"/>
      <c r="B89" s="806"/>
      <c r="C89" s="812"/>
      <c r="D89" s="813"/>
      <c r="E89" s="810"/>
      <c r="F89" s="259"/>
    </row>
    <row r="90" spans="1:6">
      <c r="A90" s="788"/>
      <c r="B90" s="789"/>
      <c r="C90" s="790" t="s">
        <v>1501</v>
      </c>
      <c r="D90" s="791"/>
      <c r="E90" s="210"/>
      <c r="F90" s="211"/>
    </row>
    <row r="91" spans="1:6">
      <c r="A91" s="793"/>
      <c r="B91" s="794" t="s">
        <v>1496</v>
      </c>
      <c r="C91" s="795" t="s">
        <v>1502</v>
      </c>
      <c r="D91" s="796" t="s">
        <v>1498</v>
      </c>
      <c r="E91" s="216">
        <f>'[3]COSTO LUMBRO '!H91</f>
        <v>1648</v>
      </c>
      <c r="F91" s="259" t="s">
        <v>284</v>
      </c>
    </row>
    <row r="92" spans="1:6">
      <c r="A92" s="793"/>
      <c r="B92" s="794"/>
      <c r="C92" s="797" t="s">
        <v>1499</v>
      </c>
      <c r="D92" s="796"/>
      <c r="E92" s="810"/>
      <c r="F92" s="259"/>
    </row>
    <row r="93" spans="1:6">
      <c r="A93" s="793"/>
      <c r="B93" s="798"/>
      <c r="C93" s="799" t="s">
        <v>1469</v>
      </c>
      <c r="D93" s="796"/>
      <c r="E93" s="810"/>
      <c r="F93" s="259"/>
    </row>
    <row r="94" spans="1:6">
      <c r="A94" s="793"/>
      <c r="B94" s="794"/>
      <c r="D94" s="796"/>
      <c r="E94" s="810"/>
      <c r="F94" s="259"/>
    </row>
    <row r="95" spans="1:6">
      <c r="A95" s="793"/>
      <c r="B95" s="794"/>
      <c r="C95" s="801" t="s">
        <v>1500</v>
      </c>
      <c r="D95" s="796"/>
      <c r="E95" s="810"/>
      <c r="F95" s="259"/>
    </row>
    <row r="96" spans="1:6">
      <c r="A96" s="793"/>
      <c r="B96" s="794"/>
      <c r="C96" s="802" t="s">
        <v>1471</v>
      </c>
      <c r="D96" s="796"/>
      <c r="E96" s="810"/>
      <c r="F96" s="259"/>
    </row>
    <row r="97" spans="1:6">
      <c r="A97" s="793"/>
      <c r="B97" s="794"/>
      <c r="C97" s="803"/>
      <c r="D97" s="796"/>
      <c r="E97" s="810"/>
      <c r="F97" s="259"/>
    </row>
    <row r="98" spans="1:6">
      <c r="A98" s="793"/>
      <c r="B98" s="804"/>
      <c r="C98" s="797"/>
      <c r="D98" s="796"/>
      <c r="E98" s="810"/>
      <c r="F98" s="259"/>
    </row>
    <row r="99" spans="1:6">
      <c r="A99" s="811"/>
      <c r="B99" s="806"/>
      <c r="C99" s="812"/>
      <c r="D99" s="813"/>
      <c r="E99" s="810"/>
      <c r="F99" s="259"/>
    </row>
    <row r="100" spans="1:6">
      <c r="A100" s="788"/>
      <c r="B100" s="789"/>
      <c r="C100" s="790" t="s">
        <v>1503</v>
      </c>
      <c r="D100" s="791"/>
      <c r="E100" s="210"/>
      <c r="F100" s="211"/>
    </row>
    <row r="101" spans="1:6">
      <c r="A101" s="793"/>
      <c r="B101" s="794" t="s">
        <v>1504</v>
      </c>
      <c r="C101" s="795" t="s">
        <v>1505</v>
      </c>
      <c r="D101" s="796" t="s">
        <v>1506</v>
      </c>
      <c r="E101" s="216">
        <f>'[3]COSTO LUMBRO '!H101</f>
        <v>780</v>
      </c>
      <c r="F101" s="259" t="s">
        <v>284</v>
      </c>
    </row>
    <row r="102" spans="1:6">
      <c r="A102" s="793"/>
      <c r="B102" s="794"/>
      <c r="C102" s="799" t="s">
        <v>1469</v>
      </c>
      <c r="D102" s="796"/>
      <c r="E102" s="810"/>
      <c r="F102" s="259"/>
    </row>
    <row r="103" spans="1:6">
      <c r="A103" s="793"/>
      <c r="B103" s="798"/>
      <c r="C103" s="750"/>
      <c r="D103" s="796"/>
      <c r="E103" s="810"/>
      <c r="F103" s="259"/>
    </row>
    <row r="104" spans="1:6">
      <c r="A104" s="793"/>
      <c r="B104" s="794"/>
      <c r="D104" s="796"/>
      <c r="E104" s="810"/>
      <c r="F104" s="259"/>
    </row>
    <row r="105" spans="1:6">
      <c r="A105" s="793"/>
      <c r="B105" s="794"/>
      <c r="C105" s="801" t="s">
        <v>1507</v>
      </c>
      <c r="D105" s="796"/>
      <c r="E105" s="810"/>
      <c r="F105" s="259"/>
    </row>
    <row r="106" spans="1:6">
      <c r="A106" s="793"/>
      <c r="B106" s="794"/>
      <c r="C106" s="802" t="s">
        <v>1471</v>
      </c>
      <c r="D106" s="796"/>
      <c r="E106" s="810"/>
      <c r="F106" s="259"/>
    </row>
    <row r="107" spans="1:6">
      <c r="A107" s="793"/>
      <c r="B107" s="794"/>
      <c r="C107" s="803"/>
      <c r="D107" s="796"/>
      <c r="E107" s="810"/>
      <c r="F107" s="259"/>
    </row>
    <row r="108" spans="1:6">
      <c r="A108" s="811"/>
      <c r="B108" s="806"/>
      <c r="C108" s="812"/>
      <c r="D108" s="813"/>
      <c r="E108" s="810"/>
      <c r="F108" s="259"/>
    </row>
    <row r="109" spans="1:6">
      <c r="A109" s="788"/>
      <c r="B109" s="789"/>
      <c r="C109" s="790" t="s">
        <v>1508</v>
      </c>
      <c r="D109" s="791"/>
      <c r="E109" s="210"/>
      <c r="F109" s="211"/>
    </row>
    <row r="110" spans="1:6">
      <c r="A110" s="793"/>
      <c r="B110" s="794" t="s">
        <v>1509</v>
      </c>
      <c r="C110" s="795" t="s">
        <v>1510</v>
      </c>
      <c r="D110" s="796" t="s">
        <v>1511</v>
      </c>
      <c r="E110" s="216">
        <f>'[3]COSTO LUMBRO '!H110</f>
        <v>1774</v>
      </c>
      <c r="F110" s="259" t="s">
        <v>284</v>
      </c>
    </row>
    <row r="111" spans="1:6">
      <c r="A111" s="793"/>
      <c r="B111" s="794"/>
      <c r="C111" s="797" t="s">
        <v>1499</v>
      </c>
      <c r="D111" s="796"/>
      <c r="E111" s="810"/>
      <c r="F111" s="259"/>
    </row>
    <row r="112" spans="1:6">
      <c r="A112" s="793"/>
      <c r="B112" s="798"/>
      <c r="C112" s="799" t="s">
        <v>1469</v>
      </c>
      <c r="D112" s="796"/>
      <c r="E112" s="810"/>
      <c r="F112" s="259"/>
    </row>
    <row r="113" spans="1:6">
      <c r="A113" s="793"/>
      <c r="B113" s="794"/>
      <c r="D113" s="796"/>
      <c r="E113" s="810"/>
      <c r="F113" s="259"/>
    </row>
    <row r="114" spans="1:6">
      <c r="A114" s="793"/>
      <c r="B114" s="794"/>
      <c r="C114" s="801" t="s">
        <v>1512</v>
      </c>
      <c r="D114" s="796"/>
      <c r="E114" s="810"/>
      <c r="F114" s="259"/>
    </row>
    <row r="115" spans="1:6">
      <c r="A115" s="793"/>
      <c r="B115" s="794"/>
      <c r="C115" s="802" t="s">
        <v>1471</v>
      </c>
      <c r="D115" s="796"/>
      <c r="E115" s="810"/>
      <c r="F115" s="259"/>
    </row>
    <row r="116" spans="1:6">
      <c r="A116" s="793"/>
      <c r="B116" s="794"/>
      <c r="C116" s="803"/>
      <c r="D116" s="796"/>
      <c r="E116" s="810"/>
      <c r="F116" s="259"/>
    </row>
    <row r="117" spans="1:6">
      <c r="A117" s="793"/>
      <c r="B117" s="804"/>
      <c r="C117" s="797"/>
      <c r="D117" s="796"/>
      <c r="E117" s="810"/>
      <c r="F117" s="259"/>
    </row>
    <row r="118" spans="1:6">
      <c r="A118" s="811"/>
      <c r="B118" s="806"/>
      <c r="C118" s="812"/>
      <c r="D118" s="813"/>
      <c r="E118" s="810"/>
      <c r="F118" s="259"/>
    </row>
    <row r="119" spans="1:6">
      <c r="A119" s="788"/>
      <c r="B119" s="789"/>
      <c r="C119" s="790" t="s">
        <v>1513</v>
      </c>
      <c r="D119" s="791"/>
      <c r="E119" s="210"/>
      <c r="F119" s="211"/>
    </row>
    <row r="120" spans="1:6">
      <c r="A120" s="793"/>
      <c r="B120" s="794" t="s">
        <v>1514</v>
      </c>
      <c r="C120" s="795" t="s">
        <v>1515</v>
      </c>
      <c r="D120" s="796" t="s">
        <v>1516</v>
      </c>
      <c r="E120" s="216">
        <f>'[3]COSTO LUMBRO '!H120</f>
        <v>2420</v>
      </c>
      <c r="F120" s="259" t="s">
        <v>284</v>
      </c>
    </row>
    <row r="121" spans="1:6">
      <c r="A121" s="793"/>
      <c r="B121" s="794"/>
      <c r="C121" s="797" t="s">
        <v>1499</v>
      </c>
      <c r="D121" s="796"/>
      <c r="E121" s="810"/>
      <c r="F121" s="259"/>
    </row>
    <row r="122" spans="1:6">
      <c r="A122" s="793"/>
      <c r="B122" s="798"/>
      <c r="C122" s="799" t="s">
        <v>1469</v>
      </c>
      <c r="D122" s="796"/>
      <c r="E122" s="810"/>
      <c r="F122" s="259"/>
    </row>
    <row r="123" spans="1:6">
      <c r="A123" s="793"/>
      <c r="B123" s="794"/>
      <c r="D123" s="796"/>
      <c r="E123" s="810"/>
      <c r="F123" s="259"/>
    </row>
    <row r="124" spans="1:6">
      <c r="A124" s="793"/>
      <c r="B124" s="794"/>
      <c r="C124" s="801" t="s">
        <v>1517</v>
      </c>
      <c r="D124" s="796"/>
      <c r="E124" s="810"/>
      <c r="F124" s="259"/>
    </row>
    <row r="125" spans="1:6">
      <c r="A125" s="793"/>
      <c r="B125" s="794"/>
      <c r="C125" s="802" t="s">
        <v>1471</v>
      </c>
      <c r="D125" s="796"/>
      <c r="E125" s="810"/>
      <c r="F125" s="259"/>
    </row>
    <row r="126" spans="1:6">
      <c r="A126" s="793"/>
      <c r="B126" s="794"/>
      <c r="C126" s="803"/>
      <c r="D126" s="796"/>
      <c r="E126" s="810"/>
      <c r="F126" s="259"/>
    </row>
    <row r="127" spans="1:6">
      <c r="A127" s="793"/>
      <c r="B127" s="804"/>
      <c r="C127" s="797"/>
      <c r="D127" s="796"/>
      <c r="E127" s="810"/>
      <c r="F127" s="259"/>
    </row>
    <row r="128" spans="1:6">
      <c r="A128" s="811"/>
      <c r="B128" s="806"/>
      <c r="C128" s="812"/>
      <c r="D128" s="813"/>
      <c r="E128" s="810"/>
      <c r="F128" s="259"/>
    </row>
    <row r="129" spans="1:6">
      <c r="A129" s="788"/>
      <c r="B129" s="789"/>
      <c r="C129" s="790" t="s">
        <v>1518</v>
      </c>
      <c r="D129" s="791"/>
      <c r="E129" s="210"/>
      <c r="F129" s="211"/>
    </row>
    <row r="130" spans="1:6">
      <c r="A130" s="793"/>
      <c r="B130" s="794" t="s">
        <v>1519</v>
      </c>
      <c r="C130" s="795" t="s">
        <v>1520</v>
      </c>
      <c r="D130" s="796" t="s">
        <v>1511</v>
      </c>
      <c r="E130" s="216">
        <f>'[3]COSTO LUMBRO '!H130</f>
        <v>2718</v>
      </c>
      <c r="F130" s="259" t="s">
        <v>284</v>
      </c>
    </row>
    <row r="131" spans="1:6">
      <c r="A131" s="793"/>
      <c r="B131" s="794"/>
      <c r="C131" s="797" t="s">
        <v>1499</v>
      </c>
      <c r="D131" s="796"/>
      <c r="E131" s="810"/>
      <c r="F131" s="259"/>
    </row>
    <row r="132" spans="1:6">
      <c r="A132" s="793"/>
      <c r="B132" s="798"/>
      <c r="C132" s="799" t="s">
        <v>1469</v>
      </c>
      <c r="D132" s="796"/>
      <c r="E132" s="810"/>
      <c r="F132" s="259"/>
    </row>
    <row r="133" spans="1:6">
      <c r="A133" s="793"/>
      <c r="B133" s="794"/>
      <c r="D133" s="796"/>
      <c r="E133" s="810"/>
      <c r="F133" s="259"/>
    </row>
    <row r="134" spans="1:6">
      <c r="A134" s="793"/>
      <c r="B134" s="794"/>
      <c r="C134" s="801" t="s">
        <v>1500</v>
      </c>
      <c r="D134" s="796"/>
      <c r="E134" s="810"/>
      <c r="F134" s="259"/>
    </row>
    <row r="135" spans="1:6">
      <c r="A135" s="793"/>
      <c r="B135" s="794"/>
      <c r="C135" s="802" t="s">
        <v>1471</v>
      </c>
      <c r="D135" s="796"/>
      <c r="E135" s="810"/>
      <c r="F135" s="259"/>
    </row>
    <row r="136" spans="1:6">
      <c r="A136" s="793"/>
      <c r="B136" s="794"/>
      <c r="C136" s="803"/>
      <c r="D136" s="796"/>
      <c r="E136" s="810"/>
      <c r="F136" s="259"/>
    </row>
    <row r="137" spans="1:6">
      <c r="A137" s="793"/>
      <c r="B137" s="804"/>
      <c r="C137" s="797"/>
      <c r="D137" s="796"/>
      <c r="E137" s="810"/>
      <c r="F137" s="259"/>
    </row>
    <row r="138" spans="1:6">
      <c r="A138" s="811"/>
      <c r="B138" s="806"/>
      <c r="C138" s="812"/>
      <c r="D138" s="813"/>
      <c r="E138" s="810"/>
      <c r="F138" s="259"/>
    </row>
    <row r="139" spans="1:6">
      <c r="A139" s="788"/>
      <c r="B139" s="789"/>
      <c r="C139" s="790" t="s">
        <v>1521</v>
      </c>
      <c r="D139" s="791"/>
      <c r="E139" s="210"/>
      <c r="F139" s="211"/>
    </row>
    <row r="140" spans="1:6">
      <c r="A140" s="793"/>
      <c r="B140" s="794" t="s">
        <v>1522</v>
      </c>
      <c r="C140" s="795" t="s">
        <v>1466</v>
      </c>
      <c r="D140" s="796" t="s">
        <v>1523</v>
      </c>
      <c r="E140" s="216">
        <f>'[3]COSTO LUMBRO '!H140</f>
        <v>5648</v>
      </c>
      <c r="F140" s="259" t="s">
        <v>284</v>
      </c>
    </row>
    <row r="141" spans="1:6">
      <c r="A141" s="793"/>
      <c r="B141" s="794"/>
      <c r="C141" s="797" t="s">
        <v>1489</v>
      </c>
      <c r="D141" s="796"/>
      <c r="E141" s="810"/>
      <c r="F141" s="259"/>
    </row>
    <row r="142" spans="1:6">
      <c r="A142" s="793"/>
      <c r="B142" s="798"/>
      <c r="C142" s="799" t="s">
        <v>1469</v>
      </c>
      <c r="D142" s="796"/>
      <c r="E142" s="810"/>
      <c r="F142" s="259"/>
    </row>
    <row r="143" spans="1:6">
      <c r="A143" s="793"/>
      <c r="B143" s="794"/>
      <c r="D143" s="796"/>
      <c r="E143" s="810"/>
      <c r="F143" s="259"/>
    </row>
    <row r="144" spans="1:6">
      <c r="A144" s="793"/>
      <c r="B144" s="794"/>
      <c r="C144" s="801" t="s">
        <v>1524</v>
      </c>
      <c r="D144" s="796"/>
      <c r="E144" s="810"/>
      <c r="F144" s="259"/>
    </row>
    <row r="145" spans="1:6">
      <c r="A145" s="793"/>
      <c r="B145" s="794"/>
      <c r="C145" s="802" t="s">
        <v>1471</v>
      </c>
      <c r="D145" s="796"/>
      <c r="E145" s="810"/>
      <c r="F145" s="259"/>
    </row>
    <row r="146" spans="1:6">
      <c r="A146" s="793"/>
      <c r="B146" s="794"/>
      <c r="C146" s="803"/>
      <c r="D146" s="796"/>
      <c r="E146" s="810"/>
      <c r="F146" s="259"/>
    </row>
    <row r="147" spans="1:6">
      <c r="A147" s="793"/>
      <c r="B147" s="804"/>
      <c r="C147" s="797"/>
      <c r="D147" s="796"/>
      <c r="E147" s="810"/>
      <c r="F147" s="259"/>
    </row>
    <row r="148" spans="1:6">
      <c r="A148" s="811"/>
      <c r="B148" s="806"/>
      <c r="C148" s="812"/>
      <c r="D148" s="813"/>
      <c r="E148" s="810"/>
      <c r="F148" s="259"/>
    </row>
    <row r="149" spans="1:6">
      <c r="A149" s="788"/>
      <c r="B149" s="789"/>
      <c r="C149" s="790" t="s">
        <v>1525</v>
      </c>
      <c r="D149" s="791"/>
      <c r="E149" s="210"/>
      <c r="F149" s="211"/>
    </row>
    <row r="150" spans="1:6">
      <c r="A150" s="793"/>
      <c r="B150" s="794" t="s">
        <v>1526</v>
      </c>
      <c r="C150" s="795" t="s">
        <v>1527</v>
      </c>
      <c r="D150" s="796" t="s">
        <v>1528</v>
      </c>
      <c r="E150" s="216">
        <f>'[3]COSTO LUMBRO '!H150</f>
        <v>4514</v>
      </c>
      <c r="F150" s="259" t="s">
        <v>284</v>
      </c>
    </row>
    <row r="151" spans="1:6">
      <c r="A151" s="793"/>
      <c r="B151" s="794"/>
      <c r="C151" s="797" t="s">
        <v>1489</v>
      </c>
      <c r="D151" s="796"/>
      <c r="E151" s="810"/>
      <c r="F151" s="259"/>
    </row>
    <row r="152" spans="1:6">
      <c r="A152" s="793"/>
      <c r="B152" s="798"/>
      <c r="C152" s="799" t="s">
        <v>1529</v>
      </c>
      <c r="D152" s="796"/>
      <c r="E152" s="810"/>
      <c r="F152" s="259"/>
    </row>
    <row r="153" spans="1:6">
      <c r="A153" s="793"/>
      <c r="B153" s="794"/>
      <c r="D153" s="796"/>
      <c r="E153" s="810"/>
      <c r="F153" s="259"/>
    </row>
    <row r="154" spans="1:6">
      <c r="A154" s="793"/>
      <c r="B154" s="794"/>
      <c r="C154" s="801" t="s">
        <v>1530</v>
      </c>
      <c r="D154" s="796"/>
      <c r="E154" s="810"/>
      <c r="F154" s="259"/>
    </row>
    <row r="155" spans="1:6">
      <c r="A155" s="793"/>
      <c r="B155" s="794"/>
      <c r="C155" s="802" t="s">
        <v>1471</v>
      </c>
      <c r="D155" s="796"/>
      <c r="E155" s="810"/>
      <c r="F155" s="259"/>
    </row>
    <row r="156" spans="1:6">
      <c r="A156" s="793"/>
      <c r="B156" s="794"/>
      <c r="C156" s="803"/>
      <c r="D156" s="796"/>
      <c r="E156" s="810"/>
      <c r="F156" s="259"/>
    </row>
    <row r="157" spans="1:6">
      <c r="A157" s="793"/>
      <c r="B157" s="804"/>
      <c r="C157" s="797"/>
      <c r="D157" s="796"/>
      <c r="E157" s="810"/>
      <c r="F157" s="259"/>
    </row>
    <row r="158" spans="1:6">
      <c r="A158" s="811"/>
      <c r="B158" s="806"/>
      <c r="C158" s="812"/>
      <c r="D158" s="813"/>
      <c r="E158" s="810"/>
      <c r="F158" s="259"/>
    </row>
    <row r="159" spans="1:6">
      <c r="A159" s="769" t="s">
        <v>1461</v>
      </c>
      <c r="B159" s="770"/>
      <c r="C159" s="1505" t="s">
        <v>1531</v>
      </c>
      <c r="D159" s="771"/>
      <c r="E159" s="771"/>
      <c r="F159" s="771"/>
    </row>
    <row r="160" spans="1:6">
      <c r="A160" s="775" t="s">
        <v>1532</v>
      </c>
      <c r="B160" s="776"/>
      <c r="C160" s="1506"/>
      <c r="D160" s="777"/>
      <c r="E160" s="777"/>
      <c r="F160" s="777"/>
    </row>
    <row r="161" spans="1:6">
      <c r="A161" s="788"/>
      <c r="B161" s="789"/>
      <c r="C161" s="790" t="s">
        <v>1533</v>
      </c>
      <c r="D161" s="791"/>
      <c r="E161" s="210"/>
      <c r="F161" s="211"/>
    </row>
    <row r="162" spans="1:6">
      <c r="A162" s="793"/>
      <c r="B162" s="794" t="s">
        <v>1534</v>
      </c>
      <c r="C162" s="795" t="s">
        <v>1535</v>
      </c>
      <c r="D162" s="796" t="s">
        <v>1536</v>
      </c>
      <c r="E162" s="216">
        <f>'[3]COSTO LUMBRO '!H162</f>
        <v>990</v>
      </c>
      <c r="F162" s="259" t="s">
        <v>284</v>
      </c>
    </row>
    <row r="163" spans="1:6">
      <c r="A163" s="793"/>
      <c r="B163" s="794"/>
      <c r="C163" s="799" t="s">
        <v>1537</v>
      </c>
      <c r="D163" s="796"/>
      <c r="E163" s="810"/>
      <c r="F163" s="259"/>
    </row>
    <row r="164" spans="1:6">
      <c r="A164" s="793"/>
      <c r="B164" s="798"/>
      <c r="C164" s="750"/>
      <c r="D164" s="796"/>
      <c r="E164" s="810"/>
      <c r="F164" s="259"/>
    </row>
    <row r="165" spans="1:6">
      <c r="A165" s="793"/>
      <c r="B165" s="794"/>
      <c r="D165" s="796"/>
      <c r="E165" s="810"/>
      <c r="F165" s="259"/>
    </row>
    <row r="166" spans="1:6">
      <c r="A166" s="793"/>
      <c r="B166" s="794"/>
      <c r="C166" s="801" t="s">
        <v>1538</v>
      </c>
      <c r="D166" s="796"/>
      <c r="E166" s="810"/>
      <c r="F166" s="259"/>
    </row>
    <row r="167" spans="1:6">
      <c r="A167" s="793"/>
      <c r="B167" s="794"/>
      <c r="C167" s="802" t="s">
        <v>1471</v>
      </c>
      <c r="D167" s="796"/>
      <c r="E167" s="810"/>
      <c r="F167" s="259"/>
    </row>
    <row r="168" spans="1:6">
      <c r="A168" s="793"/>
      <c r="B168" s="794"/>
      <c r="C168" s="803"/>
      <c r="D168" s="796"/>
      <c r="E168" s="810"/>
      <c r="F168" s="259"/>
    </row>
    <row r="169" spans="1:6">
      <c r="A169" s="793"/>
      <c r="B169" s="804"/>
      <c r="C169" s="797"/>
      <c r="D169" s="796"/>
      <c r="E169" s="810"/>
      <c r="F169" s="259"/>
    </row>
    <row r="170" spans="1:6">
      <c r="A170" s="811"/>
      <c r="B170" s="806"/>
      <c r="C170" s="812"/>
      <c r="D170" s="813"/>
      <c r="E170" s="810"/>
      <c r="F170" s="259"/>
    </row>
    <row r="171" spans="1:6">
      <c r="A171" s="788"/>
      <c r="B171" s="789"/>
      <c r="C171" s="790" t="s">
        <v>1539</v>
      </c>
      <c r="D171" s="791"/>
      <c r="E171" s="210"/>
      <c r="F171" s="211"/>
    </row>
    <row r="172" spans="1:6">
      <c r="A172" s="793"/>
      <c r="B172" s="794" t="s">
        <v>1540</v>
      </c>
      <c r="C172" s="795" t="s">
        <v>1541</v>
      </c>
      <c r="D172" s="796" t="s">
        <v>1542</v>
      </c>
      <c r="E172" s="216">
        <f>'[3]COSTO LUMBRO '!H172</f>
        <v>820</v>
      </c>
      <c r="F172" s="259" t="s">
        <v>284</v>
      </c>
    </row>
    <row r="173" spans="1:6">
      <c r="A173" s="793"/>
      <c r="B173" s="794"/>
      <c r="C173" s="799" t="s">
        <v>1543</v>
      </c>
      <c r="D173" s="796"/>
      <c r="E173" s="810"/>
      <c r="F173" s="259"/>
    </row>
    <row r="174" spans="1:6">
      <c r="A174" s="793"/>
      <c r="B174" s="798"/>
      <c r="C174" s="750"/>
      <c r="D174" s="796"/>
      <c r="E174" s="810"/>
      <c r="F174" s="259"/>
    </row>
    <row r="175" spans="1:6">
      <c r="A175" s="793"/>
      <c r="B175" s="794"/>
      <c r="D175" s="796"/>
      <c r="E175" s="810"/>
      <c r="F175" s="259"/>
    </row>
    <row r="176" spans="1:6">
      <c r="A176" s="793"/>
      <c r="B176" s="794"/>
      <c r="C176" s="801" t="s">
        <v>1544</v>
      </c>
      <c r="D176" s="796"/>
      <c r="E176" s="810"/>
      <c r="F176" s="259"/>
    </row>
    <row r="177" spans="1:6">
      <c r="A177" s="793"/>
      <c r="B177" s="794"/>
      <c r="C177" s="802" t="s">
        <v>1471</v>
      </c>
      <c r="D177" s="796"/>
      <c r="E177" s="810"/>
      <c r="F177" s="259"/>
    </row>
    <row r="178" spans="1:6">
      <c r="A178" s="793"/>
      <c r="B178" s="794"/>
      <c r="C178" s="803"/>
      <c r="D178" s="796"/>
      <c r="E178" s="810"/>
      <c r="F178" s="259"/>
    </row>
    <row r="179" spans="1:6">
      <c r="A179" s="793"/>
      <c r="B179" s="804"/>
      <c r="C179" s="797"/>
      <c r="D179" s="796"/>
      <c r="E179" s="810"/>
      <c r="F179" s="259"/>
    </row>
    <row r="180" spans="1:6">
      <c r="A180" s="811"/>
      <c r="B180" s="806"/>
      <c r="C180" s="812"/>
      <c r="D180" s="813"/>
      <c r="E180" s="810"/>
      <c r="F180" s="259"/>
    </row>
    <row r="181" spans="1:6">
      <c r="A181" s="788"/>
      <c r="B181" s="789"/>
      <c r="C181" s="790" t="s">
        <v>1545</v>
      </c>
      <c r="D181" s="791"/>
      <c r="E181" s="210"/>
      <c r="F181" s="211"/>
    </row>
    <row r="182" spans="1:6">
      <c r="A182" s="793"/>
      <c r="B182" s="794" t="s">
        <v>1546</v>
      </c>
      <c r="C182" s="795" t="s">
        <v>1547</v>
      </c>
      <c r="D182" s="796" t="s">
        <v>1548</v>
      </c>
      <c r="E182" s="216">
        <f>'[3]COSTO LUMBRO '!H182</f>
        <v>820</v>
      </c>
      <c r="F182" s="259" t="s">
        <v>284</v>
      </c>
    </row>
    <row r="183" spans="1:6">
      <c r="A183" s="793"/>
      <c r="B183" s="794"/>
      <c r="C183" s="799" t="s">
        <v>1543</v>
      </c>
      <c r="D183" s="796"/>
      <c r="E183" s="810"/>
      <c r="F183" s="259"/>
    </row>
    <row r="184" spans="1:6">
      <c r="A184" s="793"/>
      <c r="B184" s="798"/>
      <c r="C184" s="750"/>
      <c r="D184" s="796"/>
      <c r="E184" s="810"/>
      <c r="F184" s="259"/>
    </row>
    <row r="185" spans="1:6">
      <c r="A185" s="793"/>
      <c r="B185" s="794"/>
      <c r="D185" s="796"/>
      <c r="E185" s="810"/>
      <c r="F185" s="259"/>
    </row>
    <row r="186" spans="1:6">
      <c r="A186" s="793"/>
      <c r="B186" s="794"/>
      <c r="C186" s="801" t="s">
        <v>1544</v>
      </c>
      <c r="D186" s="796"/>
      <c r="E186" s="810"/>
      <c r="F186" s="259"/>
    </row>
    <row r="187" spans="1:6">
      <c r="A187" s="793"/>
      <c r="B187" s="794"/>
      <c r="C187" s="802" t="s">
        <v>1471</v>
      </c>
      <c r="D187" s="796"/>
      <c r="E187" s="810"/>
      <c r="F187" s="259"/>
    </row>
    <row r="188" spans="1:6">
      <c r="A188" s="793"/>
      <c r="B188" s="794"/>
      <c r="C188" s="803"/>
      <c r="D188" s="796"/>
      <c r="E188" s="810"/>
      <c r="F188" s="259"/>
    </row>
    <row r="189" spans="1:6">
      <c r="A189" s="793"/>
      <c r="B189" s="804"/>
      <c r="C189" s="797"/>
      <c r="D189" s="796"/>
      <c r="E189" s="810"/>
      <c r="F189" s="259"/>
    </row>
    <row r="190" spans="1:6">
      <c r="A190" s="811"/>
      <c r="B190" s="806"/>
      <c r="C190" s="812"/>
      <c r="D190" s="813"/>
      <c r="E190" s="810"/>
      <c r="F190" s="259"/>
    </row>
    <row r="191" spans="1:6">
      <c r="A191" s="788"/>
      <c r="B191" s="789"/>
      <c r="C191" s="790" t="s">
        <v>1549</v>
      </c>
      <c r="D191" s="791"/>
      <c r="E191" s="210"/>
      <c r="F191" s="211"/>
    </row>
    <row r="192" spans="1:6">
      <c r="A192" s="793"/>
      <c r="B192" s="794" t="s">
        <v>1550</v>
      </c>
      <c r="C192" s="795" t="s">
        <v>1551</v>
      </c>
      <c r="D192" s="796" t="s">
        <v>1552</v>
      </c>
      <c r="E192" s="216">
        <f>'[3]COSTO LUMBRO '!H192</f>
        <v>398</v>
      </c>
      <c r="F192" s="259" t="s">
        <v>284</v>
      </c>
    </row>
    <row r="193" spans="1:6">
      <c r="A193" s="793"/>
      <c r="B193" s="794"/>
      <c r="C193" s="799" t="s">
        <v>1553</v>
      </c>
      <c r="D193" s="796"/>
      <c r="E193" s="810"/>
      <c r="F193" s="259"/>
    </row>
    <row r="194" spans="1:6">
      <c r="A194" s="793"/>
      <c r="B194" s="798"/>
      <c r="C194" s="750"/>
      <c r="D194" s="796"/>
      <c r="E194" s="810"/>
      <c r="F194" s="259"/>
    </row>
    <row r="195" spans="1:6">
      <c r="A195" s="793"/>
      <c r="B195" s="794"/>
      <c r="D195" s="796"/>
      <c r="E195" s="810"/>
      <c r="F195" s="259"/>
    </row>
    <row r="196" spans="1:6">
      <c r="A196" s="793"/>
      <c r="B196" s="794"/>
      <c r="C196" s="801" t="s">
        <v>1554</v>
      </c>
      <c r="D196" s="796"/>
      <c r="E196" s="810"/>
      <c r="F196" s="259"/>
    </row>
    <row r="197" spans="1:6">
      <c r="A197" s="793"/>
      <c r="B197" s="794"/>
      <c r="C197" s="802" t="s">
        <v>1471</v>
      </c>
      <c r="D197" s="796"/>
      <c r="E197" s="810"/>
      <c r="F197" s="259"/>
    </row>
    <row r="198" spans="1:6">
      <c r="A198" s="793"/>
      <c r="B198" s="794"/>
      <c r="C198" s="803"/>
      <c r="D198" s="796"/>
      <c r="E198" s="810"/>
      <c r="F198" s="259"/>
    </row>
    <row r="199" spans="1:6">
      <c r="A199" s="793"/>
      <c r="B199" s="804"/>
      <c r="C199" s="797"/>
      <c r="D199" s="796"/>
      <c r="E199" s="810"/>
      <c r="F199" s="259"/>
    </row>
    <row r="200" spans="1:6">
      <c r="A200" s="811"/>
      <c r="B200" s="806"/>
      <c r="C200" s="812"/>
      <c r="D200" s="813"/>
      <c r="E200" s="810"/>
      <c r="F200" s="259"/>
    </row>
    <row r="201" spans="1:6">
      <c r="A201" s="788"/>
      <c r="B201" s="789"/>
      <c r="C201" s="790" t="s">
        <v>1549</v>
      </c>
      <c r="D201" s="791"/>
      <c r="E201" s="210"/>
      <c r="F201" s="211"/>
    </row>
    <row r="202" spans="1:6">
      <c r="A202" s="793"/>
      <c r="B202" s="794" t="s">
        <v>1555</v>
      </c>
      <c r="C202" s="795" t="s">
        <v>1556</v>
      </c>
      <c r="D202" s="796" t="s">
        <v>1557</v>
      </c>
      <c r="E202" s="216">
        <f>'[3]COSTO LUMBRO '!H202</f>
        <v>598</v>
      </c>
      <c r="F202" s="259" t="s">
        <v>284</v>
      </c>
    </row>
    <row r="203" spans="1:6">
      <c r="A203" s="793"/>
      <c r="B203" s="794"/>
      <c r="C203" s="799" t="s">
        <v>1553</v>
      </c>
      <c r="D203" s="796"/>
      <c r="E203" s="810"/>
      <c r="F203" s="259"/>
    </row>
    <row r="204" spans="1:6">
      <c r="A204" s="793"/>
      <c r="B204" s="798"/>
      <c r="C204" s="750"/>
      <c r="D204" s="796"/>
      <c r="E204" s="810"/>
      <c r="F204" s="259"/>
    </row>
    <row r="205" spans="1:6">
      <c r="A205" s="793"/>
      <c r="B205" s="794"/>
      <c r="D205" s="796"/>
      <c r="E205" s="810"/>
      <c r="F205" s="259"/>
    </row>
    <row r="206" spans="1:6">
      <c r="A206" s="793"/>
      <c r="B206" s="794"/>
      <c r="C206" s="801" t="s">
        <v>1558</v>
      </c>
      <c r="D206" s="796"/>
      <c r="E206" s="810"/>
      <c r="F206" s="259"/>
    </row>
    <row r="207" spans="1:6">
      <c r="A207" s="793"/>
      <c r="B207" s="794"/>
      <c r="C207" s="802" t="s">
        <v>1471</v>
      </c>
      <c r="D207" s="796"/>
      <c r="E207" s="810"/>
      <c r="F207" s="259"/>
    </row>
    <row r="208" spans="1:6">
      <c r="A208" s="793"/>
      <c r="B208" s="794"/>
      <c r="C208" s="803"/>
      <c r="D208" s="796"/>
      <c r="E208" s="810"/>
      <c r="F208" s="259"/>
    </row>
    <row r="209" spans="1:6">
      <c r="A209" s="793"/>
      <c r="B209" s="804"/>
      <c r="C209" s="797"/>
      <c r="D209" s="796"/>
      <c r="E209" s="810"/>
      <c r="F209" s="259"/>
    </row>
    <row r="210" spans="1:6">
      <c r="A210" s="811"/>
      <c r="B210" s="806"/>
      <c r="C210" s="812"/>
      <c r="D210" s="813"/>
      <c r="E210" s="810"/>
      <c r="F210" s="259"/>
    </row>
    <row r="211" spans="1:6">
      <c r="A211" s="788"/>
      <c r="B211" s="789"/>
      <c r="C211" s="790" t="s">
        <v>1559</v>
      </c>
      <c r="D211" s="791"/>
      <c r="E211" s="210"/>
      <c r="F211" s="211"/>
    </row>
    <row r="212" spans="1:6">
      <c r="A212" s="793"/>
      <c r="B212" s="794" t="s">
        <v>1560</v>
      </c>
      <c r="C212" s="795" t="s">
        <v>1561</v>
      </c>
      <c r="D212" s="796" t="s">
        <v>1542</v>
      </c>
      <c r="E212" s="216">
        <f>'[3]COSTO LUMBRO '!H212</f>
        <v>860</v>
      </c>
      <c r="F212" s="259" t="s">
        <v>284</v>
      </c>
    </row>
    <row r="213" spans="1:6">
      <c r="A213" s="793"/>
      <c r="B213" s="794"/>
      <c r="C213" s="780" t="s">
        <v>1499</v>
      </c>
      <c r="D213" s="796"/>
      <c r="E213" s="810"/>
      <c r="F213" s="259"/>
    </row>
    <row r="214" spans="1:6">
      <c r="A214" s="793"/>
      <c r="B214" s="798"/>
      <c r="C214" s="799" t="s">
        <v>1543</v>
      </c>
      <c r="D214" s="796"/>
      <c r="E214" s="810"/>
      <c r="F214" s="259"/>
    </row>
    <row r="215" spans="1:6">
      <c r="A215" s="793"/>
      <c r="B215" s="794"/>
      <c r="D215" s="796"/>
      <c r="E215" s="810"/>
      <c r="F215" s="259"/>
    </row>
    <row r="216" spans="1:6">
      <c r="A216" s="793"/>
      <c r="B216" s="794"/>
      <c r="C216" s="801" t="s">
        <v>1544</v>
      </c>
      <c r="D216" s="796"/>
      <c r="E216" s="810"/>
      <c r="F216" s="259"/>
    </row>
    <row r="217" spans="1:6">
      <c r="A217" s="793"/>
      <c r="B217" s="794"/>
      <c r="C217" s="802" t="s">
        <v>1471</v>
      </c>
      <c r="D217" s="796"/>
      <c r="E217" s="810"/>
      <c r="F217" s="259"/>
    </row>
    <row r="218" spans="1:6">
      <c r="A218" s="793"/>
      <c r="B218" s="794"/>
      <c r="C218" s="803"/>
      <c r="D218" s="796"/>
      <c r="E218" s="810"/>
      <c r="F218" s="259"/>
    </row>
    <row r="219" spans="1:6">
      <c r="A219" s="793"/>
      <c r="B219" s="804"/>
      <c r="C219" s="797"/>
      <c r="D219" s="796"/>
      <c r="E219" s="810"/>
      <c r="F219" s="259"/>
    </row>
    <row r="220" spans="1:6">
      <c r="A220" s="811"/>
      <c r="B220" s="806"/>
      <c r="C220" s="812"/>
      <c r="D220" s="813"/>
      <c r="E220" s="810"/>
      <c r="F220" s="259"/>
    </row>
    <row r="221" spans="1:6">
      <c r="A221" s="788"/>
      <c r="B221" s="789"/>
      <c r="C221" s="790" t="s">
        <v>1562</v>
      </c>
      <c r="D221" s="791"/>
      <c r="E221" s="210"/>
      <c r="F221" s="211"/>
    </row>
    <row r="222" spans="1:6">
      <c r="A222" s="793"/>
      <c r="B222" s="794" t="s">
        <v>1563</v>
      </c>
      <c r="C222" s="795" t="s">
        <v>1564</v>
      </c>
      <c r="D222" s="796" t="s">
        <v>1565</v>
      </c>
      <c r="E222" s="216">
        <f>'[3]COSTO LUMBRO '!H222</f>
        <v>1580</v>
      </c>
      <c r="F222" s="259" t="s">
        <v>284</v>
      </c>
    </row>
    <row r="223" spans="1:6">
      <c r="A223" s="793"/>
      <c r="B223" s="794"/>
      <c r="C223" s="780" t="s">
        <v>1499</v>
      </c>
      <c r="D223" s="796"/>
      <c r="E223" s="810"/>
      <c r="F223" s="259"/>
    </row>
    <row r="224" spans="1:6">
      <c r="A224" s="793"/>
      <c r="B224" s="798"/>
      <c r="C224" s="799" t="s">
        <v>1566</v>
      </c>
      <c r="D224" s="796"/>
      <c r="E224" s="810"/>
      <c r="F224" s="259"/>
    </row>
    <row r="225" spans="1:6">
      <c r="A225" s="793"/>
      <c r="B225" s="794"/>
      <c r="D225" s="796"/>
      <c r="E225" s="810"/>
      <c r="F225" s="259"/>
    </row>
    <row r="226" spans="1:6">
      <c r="A226" s="793"/>
      <c r="B226" s="794"/>
      <c r="C226" s="801" t="s">
        <v>1567</v>
      </c>
      <c r="D226" s="796"/>
      <c r="E226" s="810"/>
      <c r="F226" s="259"/>
    </row>
    <row r="227" spans="1:6">
      <c r="A227" s="793"/>
      <c r="B227" s="794"/>
      <c r="C227" s="802" t="s">
        <v>1471</v>
      </c>
      <c r="D227" s="796"/>
      <c r="E227" s="810"/>
      <c r="F227" s="259"/>
    </row>
    <row r="228" spans="1:6">
      <c r="A228" s="793"/>
      <c r="B228" s="794"/>
      <c r="C228" s="803"/>
      <c r="D228" s="796"/>
      <c r="E228" s="810"/>
      <c r="F228" s="259"/>
    </row>
    <row r="229" spans="1:6">
      <c r="A229" s="793"/>
      <c r="B229" s="804"/>
      <c r="C229" s="797"/>
      <c r="D229" s="796"/>
      <c r="E229" s="810"/>
      <c r="F229" s="259"/>
    </row>
    <row r="230" spans="1:6">
      <c r="A230" s="811"/>
      <c r="B230" s="806"/>
      <c r="C230" s="812"/>
      <c r="D230" s="813"/>
      <c r="E230" s="810"/>
      <c r="F230" s="259"/>
    </row>
    <row r="231" spans="1:6">
      <c r="A231" s="788"/>
      <c r="B231" s="789"/>
      <c r="C231" s="790" t="s">
        <v>1568</v>
      </c>
      <c r="D231" s="791"/>
      <c r="E231" s="210"/>
      <c r="F231" s="211"/>
    </row>
    <row r="232" spans="1:6">
      <c r="A232" s="793"/>
      <c r="B232" s="794" t="s">
        <v>1563</v>
      </c>
      <c r="C232" s="795" t="s">
        <v>1569</v>
      </c>
      <c r="D232" s="796" t="s">
        <v>1570</v>
      </c>
      <c r="E232" s="216">
        <f>'[3]COSTO LUMBRO '!H232</f>
        <v>1380</v>
      </c>
      <c r="F232" s="259" t="s">
        <v>284</v>
      </c>
    </row>
    <row r="233" spans="1:6">
      <c r="A233" s="793"/>
      <c r="B233" s="794"/>
      <c r="C233" s="780" t="s">
        <v>1499</v>
      </c>
      <c r="D233" s="796"/>
      <c r="E233" s="810"/>
      <c r="F233" s="259"/>
    </row>
    <row r="234" spans="1:6">
      <c r="A234" s="793"/>
      <c r="B234" s="798"/>
      <c r="C234" s="799" t="s">
        <v>1566</v>
      </c>
      <c r="D234" s="796"/>
      <c r="E234" s="810"/>
      <c r="F234" s="259"/>
    </row>
    <row r="235" spans="1:6">
      <c r="A235" s="793"/>
      <c r="B235" s="794"/>
      <c r="D235" s="796"/>
      <c r="E235" s="810"/>
      <c r="F235" s="259"/>
    </row>
    <row r="236" spans="1:6">
      <c r="A236" s="793"/>
      <c r="B236" s="794"/>
      <c r="C236" s="801" t="s">
        <v>1567</v>
      </c>
      <c r="D236" s="796"/>
      <c r="E236" s="810"/>
      <c r="F236" s="259"/>
    </row>
    <row r="237" spans="1:6">
      <c r="A237" s="793"/>
      <c r="B237" s="794"/>
      <c r="C237" s="802" t="s">
        <v>1471</v>
      </c>
      <c r="D237" s="796"/>
      <c r="E237" s="810"/>
      <c r="F237" s="259"/>
    </row>
    <row r="238" spans="1:6">
      <c r="A238" s="793"/>
      <c r="B238" s="794"/>
      <c r="C238" s="803"/>
      <c r="D238" s="796"/>
      <c r="E238" s="810"/>
      <c r="F238" s="259"/>
    </row>
    <row r="239" spans="1:6">
      <c r="A239" s="793"/>
      <c r="B239" s="804"/>
      <c r="C239" s="797"/>
      <c r="D239" s="796"/>
      <c r="E239" s="810"/>
      <c r="F239" s="259"/>
    </row>
    <row r="240" spans="1:6">
      <c r="A240" s="811"/>
      <c r="B240" s="806"/>
      <c r="C240" s="812"/>
      <c r="D240" s="813"/>
      <c r="E240" s="810"/>
      <c r="F240" s="259"/>
    </row>
    <row r="241" spans="1:6">
      <c r="A241" s="788"/>
      <c r="B241" s="789"/>
      <c r="C241" s="790" t="s">
        <v>1571</v>
      </c>
      <c r="D241" s="791"/>
      <c r="E241" s="210"/>
      <c r="F241" s="211"/>
    </row>
    <row r="242" spans="1:6">
      <c r="A242" s="793"/>
      <c r="B242" s="794" t="s">
        <v>1572</v>
      </c>
      <c r="C242" s="795" t="s">
        <v>1573</v>
      </c>
      <c r="D242" s="796" t="s">
        <v>1570</v>
      </c>
      <c r="E242" s="216">
        <f>'[3]COSTO LUMBRO '!H242</f>
        <v>1020</v>
      </c>
      <c r="F242" s="259" t="s">
        <v>284</v>
      </c>
    </row>
    <row r="243" spans="1:6">
      <c r="A243" s="793"/>
      <c r="B243" s="794"/>
      <c r="C243" s="780" t="s">
        <v>1499</v>
      </c>
      <c r="D243" s="796"/>
      <c r="E243" s="810"/>
      <c r="F243" s="259"/>
    </row>
    <row r="244" spans="1:6">
      <c r="A244" s="793"/>
      <c r="B244" s="798"/>
      <c r="C244" s="799" t="s">
        <v>1566</v>
      </c>
      <c r="D244" s="796"/>
      <c r="E244" s="810"/>
      <c r="F244" s="259"/>
    </row>
    <row r="245" spans="1:6">
      <c r="A245" s="793"/>
      <c r="B245" s="794"/>
      <c r="D245" s="796"/>
      <c r="E245" s="810"/>
      <c r="F245" s="259"/>
    </row>
    <row r="246" spans="1:6">
      <c r="A246" s="793"/>
      <c r="B246" s="794"/>
      <c r="C246" s="801" t="s">
        <v>1567</v>
      </c>
      <c r="D246" s="796"/>
      <c r="E246" s="810"/>
      <c r="F246" s="259"/>
    </row>
    <row r="247" spans="1:6">
      <c r="A247" s="793"/>
      <c r="B247" s="794"/>
      <c r="C247" s="802" t="s">
        <v>1471</v>
      </c>
      <c r="D247" s="796"/>
      <c r="E247" s="810"/>
      <c r="F247" s="259"/>
    </row>
    <row r="248" spans="1:6">
      <c r="A248" s="793"/>
      <c r="B248" s="794"/>
      <c r="C248" s="803"/>
      <c r="D248" s="796"/>
      <c r="E248" s="810"/>
      <c r="F248" s="259"/>
    </row>
    <row r="249" spans="1:6">
      <c r="A249" s="793"/>
      <c r="B249" s="804"/>
      <c r="C249" s="797"/>
      <c r="D249" s="796"/>
      <c r="E249" s="810"/>
      <c r="F249" s="259"/>
    </row>
    <row r="250" spans="1:6">
      <c r="A250" s="811"/>
      <c r="B250" s="806"/>
      <c r="C250" s="812"/>
      <c r="D250" s="813"/>
      <c r="E250" s="810"/>
      <c r="F250" s="259"/>
    </row>
    <row r="251" spans="1:6">
      <c r="A251" s="769" t="s">
        <v>1461</v>
      </c>
      <c r="B251" s="770"/>
      <c r="C251" s="1505" t="s">
        <v>1574</v>
      </c>
      <c r="D251" s="771"/>
      <c r="E251" s="771"/>
      <c r="F251" s="771"/>
    </row>
    <row r="252" spans="1:6">
      <c r="A252" s="775" t="s">
        <v>1463</v>
      </c>
      <c r="B252" s="776"/>
      <c r="C252" s="1506"/>
      <c r="D252" s="777"/>
      <c r="E252" s="777"/>
      <c r="F252" s="777"/>
    </row>
    <row r="253" spans="1:6">
      <c r="A253" s="788"/>
      <c r="B253" s="789"/>
      <c r="C253" s="790" t="s">
        <v>1575</v>
      </c>
      <c r="D253" s="791"/>
      <c r="E253" s="210"/>
      <c r="F253" s="211"/>
    </row>
    <row r="254" spans="1:6">
      <c r="A254" s="793"/>
      <c r="B254" s="794" t="s">
        <v>1576</v>
      </c>
      <c r="C254" s="795" t="s">
        <v>1577</v>
      </c>
      <c r="D254" s="796" t="s">
        <v>1578</v>
      </c>
      <c r="E254" s="216">
        <f>'[3]COSTO LUMBRO '!H254</f>
        <v>1774</v>
      </c>
      <c r="F254" s="259" t="s">
        <v>284</v>
      </c>
    </row>
    <row r="255" spans="1:6">
      <c r="A255" s="793"/>
      <c r="B255" s="794"/>
      <c r="C255" s="780" t="s">
        <v>1579</v>
      </c>
      <c r="D255" s="796"/>
      <c r="E255" s="810"/>
      <c r="F255" s="259"/>
    </row>
    <row r="256" spans="1:6">
      <c r="A256" s="793"/>
      <c r="B256" s="798"/>
      <c r="C256" s="799" t="s">
        <v>1529</v>
      </c>
      <c r="D256" s="796"/>
      <c r="E256" s="810"/>
      <c r="F256" s="259"/>
    </row>
    <row r="257" spans="1:6">
      <c r="A257" s="793"/>
      <c r="B257" s="794"/>
      <c r="D257" s="796"/>
      <c r="E257" s="810"/>
      <c r="F257" s="259"/>
    </row>
    <row r="258" spans="1:6">
      <c r="A258" s="793"/>
      <c r="B258" s="794"/>
      <c r="C258" s="801" t="s">
        <v>1580</v>
      </c>
      <c r="D258" s="796"/>
      <c r="E258" s="810"/>
      <c r="F258" s="259"/>
    </row>
    <row r="259" spans="1:6">
      <c r="A259" s="793"/>
      <c r="B259" s="794"/>
      <c r="C259" s="802" t="s">
        <v>1471</v>
      </c>
      <c r="D259" s="796"/>
      <c r="E259" s="810"/>
      <c r="F259" s="259"/>
    </row>
    <row r="260" spans="1:6">
      <c r="A260" s="793"/>
      <c r="B260" s="794"/>
      <c r="C260" s="803"/>
      <c r="D260" s="796"/>
      <c r="E260" s="810"/>
      <c r="F260" s="259"/>
    </row>
    <row r="261" spans="1:6">
      <c r="A261" s="793"/>
      <c r="B261" s="804"/>
      <c r="C261" s="797"/>
      <c r="D261" s="796"/>
      <c r="E261" s="810"/>
      <c r="F261" s="259"/>
    </row>
    <row r="262" spans="1:6">
      <c r="A262" s="811"/>
      <c r="B262" s="806"/>
      <c r="C262" s="812"/>
      <c r="D262" s="813"/>
      <c r="E262" s="810"/>
      <c r="F262" s="259"/>
    </row>
    <row r="263" spans="1:6">
      <c r="A263" s="788"/>
      <c r="B263" s="789"/>
      <c r="C263" s="790" t="s">
        <v>1581</v>
      </c>
      <c r="D263" s="791"/>
      <c r="E263" s="210"/>
      <c r="F263" s="211"/>
    </row>
    <row r="264" spans="1:6">
      <c r="A264" s="793"/>
      <c r="B264" s="794" t="s">
        <v>1582</v>
      </c>
      <c r="C264" s="795" t="s">
        <v>1583</v>
      </c>
      <c r="D264" s="796" t="s">
        <v>1584</v>
      </c>
      <c r="E264" s="216">
        <f>'[3]COSTO LUMBRO '!H264</f>
        <v>1774</v>
      </c>
      <c r="F264" s="259" t="s">
        <v>284</v>
      </c>
    </row>
    <row r="265" spans="1:6">
      <c r="A265" s="793"/>
      <c r="B265" s="794"/>
      <c r="C265" s="780" t="s">
        <v>1579</v>
      </c>
      <c r="D265" s="796"/>
      <c r="E265" s="810"/>
      <c r="F265" s="259"/>
    </row>
    <row r="266" spans="1:6">
      <c r="A266" s="793"/>
      <c r="B266" s="798"/>
      <c r="C266" s="799" t="s">
        <v>1585</v>
      </c>
      <c r="D266" s="796"/>
      <c r="E266" s="810"/>
      <c r="F266" s="259"/>
    </row>
    <row r="267" spans="1:6">
      <c r="A267" s="793"/>
      <c r="B267" s="794"/>
      <c r="D267" s="796"/>
      <c r="E267" s="810"/>
      <c r="F267" s="259"/>
    </row>
    <row r="268" spans="1:6">
      <c r="A268" s="793"/>
      <c r="B268" s="794"/>
      <c r="C268" s="801" t="s">
        <v>1580</v>
      </c>
      <c r="D268" s="796"/>
      <c r="E268" s="810"/>
      <c r="F268" s="259"/>
    </row>
    <row r="269" spans="1:6">
      <c r="A269" s="793"/>
      <c r="B269" s="794"/>
      <c r="C269" s="802" t="s">
        <v>1471</v>
      </c>
      <c r="D269" s="796"/>
      <c r="E269" s="810"/>
      <c r="F269" s="259"/>
    </row>
    <row r="270" spans="1:6">
      <c r="A270" s="793"/>
      <c r="B270" s="794"/>
      <c r="C270" s="803"/>
      <c r="D270" s="796"/>
      <c r="E270" s="810"/>
      <c r="F270" s="259"/>
    </row>
    <row r="271" spans="1:6">
      <c r="A271" s="793"/>
      <c r="B271" s="804"/>
      <c r="C271" s="797"/>
      <c r="D271" s="796"/>
      <c r="E271" s="810"/>
      <c r="F271" s="259"/>
    </row>
    <row r="272" spans="1:6">
      <c r="A272" s="811"/>
      <c r="B272" s="806"/>
      <c r="C272" s="812"/>
      <c r="D272" s="813"/>
      <c r="E272" s="810"/>
      <c r="F272" s="259"/>
    </row>
    <row r="273" spans="1:6">
      <c r="A273" s="788"/>
      <c r="B273" s="789"/>
      <c r="C273" s="790" t="s">
        <v>1586</v>
      </c>
      <c r="D273" s="791"/>
      <c r="E273" s="210"/>
      <c r="F273" s="211"/>
    </row>
    <row r="274" spans="1:6">
      <c r="A274" s="793"/>
      <c r="B274" s="794" t="s">
        <v>1587</v>
      </c>
      <c r="C274" s="795" t="s">
        <v>1588</v>
      </c>
      <c r="D274" s="796" t="s">
        <v>1589</v>
      </c>
      <c r="E274" s="216">
        <f>'[3]COSTO LUMBRO '!H274</f>
        <v>1980</v>
      </c>
      <c r="F274" s="259" t="s">
        <v>284</v>
      </c>
    </row>
    <row r="275" spans="1:6">
      <c r="A275" s="793"/>
      <c r="B275" s="794"/>
      <c r="C275" s="780" t="s">
        <v>1579</v>
      </c>
      <c r="D275" s="796"/>
      <c r="E275" s="810"/>
      <c r="F275" s="259"/>
    </row>
    <row r="276" spans="1:6">
      <c r="A276" s="793"/>
      <c r="B276" s="798"/>
      <c r="C276" s="799" t="s">
        <v>1585</v>
      </c>
      <c r="D276" s="796"/>
      <c r="E276" s="810"/>
      <c r="F276" s="259"/>
    </row>
    <row r="277" spans="1:6">
      <c r="A277" s="793"/>
      <c r="B277" s="794"/>
      <c r="D277" s="796"/>
      <c r="E277" s="810"/>
      <c r="F277" s="259"/>
    </row>
    <row r="278" spans="1:6">
      <c r="A278" s="793"/>
      <c r="B278" s="794"/>
      <c r="C278" s="801" t="s">
        <v>1580</v>
      </c>
      <c r="D278" s="796"/>
      <c r="E278" s="810"/>
      <c r="F278" s="259"/>
    </row>
    <row r="279" spans="1:6">
      <c r="A279" s="793"/>
      <c r="B279" s="794"/>
      <c r="C279" s="802" t="s">
        <v>1471</v>
      </c>
      <c r="D279" s="796"/>
      <c r="E279" s="810"/>
      <c r="F279" s="259"/>
    </row>
    <row r="280" spans="1:6">
      <c r="A280" s="793"/>
      <c r="B280" s="794"/>
      <c r="C280" s="803"/>
      <c r="D280" s="796"/>
      <c r="E280" s="810"/>
      <c r="F280" s="259"/>
    </row>
    <row r="281" spans="1:6">
      <c r="A281" s="793"/>
      <c r="B281" s="804"/>
      <c r="C281" s="797"/>
      <c r="D281" s="796"/>
      <c r="E281" s="810"/>
      <c r="F281" s="259"/>
    </row>
    <row r="282" spans="1:6">
      <c r="A282" s="811"/>
      <c r="B282" s="806"/>
      <c r="C282" s="812"/>
      <c r="D282" s="813"/>
      <c r="E282" s="810"/>
      <c r="F282" s="259"/>
    </row>
    <row r="283" spans="1:6">
      <c r="A283" s="788"/>
      <c r="B283" s="789"/>
      <c r="C283" s="790" t="s">
        <v>1590</v>
      </c>
      <c r="D283" s="791"/>
      <c r="E283" s="210"/>
      <c r="F283" s="211"/>
    </row>
    <row r="284" spans="1:6">
      <c r="A284" s="793"/>
      <c r="B284" s="794" t="s">
        <v>1591</v>
      </c>
      <c r="C284" s="795" t="s">
        <v>1592</v>
      </c>
      <c r="D284" s="796" t="s">
        <v>1593</v>
      </c>
      <c r="E284" s="216">
        <f>'[3]COSTO LUMBRO '!H284</f>
        <v>1320</v>
      </c>
      <c r="F284" s="259" t="s">
        <v>284</v>
      </c>
    </row>
    <row r="285" spans="1:6">
      <c r="A285" s="793"/>
      <c r="B285" s="794"/>
      <c r="C285" s="780" t="s">
        <v>1594</v>
      </c>
      <c r="D285" s="796"/>
      <c r="E285" s="810"/>
      <c r="F285" s="259"/>
    </row>
    <row r="286" spans="1:6">
      <c r="A286" s="793"/>
      <c r="B286" s="798"/>
      <c r="C286" s="799" t="s">
        <v>1529</v>
      </c>
      <c r="D286" s="796"/>
      <c r="E286" s="810"/>
      <c r="F286" s="259"/>
    </row>
    <row r="287" spans="1:6">
      <c r="A287" s="793"/>
      <c r="B287" s="794"/>
      <c r="D287" s="796"/>
      <c r="E287" s="810"/>
      <c r="F287" s="259"/>
    </row>
    <row r="288" spans="1:6">
      <c r="A288" s="793"/>
      <c r="B288" s="794"/>
      <c r="C288" s="801" t="s">
        <v>1580</v>
      </c>
      <c r="D288" s="796"/>
      <c r="E288" s="810"/>
      <c r="F288" s="259"/>
    </row>
    <row r="289" spans="1:6">
      <c r="A289" s="793"/>
      <c r="B289" s="794"/>
      <c r="C289" s="802" t="s">
        <v>1471</v>
      </c>
      <c r="D289" s="796"/>
      <c r="E289" s="810"/>
      <c r="F289" s="259"/>
    </row>
    <row r="290" spans="1:6">
      <c r="A290" s="793"/>
      <c r="B290" s="794"/>
      <c r="C290" s="803"/>
      <c r="D290" s="796"/>
      <c r="E290" s="810"/>
      <c r="F290" s="259"/>
    </row>
    <row r="291" spans="1:6">
      <c r="A291" s="793"/>
      <c r="B291" s="804"/>
      <c r="C291" s="797"/>
      <c r="D291" s="796"/>
      <c r="E291" s="810"/>
      <c r="F291" s="259"/>
    </row>
    <row r="292" spans="1:6">
      <c r="A292" s="811"/>
      <c r="B292" s="806"/>
      <c r="C292" s="812"/>
      <c r="D292" s="813"/>
      <c r="E292" s="810"/>
      <c r="F292" s="259"/>
    </row>
    <row r="293" spans="1:6">
      <c r="A293" s="788"/>
      <c r="B293" s="789"/>
      <c r="C293" s="790" t="s">
        <v>1595</v>
      </c>
      <c r="D293" s="791"/>
      <c r="E293" s="210"/>
      <c r="F293" s="211"/>
    </row>
    <row r="294" spans="1:6">
      <c r="A294" s="793"/>
      <c r="B294" s="794" t="s">
        <v>1596</v>
      </c>
      <c r="C294" s="795" t="s">
        <v>1597</v>
      </c>
      <c r="D294" s="796" t="s">
        <v>1598</v>
      </c>
      <c r="E294" s="216">
        <f>'[3]COSTO LUMBRO '!H294</f>
        <v>1980</v>
      </c>
      <c r="F294" s="259" t="s">
        <v>284</v>
      </c>
    </row>
    <row r="295" spans="1:6">
      <c r="A295" s="793"/>
      <c r="B295" s="794"/>
      <c r="C295" s="780" t="s">
        <v>1599</v>
      </c>
      <c r="D295" s="796"/>
      <c r="E295" s="810"/>
      <c r="F295" s="259"/>
    </row>
    <row r="296" spans="1:6">
      <c r="A296" s="793"/>
      <c r="B296" s="798"/>
      <c r="C296" s="799" t="s">
        <v>1529</v>
      </c>
      <c r="D296" s="796"/>
      <c r="E296" s="810"/>
      <c r="F296" s="259"/>
    </row>
    <row r="297" spans="1:6">
      <c r="A297" s="793"/>
      <c r="B297" s="794"/>
      <c r="D297" s="796"/>
      <c r="E297" s="810"/>
      <c r="F297" s="259"/>
    </row>
    <row r="298" spans="1:6">
      <c r="A298" s="793"/>
      <c r="B298" s="794"/>
      <c r="C298" s="801"/>
      <c r="D298" s="796"/>
      <c r="E298" s="810"/>
      <c r="F298" s="259"/>
    </row>
    <row r="299" spans="1:6">
      <c r="A299" s="793"/>
      <c r="B299" s="794"/>
      <c r="C299" s="802" t="s">
        <v>1471</v>
      </c>
      <c r="D299" s="796"/>
      <c r="E299" s="810"/>
      <c r="F299" s="259"/>
    </row>
    <row r="300" spans="1:6">
      <c r="A300" s="793"/>
      <c r="B300" s="794"/>
      <c r="C300" s="803"/>
      <c r="D300" s="796"/>
      <c r="E300" s="810"/>
      <c r="F300" s="259"/>
    </row>
    <row r="301" spans="1:6">
      <c r="A301" s="793"/>
      <c r="B301" s="804"/>
      <c r="C301" s="797"/>
      <c r="D301" s="796"/>
      <c r="E301" s="810"/>
      <c r="F301" s="259"/>
    </row>
    <row r="302" spans="1:6">
      <c r="A302" s="811"/>
      <c r="B302" s="806"/>
      <c r="C302" s="812"/>
      <c r="D302" s="813"/>
      <c r="E302" s="810"/>
      <c r="F302" s="259"/>
    </row>
    <row r="303" spans="1:6">
      <c r="A303" s="788"/>
      <c r="B303" s="789"/>
      <c r="C303" s="790" t="s">
        <v>1600</v>
      </c>
      <c r="D303" s="791"/>
      <c r="E303" s="210"/>
      <c r="F303" s="211"/>
    </row>
    <row r="304" spans="1:6">
      <c r="A304" s="793"/>
      <c r="B304" s="794" t="s">
        <v>1601</v>
      </c>
      <c r="C304" s="795" t="s">
        <v>1602</v>
      </c>
      <c r="D304" s="796" t="s">
        <v>1603</v>
      </c>
      <c r="E304" s="216">
        <f>'[3]COSTO LUMBRO '!H304</f>
        <v>1980</v>
      </c>
      <c r="F304" s="259" t="s">
        <v>284</v>
      </c>
    </row>
    <row r="305" spans="1:6">
      <c r="A305" s="793"/>
      <c r="B305" s="794"/>
      <c r="C305" s="780" t="s">
        <v>1599</v>
      </c>
      <c r="D305" s="796"/>
      <c r="E305" s="810"/>
      <c r="F305" s="259"/>
    </row>
    <row r="306" spans="1:6">
      <c r="A306" s="793"/>
      <c r="B306" s="798"/>
      <c r="C306" s="799" t="s">
        <v>1604</v>
      </c>
      <c r="D306" s="796"/>
      <c r="E306" s="810"/>
      <c r="F306" s="259"/>
    </row>
    <row r="307" spans="1:6">
      <c r="A307" s="793"/>
      <c r="B307" s="794"/>
      <c r="D307" s="796"/>
      <c r="E307" s="810"/>
      <c r="F307" s="259"/>
    </row>
    <row r="308" spans="1:6">
      <c r="A308" s="793"/>
      <c r="B308" s="794"/>
      <c r="C308" s="801"/>
      <c r="D308" s="796"/>
      <c r="E308" s="810"/>
      <c r="F308" s="259"/>
    </row>
    <row r="309" spans="1:6">
      <c r="A309" s="793"/>
      <c r="B309" s="794"/>
      <c r="C309" s="802" t="s">
        <v>1471</v>
      </c>
      <c r="D309" s="796"/>
      <c r="E309" s="810"/>
      <c r="F309" s="259"/>
    </row>
    <row r="310" spans="1:6">
      <c r="A310" s="793"/>
      <c r="B310" s="794"/>
      <c r="C310" s="803"/>
      <c r="D310" s="796"/>
      <c r="E310" s="810"/>
      <c r="F310" s="259"/>
    </row>
    <row r="311" spans="1:6">
      <c r="A311" s="793"/>
      <c r="B311" s="804"/>
      <c r="C311" s="797"/>
      <c r="D311" s="796"/>
      <c r="E311" s="810"/>
      <c r="F311" s="259"/>
    </row>
    <row r="312" spans="1:6">
      <c r="A312" s="811"/>
      <c r="B312" s="806"/>
      <c r="C312" s="812"/>
      <c r="D312" s="813"/>
      <c r="E312" s="810"/>
      <c r="F312" s="259"/>
    </row>
    <row r="313" spans="1:6">
      <c r="A313" s="769" t="s">
        <v>1461</v>
      </c>
      <c r="B313" s="770"/>
      <c r="C313" s="1505" t="s">
        <v>1605</v>
      </c>
      <c r="D313" s="771"/>
      <c r="E313" s="771"/>
      <c r="F313" s="771"/>
    </row>
    <row r="314" spans="1:6">
      <c r="A314" s="775" t="s">
        <v>1606</v>
      </c>
      <c r="B314" s="776"/>
      <c r="C314" s="1506"/>
      <c r="D314" s="777"/>
      <c r="E314" s="777"/>
      <c r="F314" s="777"/>
    </row>
    <row r="315" spans="1:6">
      <c r="A315" s="788"/>
      <c r="B315" s="789"/>
      <c r="C315" s="790" t="s">
        <v>1607</v>
      </c>
      <c r="D315" s="791"/>
      <c r="E315" s="210"/>
      <c r="F315" s="211"/>
    </row>
    <row r="316" spans="1:6">
      <c r="A316" s="793"/>
      <c r="B316" s="794" t="s">
        <v>1608</v>
      </c>
      <c r="C316" s="795" t="s">
        <v>1609</v>
      </c>
      <c r="D316" s="796" t="s">
        <v>1610</v>
      </c>
      <c r="E316" s="216">
        <f>'[3]COSTO LUMBRO '!H316</f>
        <v>2078</v>
      </c>
      <c r="F316" s="259" t="s">
        <v>284</v>
      </c>
    </row>
    <row r="317" spans="1:6">
      <c r="A317" s="793"/>
      <c r="B317" s="794"/>
      <c r="C317" s="780" t="s">
        <v>1611</v>
      </c>
      <c r="D317" s="796"/>
      <c r="E317" s="810"/>
      <c r="F317" s="259"/>
    </row>
    <row r="318" spans="1:6">
      <c r="A318" s="793"/>
      <c r="B318" s="798"/>
      <c r="C318" s="799" t="s">
        <v>1604</v>
      </c>
      <c r="D318" s="796"/>
      <c r="E318" s="810"/>
      <c r="F318" s="259"/>
    </row>
    <row r="319" spans="1:6">
      <c r="A319" s="793"/>
      <c r="B319" s="794"/>
      <c r="D319" s="796"/>
      <c r="E319" s="810"/>
      <c r="F319" s="259"/>
    </row>
    <row r="320" spans="1:6">
      <c r="A320" s="793"/>
      <c r="B320" s="794"/>
      <c r="C320" s="801" t="s">
        <v>1612</v>
      </c>
      <c r="D320" s="796"/>
      <c r="E320" s="810"/>
      <c r="F320" s="259"/>
    </row>
    <row r="321" spans="1:6">
      <c r="A321" s="793"/>
      <c r="B321" s="794"/>
      <c r="C321" s="802" t="s">
        <v>1471</v>
      </c>
      <c r="D321" s="796"/>
      <c r="E321" s="810"/>
      <c r="F321" s="259"/>
    </row>
    <row r="322" spans="1:6">
      <c r="A322" s="793"/>
      <c r="B322" s="794"/>
      <c r="C322" s="803"/>
      <c r="D322" s="796"/>
      <c r="E322" s="810"/>
      <c r="F322" s="259"/>
    </row>
    <row r="323" spans="1:6">
      <c r="A323" s="793"/>
      <c r="B323" s="804"/>
      <c r="C323" s="797"/>
      <c r="D323" s="796"/>
      <c r="E323" s="810"/>
      <c r="F323" s="259"/>
    </row>
    <row r="324" spans="1:6">
      <c r="A324" s="811"/>
      <c r="B324" s="806"/>
      <c r="C324" s="812"/>
      <c r="D324" s="813"/>
      <c r="E324" s="810"/>
      <c r="F324" s="259"/>
    </row>
    <row r="325" spans="1:6">
      <c r="A325" s="788"/>
      <c r="B325" s="789"/>
      <c r="C325" s="790" t="s">
        <v>1613</v>
      </c>
      <c r="D325" s="791"/>
      <c r="E325" s="210"/>
      <c r="F325" s="211"/>
    </row>
    <row r="326" spans="1:6">
      <c r="A326" s="793"/>
      <c r="B326" s="794" t="s">
        <v>1614</v>
      </c>
      <c r="C326" s="795" t="s">
        <v>1615</v>
      </c>
      <c r="D326" s="796" t="s">
        <v>1616</v>
      </c>
      <c r="E326" s="216">
        <f>'[3]COSTO LUMBRO '!H326</f>
        <v>780</v>
      </c>
      <c r="F326" s="259" t="s">
        <v>284</v>
      </c>
    </row>
    <row r="327" spans="1:6">
      <c r="A327" s="793"/>
      <c r="B327" s="794"/>
      <c r="C327" s="799" t="s">
        <v>1604</v>
      </c>
      <c r="D327" s="796"/>
      <c r="E327" s="810"/>
      <c r="F327" s="259"/>
    </row>
    <row r="328" spans="1:6">
      <c r="A328" s="793"/>
      <c r="B328" s="798"/>
      <c r="C328" s="750"/>
      <c r="D328" s="796"/>
      <c r="E328" s="810"/>
      <c r="F328" s="259"/>
    </row>
    <row r="329" spans="1:6">
      <c r="A329" s="793"/>
      <c r="B329" s="794"/>
      <c r="D329" s="796"/>
      <c r="E329" s="810"/>
      <c r="F329" s="259"/>
    </row>
    <row r="330" spans="1:6">
      <c r="A330" s="793"/>
      <c r="B330" s="794"/>
      <c r="C330" s="801" t="s">
        <v>1617</v>
      </c>
      <c r="D330" s="796"/>
      <c r="E330" s="810"/>
      <c r="F330" s="259"/>
    </row>
    <row r="331" spans="1:6">
      <c r="A331" s="793"/>
      <c r="B331" s="794"/>
      <c r="C331" s="802" t="s">
        <v>1471</v>
      </c>
      <c r="D331" s="796"/>
      <c r="E331" s="810"/>
      <c r="F331" s="259"/>
    </row>
    <row r="332" spans="1:6">
      <c r="A332" s="793"/>
      <c r="B332" s="794"/>
      <c r="C332" s="803"/>
      <c r="D332" s="796"/>
      <c r="E332" s="810"/>
      <c r="F332" s="259"/>
    </row>
    <row r="333" spans="1:6">
      <c r="A333" s="793"/>
      <c r="B333" s="804"/>
      <c r="C333" s="797"/>
      <c r="D333" s="796"/>
      <c r="E333" s="810"/>
      <c r="F333" s="259"/>
    </row>
    <row r="334" spans="1:6">
      <c r="A334" s="811"/>
      <c r="B334" s="806"/>
      <c r="C334" s="812"/>
      <c r="D334" s="813"/>
      <c r="E334" s="810"/>
      <c r="F334" s="259"/>
    </row>
    <row r="335" spans="1:6">
      <c r="A335" s="788"/>
      <c r="B335" s="789"/>
      <c r="C335" s="790" t="s">
        <v>1613</v>
      </c>
      <c r="D335" s="791"/>
      <c r="E335" s="210"/>
      <c r="F335" s="211"/>
    </row>
    <row r="336" spans="1:6">
      <c r="A336" s="793"/>
      <c r="B336" s="794" t="s">
        <v>1618</v>
      </c>
      <c r="C336" s="795" t="s">
        <v>1615</v>
      </c>
      <c r="D336" s="796" t="s">
        <v>1619</v>
      </c>
      <c r="E336" s="216">
        <f>'[3]COSTO LUMBRO '!H336</f>
        <v>1156</v>
      </c>
      <c r="F336" s="259" t="s">
        <v>284</v>
      </c>
    </row>
    <row r="337" spans="1:6">
      <c r="A337" s="793"/>
      <c r="B337" s="794"/>
      <c r="C337" s="799" t="s">
        <v>1604</v>
      </c>
      <c r="D337" s="796"/>
      <c r="E337" s="810"/>
      <c r="F337" s="259"/>
    </row>
    <row r="338" spans="1:6">
      <c r="A338" s="793"/>
      <c r="B338" s="798"/>
      <c r="C338" s="750"/>
      <c r="D338" s="796"/>
      <c r="E338" s="810"/>
      <c r="F338" s="259"/>
    </row>
    <row r="339" spans="1:6">
      <c r="A339" s="793"/>
      <c r="B339" s="794"/>
      <c r="D339" s="796"/>
      <c r="E339" s="810"/>
      <c r="F339" s="259"/>
    </row>
    <row r="340" spans="1:6">
      <c r="A340" s="793"/>
      <c r="B340" s="794"/>
      <c r="C340" s="801" t="s">
        <v>1620</v>
      </c>
      <c r="D340" s="796"/>
      <c r="E340" s="810"/>
      <c r="F340" s="259"/>
    </row>
    <row r="341" spans="1:6">
      <c r="A341" s="793"/>
      <c r="B341" s="794"/>
      <c r="C341" s="802" t="s">
        <v>1471</v>
      </c>
      <c r="D341" s="796"/>
      <c r="E341" s="810"/>
      <c r="F341" s="259"/>
    </row>
    <row r="342" spans="1:6">
      <c r="A342" s="793"/>
      <c r="B342" s="794"/>
      <c r="C342" s="803"/>
      <c r="D342" s="796"/>
      <c r="E342" s="810"/>
      <c r="F342" s="259"/>
    </row>
    <row r="343" spans="1:6">
      <c r="A343" s="793"/>
      <c r="B343" s="804"/>
      <c r="C343" s="797"/>
      <c r="D343" s="796"/>
      <c r="E343" s="810"/>
      <c r="F343" s="259"/>
    </row>
    <row r="344" spans="1:6">
      <c r="A344" s="811"/>
      <c r="B344" s="806"/>
      <c r="C344" s="812"/>
      <c r="D344" s="813"/>
      <c r="E344" s="814"/>
      <c r="F344" s="815"/>
    </row>
    <row r="345" spans="1:6" ht="14.1" customHeight="1">
      <c r="A345" s="769" t="s">
        <v>1461</v>
      </c>
      <c r="B345" s="770"/>
      <c r="C345" s="1505" t="s">
        <v>1621</v>
      </c>
      <c r="D345" s="771"/>
      <c r="E345" s="771"/>
      <c r="F345" s="771"/>
    </row>
    <row r="346" spans="1:6" ht="14.1" customHeight="1">
      <c r="A346" s="775" t="s">
        <v>1622</v>
      </c>
      <c r="B346" s="776"/>
      <c r="C346" s="1506"/>
      <c r="D346" s="777"/>
      <c r="E346" s="777"/>
      <c r="F346" s="777"/>
    </row>
    <row r="347" spans="1:6">
      <c r="A347" s="788"/>
      <c r="B347" s="789"/>
      <c r="C347" s="790" t="s">
        <v>1623</v>
      </c>
      <c r="D347" s="791"/>
      <c r="E347" s="210"/>
      <c r="F347" s="211"/>
    </row>
    <row r="348" spans="1:6" ht="14.1" customHeight="1">
      <c r="A348" s="793"/>
      <c r="B348" s="794" t="s">
        <v>1624</v>
      </c>
      <c r="C348" s="1503" t="s">
        <v>1625</v>
      </c>
      <c r="D348" s="796" t="s">
        <v>1626</v>
      </c>
      <c r="E348" s="216">
        <f>'[3]COSTO LUMBRO '!H348</f>
        <v>5175</v>
      </c>
      <c r="F348" s="259" t="s">
        <v>284</v>
      </c>
    </row>
    <row r="349" spans="1:6">
      <c r="A349" s="793"/>
      <c r="B349" s="794"/>
      <c r="C349" s="1504"/>
      <c r="D349" s="796"/>
      <c r="E349" s="810"/>
      <c r="F349" s="259"/>
    </row>
    <row r="350" spans="1:6">
      <c r="A350" s="793"/>
      <c r="B350" s="798"/>
      <c r="C350" s="1504"/>
      <c r="D350" s="796"/>
      <c r="E350" s="810"/>
      <c r="F350" s="259"/>
    </row>
    <row r="351" spans="1:6" ht="15">
      <c r="A351" s="816"/>
      <c r="B351" s="794"/>
      <c r="D351" s="796"/>
      <c r="E351" s="810"/>
      <c r="F351" s="259"/>
    </row>
    <row r="352" spans="1:6">
      <c r="A352" s="793"/>
      <c r="B352" s="794"/>
      <c r="C352" s="801"/>
      <c r="D352" s="796"/>
      <c r="E352" s="810"/>
      <c r="F352" s="259"/>
    </row>
    <row r="353" spans="1:6">
      <c r="A353" s="793"/>
      <c r="B353" s="794"/>
      <c r="C353" s="802" t="s">
        <v>1471</v>
      </c>
      <c r="D353" s="796"/>
      <c r="E353" s="810"/>
      <c r="F353" s="259"/>
    </row>
    <row r="354" spans="1:6">
      <c r="A354" s="793"/>
      <c r="B354" s="794"/>
      <c r="C354" s="803"/>
      <c r="D354" s="796"/>
      <c r="E354" s="810"/>
      <c r="F354" s="259"/>
    </row>
    <row r="355" spans="1:6">
      <c r="A355" s="793"/>
      <c r="B355" s="804"/>
      <c r="C355" s="797"/>
      <c r="D355" s="796"/>
      <c r="E355" s="810"/>
      <c r="F355" s="259"/>
    </row>
    <row r="356" spans="1:6">
      <c r="A356" s="811"/>
      <c r="B356" s="806"/>
      <c r="C356" s="812"/>
      <c r="D356" s="813"/>
      <c r="E356" s="814"/>
      <c r="F356" s="815"/>
    </row>
    <row r="357" spans="1:6">
      <c r="A357" s="788"/>
      <c r="B357" s="789"/>
      <c r="C357" s="790" t="s">
        <v>1623</v>
      </c>
      <c r="D357" s="791"/>
      <c r="E357" s="210"/>
      <c r="F357" s="211"/>
    </row>
    <row r="358" spans="1:6">
      <c r="A358" s="793"/>
      <c r="B358" s="794" t="s">
        <v>1624</v>
      </c>
      <c r="C358" s="1503" t="s">
        <v>1627</v>
      </c>
      <c r="D358" s="796" t="s">
        <v>1626</v>
      </c>
      <c r="E358" s="216">
        <f>'[3]COSTO LUMBRO '!H358</f>
        <v>4746.6000000000004</v>
      </c>
      <c r="F358" s="259" t="s">
        <v>284</v>
      </c>
    </row>
    <row r="359" spans="1:6">
      <c r="A359" s="793"/>
      <c r="B359" s="794"/>
      <c r="C359" s="1504"/>
      <c r="D359" s="796"/>
      <c r="E359" s="810"/>
      <c r="F359" s="259"/>
    </row>
    <row r="360" spans="1:6">
      <c r="A360" s="793"/>
      <c r="B360" s="798"/>
      <c r="C360" s="1504"/>
      <c r="D360" s="796"/>
      <c r="E360" s="810"/>
      <c r="F360" s="259"/>
    </row>
    <row r="361" spans="1:6" ht="15">
      <c r="A361" s="816"/>
      <c r="B361" s="794"/>
      <c r="D361" s="796"/>
      <c r="E361" s="810"/>
      <c r="F361" s="259"/>
    </row>
    <row r="362" spans="1:6" ht="15">
      <c r="A362" s="816"/>
      <c r="B362" s="794"/>
      <c r="C362" s="801"/>
      <c r="D362" s="796"/>
      <c r="E362" s="810"/>
      <c r="F362" s="259"/>
    </row>
    <row r="363" spans="1:6">
      <c r="A363" s="793"/>
      <c r="B363" s="794"/>
      <c r="C363" s="802" t="s">
        <v>1471</v>
      </c>
      <c r="D363" s="796"/>
      <c r="E363" s="810"/>
      <c r="F363" s="259"/>
    </row>
    <row r="364" spans="1:6">
      <c r="A364" s="793"/>
      <c r="B364" s="794"/>
      <c r="C364" s="803"/>
      <c r="D364" s="796"/>
      <c r="E364" s="810"/>
      <c r="F364" s="259"/>
    </row>
    <row r="365" spans="1:6">
      <c r="A365" s="793"/>
      <c r="B365" s="804"/>
      <c r="C365" s="797"/>
      <c r="D365" s="796"/>
      <c r="E365" s="810"/>
      <c r="F365" s="259"/>
    </row>
    <row r="366" spans="1:6">
      <c r="A366" s="811"/>
      <c r="B366" s="806"/>
      <c r="C366" s="812"/>
      <c r="D366" s="813"/>
      <c r="E366" s="814"/>
      <c r="F366" s="815"/>
    </row>
    <row r="367" spans="1:6">
      <c r="A367" s="788"/>
      <c r="B367" s="789"/>
      <c r="C367" s="790" t="s">
        <v>1623</v>
      </c>
      <c r="D367" s="791"/>
      <c r="E367" s="210"/>
      <c r="F367" s="211"/>
    </row>
    <row r="368" spans="1:6">
      <c r="A368" s="793"/>
      <c r="B368" s="794" t="s">
        <v>1624</v>
      </c>
      <c r="C368" s="1503" t="s">
        <v>1628</v>
      </c>
      <c r="D368" s="796" t="s">
        <v>1626</v>
      </c>
      <c r="E368" s="216">
        <f>'[3]COSTO LUMBRO '!H368</f>
        <v>4746.6000000000004</v>
      </c>
      <c r="F368" s="259" t="s">
        <v>284</v>
      </c>
    </row>
    <row r="369" spans="1:6">
      <c r="A369" s="793"/>
      <c r="B369" s="794"/>
      <c r="C369" s="1504"/>
      <c r="D369" s="796"/>
      <c r="E369" s="810"/>
      <c r="F369" s="259"/>
    </row>
    <row r="370" spans="1:6">
      <c r="A370" s="793"/>
      <c r="B370" s="798"/>
      <c r="C370" s="1504"/>
      <c r="D370" s="796"/>
      <c r="E370" s="810"/>
      <c r="F370" s="259"/>
    </row>
    <row r="371" spans="1:6" ht="15">
      <c r="A371" s="816"/>
      <c r="B371" s="794"/>
      <c r="D371" s="796"/>
      <c r="E371" s="810"/>
      <c r="F371" s="259"/>
    </row>
    <row r="372" spans="1:6">
      <c r="A372" s="793"/>
      <c r="B372" s="794"/>
      <c r="C372" s="801"/>
      <c r="D372" s="796"/>
      <c r="E372" s="810"/>
      <c r="F372" s="259"/>
    </row>
    <row r="373" spans="1:6">
      <c r="A373" s="793"/>
      <c r="B373" s="794"/>
      <c r="C373" s="802" t="s">
        <v>1471</v>
      </c>
      <c r="D373" s="796"/>
      <c r="E373" s="810"/>
      <c r="F373" s="259"/>
    </row>
    <row r="374" spans="1:6">
      <c r="A374" s="793"/>
      <c r="B374" s="794"/>
      <c r="C374" s="803"/>
      <c r="D374" s="796"/>
      <c r="E374" s="810"/>
      <c r="F374" s="259"/>
    </row>
    <row r="375" spans="1:6">
      <c r="A375" s="793"/>
      <c r="B375" s="804"/>
      <c r="C375" s="797"/>
      <c r="D375" s="796"/>
      <c r="E375" s="810"/>
      <c r="F375" s="259"/>
    </row>
    <row r="376" spans="1:6">
      <c r="A376" s="811"/>
      <c r="B376" s="806"/>
      <c r="C376" s="812"/>
      <c r="D376" s="813"/>
      <c r="E376" s="814"/>
      <c r="F376" s="815"/>
    </row>
    <row r="377" spans="1:6">
      <c r="A377" s="769" t="s">
        <v>1461</v>
      </c>
      <c r="B377" s="770"/>
      <c r="C377" s="1505" t="s">
        <v>1629</v>
      </c>
      <c r="D377" s="771"/>
      <c r="E377" s="771"/>
      <c r="F377" s="771"/>
    </row>
    <row r="378" spans="1:6">
      <c r="A378" s="775" t="s">
        <v>1622</v>
      </c>
      <c r="B378" s="776"/>
      <c r="C378" s="1506"/>
      <c r="D378" s="777"/>
      <c r="E378" s="777"/>
      <c r="F378" s="777"/>
    </row>
    <row r="379" spans="1:6">
      <c r="A379" s="788"/>
      <c r="B379" s="789"/>
      <c r="C379" s="790" t="s">
        <v>1613</v>
      </c>
      <c r="D379" s="791"/>
      <c r="E379" s="791"/>
      <c r="F379" s="791"/>
    </row>
    <row r="380" spans="1:6">
      <c r="A380" s="793"/>
      <c r="B380" s="794" t="s">
        <v>1624</v>
      </c>
      <c r="C380" s="1503" t="s">
        <v>1630</v>
      </c>
      <c r="D380" s="796" t="s">
        <v>1626</v>
      </c>
      <c r="E380" s="796">
        <f>'[3]COSTO LUMBRO '!H380</f>
        <v>2628.14</v>
      </c>
      <c r="F380" s="259" t="s">
        <v>284</v>
      </c>
    </row>
    <row r="381" spans="1:6" ht="15">
      <c r="A381" s="816"/>
      <c r="B381" s="794"/>
      <c r="C381" s="1504"/>
      <c r="D381" s="796"/>
      <c r="E381" s="796"/>
      <c r="F381" s="794"/>
    </row>
    <row r="382" spans="1:6">
      <c r="A382" s="793"/>
      <c r="B382" s="798"/>
      <c r="C382" s="1504"/>
      <c r="D382" s="796"/>
      <c r="E382" s="796"/>
      <c r="F382" s="794"/>
    </row>
    <row r="383" spans="1:6" ht="15">
      <c r="A383" s="816"/>
      <c r="B383" s="794"/>
      <c r="D383" s="796"/>
      <c r="E383" s="796"/>
      <c r="F383" s="794"/>
    </row>
    <row r="384" spans="1:6">
      <c r="A384" s="793"/>
      <c r="B384" s="794"/>
      <c r="C384" s="801"/>
      <c r="D384" s="796"/>
      <c r="E384" s="796"/>
      <c r="F384" s="794"/>
    </row>
    <row r="385" spans="1:6">
      <c r="A385" s="793"/>
      <c r="B385" s="794"/>
      <c r="C385" s="802" t="s">
        <v>1471</v>
      </c>
      <c r="D385" s="796"/>
      <c r="E385" s="796"/>
      <c r="F385" s="794"/>
    </row>
    <row r="386" spans="1:6">
      <c r="A386" s="793"/>
      <c r="B386" s="794"/>
      <c r="C386" s="802"/>
      <c r="D386" s="796"/>
      <c r="E386" s="796"/>
      <c r="F386" s="794"/>
    </row>
    <row r="387" spans="1:6">
      <c r="A387" s="793"/>
      <c r="B387" s="794"/>
      <c r="C387" s="802"/>
      <c r="D387" s="796"/>
      <c r="E387" s="796"/>
      <c r="F387" s="794"/>
    </row>
    <row r="388" spans="1:6">
      <c r="A388" s="793"/>
      <c r="B388" s="794"/>
      <c r="C388" s="802"/>
      <c r="D388" s="796"/>
      <c r="E388" s="796"/>
      <c r="F388" s="794"/>
    </row>
    <row r="389" spans="1:6">
      <c r="A389" s="793"/>
      <c r="B389" s="794"/>
      <c r="C389" s="802"/>
      <c r="D389" s="796"/>
      <c r="E389" s="796"/>
      <c r="F389" s="794"/>
    </row>
    <row r="390" spans="1:6">
      <c r="A390" s="793"/>
      <c r="B390" s="794"/>
      <c r="C390" s="802"/>
      <c r="D390" s="796"/>
      <c r="E390" s="796"/>
      <c r="F390" s="794"/>
    </row>
    <row r="391" spans="1:6">
      <c r="A391" s="793"/>
      <c r="B391" s="794"/>
      <c r="C391" s="802"/>
      <c r="D391" s="796"/>
      <c r="E391" s="796"/>
      <c r="F391" s="794"/>
    </row>
    <row r="392" spans="1:6">
      <c r="A392" s="793"/>
      <c r="B392" s="794"/>
      <c r="C392" s="803"/>
      <c r="D392" s="796"/>
      <c r="E392" s="796"/>
      <c r="F392" s="794"/>
    </row>
    <row r="393" spans="1:6" ht="15">
      <c r="A393" s="793"/>
      <c r="B393" s="804"/>
      <c r="C393" s="816"/>
      <c r="D393" s="796"/>
      <c r="E393" s="796"/>
      <c r="F393" s="794"/>
    </row>
    <row r="394" spans="1:6">
      <c r="A394" s="811"/>
      <c r="B394" s="806"/>
      <c r="C394" s="812"/>
      <c r="D394" s="813"/>
      <c r="E394" s="813"/>
      <c r="F394" s="806"/>
    </row>
    <row r="395" spans="1:6">
      <c r="A395" s="788"/>
      <c r="B395" s="789"/>
      <c r="C395" s="790" t="s">
        <v>1623</v>
      </c>
      <c r="D395" s="791"/>
      <c r="E395" s="210"/>
      <c r="F395" s="211"/>
    </row>
    <row r="396" spans="1:6">
      <c r="A396" s="793"/>
      <c r="B396" s="794" t="s">
        <v>1624</v>
      </c>
      <c r="C396" s="795" t="s">
        <v>1631</v>
      </c>
      <c r="D396" s="796" t="s">
        <v>1632</v>
      </c>
      <c r="E396" s="216">
        <f>'[3]COSTO LUMBRO '!H396</f>
        <v>700</v>
      </c>
      <c r="F396" s="259" t="s">
        <v>284</v>
      </c>
    </row>
    <row r="397" spans="1:6">
      <c r="A397" s="793"/>
      <c r="B397" s="794"/>
      <c r="C397" s="799"/>
      <c r="D397" s="796"/>
      <c r="E397" s="810"/>
      <c r="F397" s="259"/>
    </row>
    <row r="398" spans="1:6">
      <c r="A398" s="793"/>
      <c r="B398" s="798"/>
      <c r="C398" s="750"/>
      <c r="D398" s="796"/>
      <c r="E398" s="810"/>
      <c r="F398" s="259"/>
    </row>
    <row r="399" spans="1:6">
      <c r="A399" s="793"/>
      <c r="B399" s="794"/>
      <c r="D399" s="796"/>
      <c r="E399" s="810"/>
      <c r="F399" s="259"/>
    </row>
    <row r="400" spans="1:6">
      <c r="A400" s="793"/>
      <c r="B400" s="794"/>
      <c r="C400" s="801"/>
      <c r="D400" s="796"/>
      <c r="E400" s="810"/>
      <c r="F400" s="259"/>
    </row>
    <row r="401" spans="1:6" ht="15">
      <c r="A401" s="816"/>
      <c r="B401" s="794"/>
      <c r="C401" s="802" t="s">
        <v>1471</v>
      </c>
      <c r="D401" s="796"/>
      <c r="E401" s="810"/>
      <c r="F401" s="259"/>
    </row>
    <row r="402" spans="1:6">
      <c r="A402" s="793"/>
      <c r="B402" s="794"/>
      <c r="C402" s="803"/>
      <c r="D402" s="796"/>
      <c r="E402" s="810"/>
      <c r="F402" s="259"/>
    </row>
    <row r="403" spans="1:6">
      <c r="A403" s="793"/>
      <c r="B403" s="804"/>
      <c r="C403" s="797"/>
      <c r="D403" s="796"/>
      <c r="E403" s="810"/>
      <c r="F403" s="259"/>
    </row>
    <row r="404" spans="1:6">
      <c r="A404" s="811"/>
      <c r="B404" s="806"/>
      <c r="C404" s="812"/>
      <c r="D404" s="813"/>
      <c r="E404" s="814"/>
      <c r="F404" s="815"/>
    </row>
    <row r="405" spans="1:6">
      <c r="A405" s="788"/>
      <c r="B405" s="789"/>
      <c r="C405" s="790" t="s">
        <v>1623</v>
      </c>
      <c r="D405" s="791"/>
      <c r="E405" s="210"/>
      <c r="F405" s="211"/>
    </row>
    <row r="406" spans="1:6">
      <c r="A406" s="793"/>
      <c r="B406" s="794" t="s">
        <v>1624</v>
      </c>
      <c r="C406" s="1503" t="s">
        <v>1633</v>
      </c>
      <c r="D406" s="796" t="s">
        <v>1634</v>
      </c>
      <c r="E406" s="216">
        <f>'[3]COSTO LUMBRO '!H406</f>
        <v>1541.6</v>
      </c>
      <c r="F406" s="259" t="s">
        <v>284</v>
      </c>
    </row>
    <row r="407" spans="1:6">
      <c r="A407" s="793"/>
      <c r="B407" s="794"/>
      <c r="C407" s="1504"/>
      <c r="D407" s="796"/>
      <c r="E407" s="810"/>
      <c r="F407" s="259"/>
    </row>
    <row r="408" spans="1:6">
      <c r="A408" s="793"/>
      <c r="B408" s="798"/>
      <c r="C408" s="750"/>
      <c r="D408" s="796"/>
      <c r="E408" s="810"/>
      <c r="F408" s="259"/>
    </row>
    <row r="409" spans="1:6" ht="15">
      <c r="A409" s="816"/>
      <c r="B409" s="794"/>
      <c r="D409" s="796"/>
      <c r="E409" s="810"/>
      <c r="F409" s="259"/>
    </row>
    <row r="410" spans="1:6">
      <c r="A410" s="793"/>
      <c r="B410" s="794"/>
      <c r="C410" s="801"/>
      <c r="D410" s="796"/>
      <c r="E410" s="810"/>
      <c r="F410" s="259"/>
    </row>
    <row r="411" spans="1:6">
      <c r="A411" s="793"/>
      <c r="B411" s="794"/>
      <c r="C411" s="802" t="s">
        <v>1471</v>
      </c>
      <c r="D411" s="796"/>
      <c r="E411" s="810"/>
      <c r="F411" s="259"/>
    </row>
    <row r="412" spans="1:6">
      <c r="A412" s="793"/>
      <c r="B412" s="794"/>
      <c r="C412" s="803"/>
      <c r="D412" s="796"/>
      <c r="E412" s="810"/>
      <c r="F412" s="259"/>
    </row>
    <row r="413" spans="1:6">
      <c r="A413" s="793"/>
      <c r="B413" s="804"/>
      <c r="C413" s="797"/>
      <c r="D413" s="796"/>
      <c r="E413" s="810"/>
      <c r="F413" s="259"/>
    </row>
    <row r="414" spans="1:6">
      <c r="A414" s="811"/>
      <c r="B414" s="806"/>
      <c r="C414" s="812"/>
      <c r="D414" s="813"/>
      <c r="E414" s="814"/>
      <c r="F414" s="815"/>
    </row>
    <row r="415" spans="1:6">
      <c r="A415" s="788"/>
      <c r="B415" s="789"/>
      <c r="C415" s="790" t="s">
        <v>1623</v>
      </c>
      <c r="D415" s="791"/>
      <c r="E415" s="210"/>
      <c r="F415" s="211"/>
    </row>
    <row r="416" spans="1:6">
      <c r="A416" s="793"/>
      <c r="B416" s="794" t="s">
        <v>1624</v>
      </c>
      <c r="C416" s="1503" t="s">
        <v>1635</v>
      </c>
      <c r="D416" s="796" t="s">
        <v>1636</v>
      </c>
      <c r="E416" s="216">
        <f>'[3]COSTO LUMBRO '!H416</f>
        <v>540</v>
      </c>
      <c r="F416" s="259" t="s">
        <v>284</v>
      </c>
    </row>
    <row r="417" spans="1:6">
      <c r="A417" s="793"/>
      <c r="B417" s="794"/>
      <c r="C417" s="1504"/>
      <c r="D417" s="796"/>
      <c r="E417" s="810"/>
      <c r="F417" s="259"/>
    </row>
    <row r="418" spans="1:6" ht="15">
      <c r="A418" s="816"/>
      <c r="B418" s="798"/>
      <c r="C418" s="750"/>
      <c r="D418" s="796"/>
      <c r="E418" s="810"/>
      <c r="F418" s="259"/>
    </row>
    <row r="419" spans="1:6" ht="15">
      <c r="A419" s="816"/>
      <c r="B419" s="794"/>
      <c r="D419" s="796"/>
      <c r="E419" s="810"/>
      <c r="F419" s="259"/>
    </row>
    <row r="420" spans="1:6">
      <c r="A420" s="793"/>
      <c r="B420" s="794"/>
      <c r="C420" s="801"/>
      <c r="D420" s="796"/>
      <c r="E420" s="810"/>
      <c r="F420" s="259"/>
    </row>
    <row r="421" spans="1:6">
      <c r="A421" s="793"/>
      <c r="B421" s="794"/>
      <c r="C421" s="802" t="s">
        <v>1471</v>
      </c>
      <c r="D421" s="796"/>
      <c r="E421" s="810"/>
      <c r="F421" s="259"/>
    </row>
    <row r="422" spans="1:6">
      <c r="A422" s="793"/>
      <c r="B422" s="794"/>
      <c r="C422" s="803"/>
      <c r="D422" s="796"/>
      <c r="E422" s="810"/>
      <c r="F422" s="259"/>
    </row>
    <row r="423" spans="1:6">
      <c r="A423" s="793"/>
      <c r="B423" s="804"/>
      <c r="C423" s="797"/>
      <c r="D423" s="796"/>
      <c r="E423" s="810"/>
      <c r="F423" s="259"/>
    </row>
    <row r="424" spans="1:6">
      <c r="A424" s="811"/>
      <c r="B424" s="806"/>
      <c r="C424" s="812"/>
      <c r="D424" s="813"/>
      <c r="E424" s="814"/>
      <c r="F424" s="815"/>
    </row>
    <row r="425" spans="1:6">
      <c r="A425" s="788"/>
      <c r="B425" s="789"/>
      <c r="C425" s="790"/>
      <c r="D425" s="791"/>
      <c r="E425" s="210"/>
      <c r="F425" s="211"/>
    </row>
    <row r="426" spans="1:6">
      <c r="A426" s="793"/>
      <c r="B426" s="794"/>
      <c r="C426" s="1503"/>
      <c r="D426" s="796"/>
      <c r="E426" s="216"/>
      <c r="F426" s="259"/>
    </row>
    <row r="427" spans="1:6">
      <c r="A427" s="793"/>
      <c r="B427" s="794"/>
      <c r="C427" s="1504"/>
      <c r="D427" s="796"/>
      <c r="E427" s="810"/>
      <c r="F427" s="259"/>
    </row>
    <row r="428" spans="1:6" ht="15">
      <c r="A428" s="816"/>
      <c r="B428" s="798"/>
      <c r="C428" s="750"/>
      <c r="D428" s="796"/>
      <c r="E428" s="810"/>
      <c r="F428" s="259"/>
    </row>
    <row r="429" spans="1:6" ht="15">
      <c r="A429" s="816"/>
      <c r="B429" s="794"/>
      <c r="D429" s="796"/>
      <c r="E429" s="810"/>
      <c r="F429" s="259"/>
    </row>
    <row r="430" spans="1:6">
      <c r="A430" s="793"/>
      <c r="B430" s="794"/>
      <c r="C430" s="801"/>
      <c r="D430" s="796"/>
      <c r="E430" s="810"/>
      <c r="F430" s="259"/>
    </row>
    <row r="431" spans="1:6">
      <c r="A431" s="793"/>
      <c r="B431" s="794"/>
      <c r="C431" s="802"/>
      <c r="D431" s="796"/>
      <c r="E431" s="810"/>
      <c r="F431" s="259"/>
    </row>
    <row r="432" spans="1:6">
      <c r="A432" s="793"/>
      <c r="B432" s="794"/>
      <c r="C432" s="803"/>
      <c r="D432" s="796"/>
      <c r="E432" s="810"/>
      <c r="F432" s="259"/>
    </row>
    <row r="433" spans="1:6">
      <c r="A433" s="793"/>
      <c r="B433" s="804"/>
      <c r="C433" s="797"/>
      <c r="D433" s="796"/>
      <c r="E433" s="810"/>
      <c r="F433" s="259"/>
    </row>
    <row r="434" spans="1:6">
      <c r="A434" s="811"/>
      <c r="B434" s="806"/>
      <c r="C434" s="812"/>
      <c r="D434" s="813"/>
      <c r="E434" s="814"/>
      <c r="F434" s="815"/>
    </row>
    <row r="435" spans="1:6">
      <c r="A435" s="788"/>
      <c r="B435" s="789"/>
      <c r="C435" s="790" t="s">
        <v>1623</v>
      </c>
      <c r="D435" s="791"/>
      <c r="E435" s="791"/>
      <c r="F435" s="791"/>
    </row>
    <row r="436" spans="1:6">
      <c r="A436" s="793"/>
      <c r="B436" s="794" t="s">
        <v>1624</v>
      </c>
      <c r="C436" s="1503" t="s">
        <v>1637</v>
      </c>
      <c r="D436" s="796"/>
      <c r="E436" s="796">
        <f>'[3]COSTO LUMBRO '!H436</f>
        <v>2156</v>
      </c>
      <c r="F436" s="259" t="s">
        <v>284</v>
      </c>
    </row>
    <row r="437" spans="1:6">
      <c r="A437" s="793"/>
      <c r="B437" s="794"/>
      <c r="C437" s="1504"/>
      <c r="D437" s="796"/>
      <c r="E437" s="796"/>
      <c r="F437" s="794"/>
    </row>
    <row r="438" spans="1:6" ht="15">
      <c r="A438" s="816"/>
      <c r="B438" s="798"/>
      <c r="C438" s="750"/>
      <c r="D438" s="796"/>
      <c r="E438" s="796"/>
      <c r="F438" s="794"/>
    </row>
    <row r="439" spans="1:6" ht="15">
      <c r="A439" s="816"/>
      <c r="B439" s="794"/>
      <c r="D439" s="796"/>
      <c r="E439" s="796"/>
      <c r="F439" s="794"/>
    </row>
    <row r="440" spans="1:6">
      <c r="A440" s="793"/>
      <c r="B440" s="794"/>
      <c r="C440" s="801"/>
      <c r="D440" s="796"/>
      <c r="E440" s="796"/>
      <c r="F440" s="794"/>
    </row>
    <row r="441" spans="1:6">
      <c r="A441" s="793"/>
      <c r="B441" s="794"/>
      <c r="C441" s="802" t="s">
        <v>1471</v>
      </c>
      <c r="D441" s="796"/>
      <c r="E441" s="796"/>
      <c r="F441" s="794"/>
    </row>
    <row r="442" spans="1:6" ht="15">
      <c r="A442" s="793"/>
      <c r="B442" s="816"/>
      <c r="C442" s="802" t="s">
        <v>1638</v>
      </c>
      <c r="D442" s="796"/>
      <c r="E442" s="796"/>
      <c r="F442" s="794"/>
    </row>
    <row r="443" spans="1:6">
      <c r="A443" s="793"/>
      <c r="B443" s="794"/>
      <c r="C443" s="803"/>
      <c r="D443" s="796"/>
      <c r="E443" s="796"/>
      <c r="F443" s="794"/>
    </row>
    <row r="444" spans="1:6">
      <c r="A444" s="793"/>
      <c r="B444" s="794"/>
      <c r="C444" s="803"/>
      <c r="D444" s="796"/>
      <c r="E444" s="796"/>
      <c r="F444" s="794"/>
    </row>
    <row r="445" spans="1:6">
      <c r="A445" s="793"/>
      <c r="B445" s="794"/>
      <c r="C445" s="803"/>
      <c r="D445" s="796"/>
      <c r="E445" s="796"/>
      <c r="F445" s="794"/>
    </row>
    <row r="446" spans="1:6">
      <c r="A446" s="793"/>
      <c r="B446" s="794"/>
      <c r="C446" s="803"/>
      <c r="D446" s="796"/>
      <c r="E446" s="796"/>
      <c r="F446" s="794"/>
    </row>
    <row r="447" spans="1:6">
      <c r="A447" s="793"/>
      <c r="B447" s="804"/>
      <c r="C447" s="797"/>
      <c r="D447" s="796"/>
      <c r="E447" s="796"/>
      <c r="F447" s="794"/>
    </row>
    <row r="448" spans="1:6">
      <c r="A448" s="811"/>
      <c r="B448" s="806"/>
      <c r="C448" s="812"/>
      <c r="D448" s="813"/>
      <c r="E448" s="813"/>
      <c r="F448" s="806"/>
    </row>
    <row r="449" spans="1:6">
      <c r="A449" s="769" t="s">
        <v>1461</v>
      </c>
      <c r="B449" s="770"/>
      <c r="C449" s="1505" t="s">
        <v>1639</v>
      </c>
      <c r="D449" s="771"/>
      <c r="E449" s="771"/>
      <c r="F449" s="771"/>
    </row>
    <row r="450" spans="1:6">
      <c r="A450" s="775" t="s">
        <v>1640</v>
      </c>
      <c r="B450" s="776"/>
      <c r="C450" s="1506"/>
      <c r="D450" s="777"/>
      <c r="E450" s="777"/>
      <c r="F450" s="777"/>
    </row>
    <row r="451" spans="1:6">
      <c r="A451" s="788"/>
      <c r="B451" s="789"/>
      <c r="C451" s="790" t="s">
        <v>1641</v>
      </c>
      <c r="D451" s="791"/>
      <c r="E451" s="210"/>
      <c r="F451" s="211"/>
    </row>
    <row r="452" spans="1:6">
      <c r="A452" s="793"/>
      <c r="B452" s="794" t="s">
        <v>1642</v>
      </c>
      <c r="C452" s="1503" t="s">
        <v>1643</v>
      </c>
      <c r="D452" s="796"/>
      <c r="E452" s="216">
        <f>'[3]COSTO LUMBRO '!H452</f>
        <v>2980</v>
      </c>
      <c r="F452" s="817" t="s">
        <v>284</v>
      </c>
    </row>
    <row r="453" spans="1:6">
      <c r="A453" s="793"/>
      <c r="B453" s="794"/>
      <c r="C453" s="1504"/>
      <c r="D453" s="796"/>
      <c r="E453" s="810"/>
      <c r="F453" s="217"/>
    </row>
    <row r="454" spans="1:6" ht="15">
      <c r="A454" s="816"/>
      <c r="B454" s="798"/>
      <c r="C454" s="799" t="s">
        <v>1644</v>
      </c>
      <c r="D454" s="796"/>
      <c r="E454" s="810"/>
      <c r="F454" s="217"/>
    </row>
    <row r="455" spans="1:6" ht="15">
      <c r="A455" s="816"/>
      <c r="B455" s="794"/>
      <c r="D455" s="796"/>
      <c r="E455" s="810"/>
      <c r="F455" s="217"/>
    </row>
    <row r="456" spans="1:6">
      <c r="A456" s="793"/>
      <c r="B456" s="794"/>
      <c r="C456" s="801"/>
      <c r="D456" s="796"/>
      <c r="E456" s="810"/>
      <c r="F456" s="217"/>
    </row>
    <row r="457" spans="1:6">
      <c r="A457" s="793"/>
      <c r="B457" s="794"/>
      <c r="C457" s="802" t="s">
        <v>1471</v>
      </c>
      <c r="D457" s="796"/>
      <c r="E457" s="810"/>
      <c r="F457" s="217"/>
    </row>
    <row r="458" spans="1:6">
      <c r="A458" s="793"/>
      <c r="B458" s="794"/>
      <c r="C458" s="803"/>
      <c r="D458" s="796"/>
      <c r="E458" s="810"/>
      <c r="F458" s="217"/>
    </row>
    <row r="459" spans="1:6">
      <c r="A459" s="793"/>
      <c r="B459" s="804"/>
      <c r="C459" s="797"/>
      <c r="D459" s="796"/>
      <c r="E459" s="810"/>
      <c r="F459" s="223"/>
    </row>
    <row r="460" spans="1:6">
      <c r="A460" s="811"/>
      <c r="B460" s="806"/>
      <c r="C460" s="812"/>
      <c r="D460" s="813"/>
      <c r="E460" s="814"/>
      <c r="F460" s="818"/>
    </row>
    <row r="461" spans="1:6">
      <c r="A461" s="788"/>
      <c r="B461" s="789"/>
      <c r="C461" s="790" t="s">
        <v>1645</v>
      </c>
      <c r="D461" s="791"/>
      <c r="E461" s="210"/>
      <c r="F461" s="211"/>
    </row>
    <row r="462" spans="1:6">
      <c r="A462" s="793"/>
      <c r="B462" s="794" t="s">
        <v>1646</v>
      </c>
      <c r="C462" s="1503" t="s">
        <v>1647</v>
      </c>
      <c r="D462" s="796"/>
      <c r="E462" s="216">
        <f>'[3]COSTO LUMBRO '!H462</f>
        <v>2180</v>
      </c>
      <c r="F462" s="217" t="s">
        <v>284</v>
      </c>
    </row>
    <row r="463" spans="1:6">
      <c r="A463" s="793"/>
      <c r="B463" s="794"/>
      <c r="C463" s="1504"/>
      <c r="D463" s="796"/>
      <c r="E463" s="810"/>
      <c r="F463" s="217"/>
    </row>
    <row r="464" spans="1:6" ht="15">
      <c r="A464" s="816"/>
      <c r="B464" s="798"/>
      <c r="C464" s="799" t="s">
        <v>1644</v>
      </c>
      <c r="D464" s="796"/>
      <c r="E464" s="810"/>
      <c r="F464" s="217"/>
    </row>
    <row r="465" spans="1:6" ht="15">
      <c r="A465" s="816"/>
      <c r="B465" s="794"/>
      <c r="D465" s="796"/>
      <c r="E465" s="810"/>
      <c r="F465" s="217"/>
    </row>
    <row r="466" spans="1:6">
      <c r="A466" s="793"/>
      <c r="B466" s="794"/>
      <c r="C466" s="801"/>
      <c r="D466" s="796"/>
      <c r="E466" s="810"/>
      <c r="F466" s="217"/>
    </row>
    <row r="467" spans="1:6">
      <c r="A467" s="793"/>
      <c r="B467" s="794"/>
      <c r="C467" s="802" t="s">
        <v>1471</v>
      </c>
      <c r="D467" s="796"/>
      <c r="E467" s="810"/>
      <c r="F467" s="217"/>
    </row>
    <row r="468" spans="1:6">
      <c r="A468" s="793"/>
      <c r="B468" s="794"/>
      <c r="C468" s="803"/>
      <c r="D468" s="796"/>
      <c r="E468" s="810"/>
      <c r="F468" s="217"/>
    </row>
    <row r="469" spans="1:6">
      <c r="A469" s="793"/>
      <c r="B469" s="804"/>
      <c r="C469" s="797"/>
      <c r="D469" s="796"/>
      <c r="E469" s="810"/>
      <c r="F469" s="223"/>
    </row>
    <row r="470" spans="1:6">
      <c r="A470" s="811"/>
      <c r="B470" s="806"/>
      <c r="C470" s="812"/>
      <c r="D470" s="813"/>
      <c r="E470" s="814"/>
      <c r="F470" s="818"/>
    </row>
    <row r="471" spans="1:6">
      <c r="A471" s="788"/>
      <c r="B471" s="789"/>
      <c r="C471" s="790" t="s">
        <v>1648</v>
      </c>
      <c r="D471" s="791"/>
      <c r="E471" s="210"/>
      <c r="F471" s="211"/>
    </row>
    <row r="472" spans="1:6">
      <c r="A472" s="793"/>
      <c r="B472" s="794" t="s">
        <v>1649</v>
      </c>
      <c r="C472" s="1503" t="s">
        <v>1650</v>
      </c>
      <c r="D472" s="796"/>
      <c r="E472" s="216">
        <f>'[3]COSTO LUMBRO '!H472</f>
        <v>2980</v>
      </c>
      <c r="F472" s="217" t="s">
        <v>284</v>
      </c>
    </row>
    <row r="473" spans="1:6">
      <c r="A473" s="793"/>
      <c r="B473" s="794"/>
      <c r="C473" s="1504"/>
      <c r="D473" s="796"/>
      <c r="E473" s="810"/>
      <c r="F473" s="217"/>
    </row>
    <row r="474" spans="1:6" ht="15">
      <c r="A474" s="816"/>
      <c r="B474" s="798"/>
      <c r="C474" s="799" t="s">
        <v>1644</v>
      </c>
      <c r="D474" s="796"/>
      <c r="E474" s="810"/>
      <c r="F474" s="217"/>
    </row>
    <row r="475" spans="1:6" ht="15">
      <c r="A475" s="816"/>
      <c r="B475" s="794"/>
      <c r="D475" s="796"/>
      <c r="E475" s="810"/>
      <c r="F475" s="217"/>
    </row>
    <row r="476" spans="1:6">
      <c r="A476" s="793"/>
      <c r="B476" s="794"/>
      <c r="C476" s="801"/>
      <c r="D476" s="796"/>
      <c r="E476" s="810"/>
      <c r="F476" s="217"/>
    </row>
    <row r="477" spans="1:6">
      <c r="A477" s="793"/>
      <c r="B477" s="794"/>
      <c r="C477" s="802" t="s">
        <v>1471</v>
      </c>
      <c r="D477" s="796"/>
      <c r="E477" s="810"/>
      <c r="F477" s="217"/>
    </row>
    <row r="478" spans="1:6">
      <c r="A478" s="793"/>
      <c r="B478" s="794"/>
      <c r="C478" s="803"/>
      <c r="D478" s="796"/>
      <c r="E478" s="810"/>
      <c r="F478" s="217"/>
    </row>
    <row r="479" spans="1:6">
      <c r="A479" s="793"/>
      <c r="B479" s="804"/>
      <c r="C479" s="797"/>
      <c r="D479" s="796"/>
      <c r="E479" s="810"/>
      <c r="F479" s="223"/>
    </row>
    <row r="480" spans="1:6">
      <c r="A480" s="811"/>
      <c r="B480" s="806"/>
      <c r="C480" s="812"/>
      <c r="D480" s="813"/>
      <c r="E480" s="814"/>
      <c r="F480" s="818"/>
    </row>
    <row r="481" spans="1:6">
      <c r="A481" s="788"/>
      <c r="B481" s="789"/>
      <c r="C481" s="790" t="s">
        <v>1651</v>
      </c>
      <c r="D481" s="791"/>
      <c r="E481" s="210"/>
      <c r="F481" s="211"/>
    </row>
    <row r="482" spans="1:6">
      <c r="A482" s="793"/>
      <c r="B482" s="794" t="s">
        <v>1652</v>
      </c>
      <c r="C482" s="1503" t="s">
        <v>1653</v>
      </c>
      <c r="D482" s="796"/>
      <c r="E482" s="216">
        <f>'[3]COSTO LUMBRO '!H482</f>
        <v>5648</v>
      </c>
      <c r="F482" s="217" t="s">
        <v>284</v>
      </c>
    </row>
    <row r="483" spans="1:6">
      <c r="A483" s="793"/>
      <c r="B483" s="794"/>
      <c r="C483" s="1504"/>
      <c r="D483" s="796"/>
      <c r="E483" s="810"/>
      <c r="F483" s="217"/>
    </row>
    <row r="484" spans="1:6" ht="15">
      <c r="A484" s="816"/>
      <c r="B484" s="798"/>
      <c r="C484" s="799" t="s">
        <v>1644</v>
      </c>
      <c r="D484" s="796"/>
      <c r="E484" s="810"/>
      <c r="F484" s="217"/>
    </row>
    <row r="485" spans="1:6" ht="15">
      <c r="A485" s="816"/>
      <c r="B485" s="794"/>
      <c r="D485" s="796"/>
      <c r="E485" s="810"/>
      <c r="F485" s="217"/>
    </row>
    <row r="486" spans="1:6">
      <c r="A486" s="793"/>
      <c r="B486" s="794"/>
      <c r="C486" s="801"/>
      <c r="D486" s="796"/>
      <c r="E486" s="810"/>
      <c r="F486" s="217"/>
    </row>
    <row r="487" spans="1:6">
      <c r="A487" s="793"/>
      <c r="B487" s="794"/>
      <c r="C487" s="802" t="s">
        <v>1471</v>
      </c>
      <c r="D487" s="796"/>
      <c r="E487" s="810"/>
      <c r="F487" s="217"/>
    </row>
    <row r="488" spans="1:6">
      <c r="A488" s="793"/>
      <c r="B488" s="794"/>
      <c r="C488" s="803"/>
      <c r="D488" s="796"/>
      <c r="E488" s="810"/>
      <c r="F488" s="217"/>
    </row>
    <row r="489" spans="1:6">
      <c r="A489" s="793"/>
      <c r="B489" s="804"/>
      <c r="C489" s="797"/>
      <c r="D489" s="796"/>
      <c r="E489" s="810"/>
      <c r="F489" s="223"/>
    </row>
    <row r="490" spans="1:6">
      <c r="A490" s="811"/>
      <c r="B490" s="806"/>
      <c r="C490" s="812"/>
      <c r="D490" s="813"/>
      <c r="E490" s="814"/>
      <c r="F490" s="818"/>
    </row>
    <row r="491" spans="1:6">
      <c r="A491" s="788"/>
      <c r="B491" s="789"/>
      <c r="C491" s="790" t="s">
        <v>1654</v>
      </c>
      <c r="D491" s="791"/>
      <c r="E491" s="210"/>
      <c r="F491" s="211"/>
    </row>
    <row r="492" spans="1:6">
      <c r="A492" s="793"/>
      <c r="B492" s="794" t="s">
        <v>1655</v>
      </c>
      <c r="C492" s="1503" t="s">
        <v>1656</v>
      </c>
      <c r="D492" s="796"/>
      <c r="E492" s="216">
        <f>'[3]COSTO LUMBRO '!H492</f>
        <v>8300</v>
      </c>
      <c r="F492" s="217" t="s">
        <v>284</v>
      </c>
    </row>
    <row r="493" spans="1:6">
      <c r="A493" s="793"/>
      <c r="B493" s="794"/>
      <c r="C493" s="1504"/>
      <c r="D493" s="796"/>
      <c r="E493" s="810"/>
      <c r="F493" s="217"/>
    </row>
    <row r="494" spans="1:6" ht="15">
      <c r="A494" s="816"/>
      <c r="B494" s="798"/>
      <c r="C494" s="799" t="s">
        <v>1644</v>
      </c>
      <c r="D494" s="796"/>
      <c r="E494" s="810"/>
      <c r="F494" s="217"/>
    </row>
    <row r="495" spans="1:6" ht="15">
      <c r="A495" s="816"/>
      <c r="B495" s="794"/>
      <c r="D495" s="796"/>
      <c r="E495" s="810"/>
      <c r="F495" s="217"/>
    </row>
    <row r="496" spans="1:6">
      <c r="A496" s="793"/>
      <c r="B496" s="794"/>
      <c r="C496" s="801"/>
      <c r="D496" s="796"/>
      <c r="E496" s="810"/>
      <c r="F496" s="217"/>
    </row>
    <row r="497" spans="1:6">
      <c r="A497" s="793"/>
      <c r="B497" s="794"/>
      <c r="C497" s="802" t="s">
        <v>1471</v>
      </c>
      <c r="D497" s="796"/>
      <c r="E497" s="810"/>
      <c r="F497" s="217"/>
    </row>
    <row r="498" spans="1:6">
      <c r="A498" s="793"/>
      <c r="B498" s="794"/>
      <c r="C498" s="803"/>
      <c r="D498" s="796"/>
      <c r="E498" s="810"/>
      <c r="F498" s="217"/>
    </row>
    <row r="499" spans="1:6">
      <c r="A499" s="793"/>
      <c r="B499" s="804"/>
      <c r="C499" s="797"/>
      <c r="D499" s="796"/>
      <c r="E499" s="810"/>
      <c r="F499" s="223"/>
    </row>
    <row r="500" spans="1:6">
      <c r="A500" s="811"/>
      <c r="B500" s="806"/>
      <c r="C500" s="812"/>
      <c r="D500" s="813"/>
      <c r="E500" s="814"/>
      <c r="F500" s="818"/>
    </row>
    <row r="501" spans="1:6">
      <c r="A501" s="788"/>
      <c r="B501" s="789"/>
      <c r="C501" s="790" t="s">
        <v>1657</v>
      </c>
      <c r="D501" s="791"/>
      <c r="E501" s="210"/>
      <c r="F501" s="211"/>
    </row>
    <row r="502" spans="1:6">
      <c r="A502" s="793"/>
      <c r="B502" s="794" t="s">
        <v>1658</v>
      </c>
      <c r="C502" s="1503" t="s">
        <v>1659</v>
      </c>
      <c r="D502" s="796"/>
      <c r="E502" s="216">
        <f>'[3]COSTO LUMBRO '!H502</f>
        <v>10960</v>
      </c>
      <c r="F502" s="217" t="s">
        <v>284</v>
      </c>
    </row>
    <row r="503" spans="1:6">
      <c r="A503" s="793"/>
      <c r="B503" s="794"/>
      <c r="C503" s="1504"/>
      <c r="D503" s="796"/>
      <c r="E503" s="810"/>
      <c r="F503" s="217"/>
    </row>
    <row r="504" spans="1:6" ht="15">
      <c r="A504" s="816"/>
      <c r="B504" s="798"/>
      <c r="C504" s="799" t="s">
        <v>1644</v>
      </c>
      <c r="D504" s="796"/>
      <c r="E504" s="810"/>
      <c r="F504" s="217"/>
    </row>
    <row r="505" spans="1:6" ht="15">
      <c r="A505" s="816"/>
      <c r="B505" s="794"/>
      <c r="D505" s="796"/>
      <c r="E505" s="810"/>
      <c r="F505" s="217"/>
    </row>
    <row r="506" spans="1:6">
      <c r="A506" s="793"/>
      <c r="B506" s="794"/>
      <c r="C506" s="801"/>
      <c r="D506" s="796"/>
      <c r="E506" s="810"/>
      <c r="F506" s="217"/>
    </row>
    <row r="507" spans="1:6">
      <c r="A507" s="793"/>
      <c r="B507" s="794"/>
      <c r="C507" s="802" t="s">
        <v>1471</v>
      </c>
      <c r="D507" s="796"/>
      <c r="E507" s="810"/>
      <c r="F507" s="217"/>
    </row>
    <row r="508" spans="1:6">
      <c r="A508" s="793"/>
      <c r="B508" s="794"/>
      <c r="C508" s="803"/>
      <c r="D508" s="796"/>
      <c r="E508" s="810"/>
      <c r="F508" s="217"/>
    </row>
    <row r="509" spans="1:6">
      <c r="A509" s="793"/>
      <c r="B509" s="804"/>
      <c r="C509" s="797"/>
      <c r="D509" s="796"/>
      <c r="E509" s="810"/>
      <c r="F509" s="223"/>
    </row>
    <row r="510" spans="1:6">
      <c r="A510" s="811"/>
      <c r="B510" s="806"/>
      <c r="C510" s="812"/>
      <c r="D510" s="813"/>
      <c r="E510" s="814"/>
      <c r="F510" s="818"/>
    </row>
    <row r="511" spans="1:6">
      <c r="A511" s="788"/>
      <c r="B511" s="789"/>
      <c r="C511" s="790" t="s">
        <v>1660</v>
      </c>
      <c r="D511" s="791"/>
      <c r="E511" s="210"/>
      <c r="F511" s="211"/>
    </row>
    <row r="512" spans="1:6">
      <c r="A512" s="793"/>
      <c r="B512" s="794" t="s">
        <v>1661</v>
      </c>
      <c r="C512" s="1503" t="s">
        <v>1662</v>
      </c>
      <c r="D512" s="796"/>
      <c r="E512" s="216">
        <f>'[3]COSTO LUMBRO '!H512</f>
        <v>3960</v>
      </c>
      <c r="F512" s="217" t="s">
        <v>284</v>
      </c>
    </row>
    <row r="513" spans="1:6">
      <c r="A513" s="793"/>
      <c r="B513" s="794"/>
      <c r="C513" s="1504"/>
      <c r="D513" s="796"/>
      <c r="E513" s="810"/>
      <c r="F513" s="259"/>
    </row>
    <row r="514" spans="1:6" ht="15">
      <c r="A514" s="816"/>
      <c r="B514" s="798"/>
      <c r="C514" s="799" t="s">
        <v>1663</v>
      </c>
      <c r="D514" s="796"/>
      <c r="E514" s="810"/>
      <c r="F514" s="259"/>
    </row>
    <row r="515" spans="1:6" ht="15">
      <c r="A515" s="816"/>
      <c r="B515" s="794"/>
      <c r="D515" s="796"/>
      <c r="E515" s="810"/>
      <c r="F515" s="259"/>
    </row>
    <row r="516" spans="1:6">
      <c r="A516" s="793"/>
      <c r="B516" s="794"/>
      <c r="C516" s="801"/>
      <c r="D516" s="796"/>
      <c r="E516" s="810"/>
      <c r="F516" s="259"/>
    </row>
    <row r="517" spans="1:6">
      <c r="A517" s="793"/>
      <c r="B517" s="794"/>
      <c r="C517" s="802" t="s">
        <v>1471</v>
      </c>
      <c r="D517" s="796"/>
      <c r="E517" s="810"/>
      <c r="F517" s="259"/>
    </row>
    <row r="518" spans="1:6">
      <c r="A518" s="793"/>
      <c r="B518" s="794"/>
      <c r="C518" s="803"/>
      <c r="D518" s="796"/>
      <c r="E518" s="810"/>
      <c r="F518" s="259"/>
    </row>
    <row r="519" spans="1:6">
      <c r="A519" s="793"/>
      <c r="B519" s="804"/>
      <c r="C519" s="797"/>
      <c r="D519" s="796"/>
      <c r="E519" s="810"/>
      <c r="F519" s="259"/>
    </row>
    <row r="520" spans="1:6">
      <c r="A520" s="811"/>
      <c r="B520" s="806"/>
      <c r="C520" s="812"/>
      <c r="D520" s="813"/>
      <c r="E520" s="814"/>
      <c r="F520" s="815"/>
    </row>
  </sheetData>
  <mergeCells count="24">
    <mergeCell ref="C380:C382"/>
    <mergeCell ref="A5:B5"/>
    <mergeCell ref="E5:F5"/>
    <mergeCell ref="C6:C7"/>
    <mergeCell ref="C159:C160"/>
    <mergeCell ref="C251:C252"/>
    <mergeCell ref="C313:C314"/>
    <mergeCell ref="C345:C346"/>
    <mergeCell ref="C348:C350"/>
    <mergeCell ref="C358:C360"/>
    <mergeCell ref="C368:C370"/>
    <mergeCell ref="C377:C378"/>
    <mergeCell ref="C512:C513"/>
    <mergeCell ref="C406:C407"/>
    <mergeCell ref="C416:C417"/>
    <mergeCell ref="C426:C427"/>
    <mergeCell ref="C436:C437"/>
    <mergeCell ref="C449:C450"/>
    <mergeCell ref="C452:C453"/>
    <mergeCell ref="C462:C463"/>
    <mergeCell ref="C472:C473"/>
    <mergeCell ref="C482:C483"/>
    <mergeCell ref="C492:C493"/>
    <mergeCell ref="C502:C503"/>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defaultColWidth="10.85546875" defaultRowHeight="14.1"/>
  <cols>
    <col min="1" max="1" width="42.42578125" style="828" customWidth="1"/>
    <col min="2" max="2" width="17.28515625" style="952" bestFit="1" customWidth="1"/>
    <col min="3" max="3" width="98.85546875" style="894" customWidth="1"/>
    <col min="4" max="4" width="17.85546875" style="828" customWidth="1"/>
    <col min="5" max="5" width="15.42578125" style="330" customWidth="1"/>
    <col min="6" max="6" width="13.140625" style="514" customWidth="1"/>
    <col min="7" max="8" width="12" style="828" bestFit="1" customWidth="1"/>
    <col min="9" max="13" width="10.85546875" style="828"/>
    <col min="14" max="60" width="10.85546875" style="829"/>
    <col min="61" max="16384" width="10.85546875" style="828"/>
  </cols>
  <sheetData>
    <row r="1" spans="1:63" ht="15" customHeight="1">
      <c r="A1" s="825"/>
      <c r="B1" s="826"/>
      <c r="C1" s="827"/>
      <c r="D1" s="1516" t="s">
        <v>1664</v>
      </c>
      <c r="E1" s="1516"/>
      <c r="F1" s="1517"/>
    </row>
    <row r="2" spans="1:63" s="834" customFormat="1" ht="27.75" customHeight="1">
      <c r="A2" s="830"/>
      <c r="B2" s="831"/>
      <c r="C2" s="832"/>
      <c r="D2" s="1518"/>
      <c r="E2" s="1518"/>
      <c r="F2" s="1519"/>
      <c r="G2" s="833"/>
    </row>
    <row r="3" spans="1:63" s="834" customFormat="1" ht="15" customHeight="1">
      <c r="A3" s="830"/>
      <c r="B3" s="831"/>
      <c r="C3" s="835"/>
      <c r="D3" s="1520" t="s">
        <v>1665</v>
      </c>
      <c r="E3" s="1520"/>
      <c r="F3" s="1521"/>
      <c r="G3" s="833"/>
    </row>
    <row r="4" spans="1:63" s="834" customFormat="1">
      <c r="A4" s="836"/>
      <c r="B4" s="837"/>
      <c r="C4" s="762"/>
      <c r="D4" s="1522" t="s">
        <v>1666</v>
      </c>
      <c r="E4" s="1522"/>
      <c r="F4" s="1523"/>
      <c r="G4" s="833"/>
    </row>
    <row r="5" spans="1:63" s="841" customFormat="1" ht="15" customHeight="1">
      <c r="A5" s="1514"/>
      <c r="B5" s="1515"/>
      <c r="C5" s="838" t="s">
        <v>507</v>
      </c>
      <c r="D5" s="839" t="s">
        <v>508</v>
      </c>
      <c r="E5" s="1509">
        <f ca="1">(TODAY())</f>
        <v>46278</v>
      </c>
      <c r="F5" s="1510"/>
      <c r="G5" s="833"/>
      <c r="H5" s="840"/>
      <c r="I5" s="840"/>
      <c r="J5" s="840"/>
      <c r="K5" s="840"/>
      <c r="L5" s="840"/>
      <c r="M5" s="840"/>
      <c r="N5" s="840"/>
      <c r="O5" s="840"/>
      <c r="P5" s="840"/>
      <c r="Q5" s="840"/>
      <c r="R5" s="840"/>
      <c r="S5" s="840"/>
      <c r="T5" s="840"/>
      <c r="U5" s="840"/>
    </row>
    <row r="6" spans="1:63" s="841" customFormat="1" ht="15" customHeight="1">
      <c r="A6" s="842" t="s">
        <v>1667</v>
      </c>
      <c r="B6" s="843"/>
      <c r="C6" s="1511" t="s">
        <v>1668</v>
      </c>
      <c r="D6" s="842"/>
      <c r="E6" s="311"/>
      <c r="F6" s="235"/>
      <c r="G6" s="845"/>
      <c r="H6" s="846"/>
      <c r="I6" s="847"/>
      <c r="J6" s="840"/>
      <c r="K6" s="840"/>
      <c r="L6" s="840"/>
      <c r="M6" s="840"/>
      <c r="N6" s="840"/>
      <c r="O6" s="840"/>
      <c r="P6" s="840"/>
      <c r="Q6" s="848"/>
      <c r="R6" s="848"/>
      <c r="S6" s="848"/>
      <c r="T6" s="848"/>
      <c r="U6" s="848"/>
      <c r="V6" s="848"/>
      <c r="W6" s="848"/>
      <c r="X6" s="848"/>
      <c r="Y6" s="848"/>
      <c r="Z6" s="848"/>
      <c r="AA6" s="848"/>
      <c r="AB6" s="848"/>
      <c r="AC6" s="848"/>
      <c r="AD6" s="848"/>
      <c r="AE6" s="848"/>
      <c r="AF6" s="848"/>
      <c r="AG6" s="848"/>
      <c r="AH6" s="848"/>
      <c r="AI6" s="848"/>
      <c r="AJ6" s="848"/>
      <c r="AK6" s="848"/>
      <c r="AL6" s="848"/>
      <c r="AM6" s="848"/>
      <c r="AN6" s="848"/>
      <c r="AO6" s="848"/>
      <c r="AP6" s="848"/>
      <c r="AQ6" s="848"/>
      <c r="AR6" s="848"/>
      <c r="AS6" s="848"/>
      <c r="AT6" s="848"/>
      <c r="AU6" s="848"/>
      <c r="AV6" s="848"/>
      <c r="AW6" s="848"/>
      <c r="AX6" s="848"/>
      <c r="AY6" s="848"/>
      <c r="AZ6" s="848"/>
      <c r="BA6" s="848"/>
      <c r="BB6" s="848"/>
      <c r="BC6" s="848"/>
      <c r="BD6" s="848"/>
      <c r="BE6" s="848"/>
      <c r="BF6" s="848"/>
      <c r="BG6" s="848"/>
      <c r="BH6" s="848"/>
      <c r="BI6" s="848"/>
      <c r="BJ6" s="848"/>
      <c r="BK6" s="848"/>
    </row>
    <row r="7" spans="1:63" s="857" customFormat="1" ht="15" customHeight="1">
      <c r="A7" s="849" t="s">
        <v>1669</v>
      </c>
      <c r="B7" s="850"/>
      <c r="C7" s="1512"/>
      <c r="D7" s="851"/>
      <c r="E7" s="313"/>
      <c r="F7" s="286"/>
      <c r="G7" s="852"/>
      <c r="H7" s="853"/>
      <c r="I7" s="854"/>
      <c r="J7" s="855"/>
      <c r="K7" s="855"/>
      <c r="L7" s="855"/>
      <c r="M7" s="855"/>
      <c r="N7" s="855"/>
      <c r="O7" s="855"/>
      <c r="P7" s="855"/>
      <c r="Q7" s="856"/>
      <c r="R7" s="856"/>
      <c r="S7" s="856"/>
      <c r="T7" s="856"/>
      <c r="U7" s="856"/>
      <c r="V7" s="856"/>
      <c r="W7" s="856"/>
      <c r="X7" s="856"/>
      <c r="Y7" s="856"/>
      <c r="Z7" s="856"/>
      <c r="AA7" s="856"/>
      <c r="AB7" s="856"/>
      <c r="AC7" s="856"/>
      <c r="AD7" s="856"/>
      <c r="AE7" s="856"/>
      <c r="AF7" s="856"/>
      <c r="AG7" s="856"/>
      <c r="AH7" s="856"/>
      <c r="AI7" s="856"/>
      <c r="AJ7" s="856"/>
      <c r="AK7" s="856"/>
      <c r="AL7" s="856"/>
      <c r="AM7" s="856"/>
      <c r="AN7" s="856"/>
      <c r="AO7" s="856"/>
      <c r="AP7" s="856"/>
      <c r="AQ7" s="856"/>
      <c r="AR7" s="856"/>
      <c r="AS7" s="856"/>
      <c r="AT7" s="856"/>
      <c r="AU7" s="856"/>
      <c r="AV7" s="856"/>
      <c r="AW7" s="856"/>
      <c r="AX7" s="856"/>
      <c r="AY7" s="856"/>
      <c r="AZ7" s="856"/>
      <c r="BA7" s="856"/>
      <c r="BB7" s="856"/>
      <c r="BC7" s="856"/>
      <c r="BD7" s="856"/>
      <c r="BE7" s="856"/>
      <c r="BF7" s="856"/>
      <c r="BG7" s="856"/>
      <c r="BH7" s="856"/>
      <c r="BI7" s="856"/>
      <c r="BJ7" s="856"/>
      <c r="BK7" s="856"/>
    </row>
    <row r="8" spans="1:63" s="860" customFormat="1">
      <c r="A8" s="858" t="s">
        <v>512</v>
      </c>
      <c r="B8" s="859" t="s">
        <v>513</v>
      </c>
      <c r="C8" s="201" t="s">
        <v>514</v>
      </c>
      <c r="D8" s="858" t="s">
        <v>515</v>
      </c>
      <c r="E8" s="202" t="s">
        <v>516</v>
      </c>
      <c r="F8" s="203" t="s">
        <v>1670</v>
      </c>
      <c r="G8" s="841"/>
      <c r="N8" s="861"/>
      <c r="O8" s="861"/>
      <c r="P8" s="861"/>
      <c r="Q8" s="861"/>
      <c r="R8" s="861"/>
      <c r="S8" s="861"/>
      <c r="T8" s="861"/>
      <c r="U8" s="861"/>
      <c r="V8" s="861"/>
      <c r="W8" s="861"/>
      <c r="X8" s="861"/>
      <c r="Y8" s="861"/>
      <c r="Z8" s="861"/>
      <c r="AA8" s="861"/>
      <c r="AB8" s="861"/>
      <c r="AC8" s="861"/>
      <c r="AD8" s="861"/>
      <c r="AE8" s="861"/>
      <c r="AF8" s="861"/>
      <c r="AG8" s="861"/>
      <c r="AH8" s="861"/>
      <c r="AI8" s="861"/>
      <c r="AJ8" s="861"/>
      <c r="AK8" s="861"/>
      <c r="AL8" s="861"/>
      <c r="AM8" s="861"/>
      <c r="AN8" s="861"/>
      <c r="AO8" s="861"/>
      <c r="AP8" s="861"/>
      <c r="AQ8" s="861"/>
      <c r="AR8" s="861"/>
      <c r="AS8" s="861"/>
      <c r="AT8" s="861"/>
      <c r="AU8" s="861"/>
      <c r="AV8" s="861"/>
      <c r="AW8" s="861"/>
      <c r="AX8" s="861"/>
      <c r="AY8" s="861"/>
      <c r="AZ8" s="861"/>
      <c r="BA8" s="861"/>
      <c r="BB8" s="861"/>
      <c r="BC8" s="861"/>
      <c r="BD8" s="861"/>
      <c r="BE8" s="861"/>
      <c r="BF8" s="861"/>
      <c r="BG8" s="861"/>
      <c r="BH8" s="861"/>
    </row>
    <row r="9" spans="1:63" ht="14.1" customHeight="1">
      <c r="A9" s="862"/>
      <c r="B9" s="863"/>
      <c r="C9" s="864" t="s">
        <v>1671</v>
      </c>
      <c r="D9" s="865"/>
      <c r="E9" s="318"/>
      <c r="F9" s="866"/>
    </row>
    <row r="10" spans="1:63" ht="14.1" customHeight="1">
      <c r="A10" s="867"/>
      <c r="B10" s="868" t="s">
        <v>1672</v>
      </c>
      <c r="C10" s="869" t="s">
        <v>1673</v>
      </c>
      <c r="D10" s="870" t="s">
        <v>1674</v>
      </c>
      <c r="E10" s="320">
        <f>'[4]COSTO CDMX,QRO,GDL '!I10</f>
        <v>15833.333333333334</v>
      </c>
      <c r="F10" s="217" t="s">
        <v>284</v>
      </c>
      <c r="J10" s="871"/>
    </row>
    <row r="11" spans="1:63" ht="14.1" customHeight="1">
      <c r="A11" s="872"/>
      <c r="B11" s="873"/>
      <c r="C11" s="869" t="s">
        <v>1675</v>
      </c>
      <c r="D11" s="874"/>
      <c r="E11" s="227"/>
      <c r="F11" s="296"/>
    </row>
    <row r="12" spans="1:63" ht="14.1" customHeight="1">
      <c r="A12" s="872"/>
      <c r="B12" s="873"/>
      <c r="C12" s="875"/>
      <c r="D12" s="874"/>
      <c r="E12" s="227"/>
      <c r="F12" s="296"/>
    </row>
    <row r="13" spans="1:63" ht="14.1" customHeight="1">
      <c r="A13" s="872"/>
      <c r="B13" s="873"/>
      <c r="C13" s="876"/>
      <c r="D13" s="874"/>
      <c r="E13" s="227"/>
      <c r="F13" s="296"/>
    </row>
    <row r="14" spans="1:63" ht="14.1" customHeight="1">
      <c r="A14" s="872"/>
      <c r="B14" s="873"/>
      <c r="C14" s="877" t="s">
        <v>1676</v>
      </c>
      <c r="D14" s="874"/>
      <c r="E14" s="227"/>
      <c r="F14" s="296"/>
    </row>
    <row r="15" spans="1:63" ht="14.1" customHeight="1">
      <c r="A15" s="872"/>
      <c r="B15" s="878"/>
      <c r="C15" s="879"/>
      <c r="D15" s="874"/>
      <c r="E15" s="227"/>
      <c r="F15" s="308"/>
    </row>
    <row r="16" spans="1:63" ht="14.1" customHeight="1">
      <c r="A16" s="872"/>
      <c r="B16" s="878"/>
      <c r="C16" s="879"/>
      <c r="D16" s="874"/>
      <c r="E16" s="227"/>
      <c r="F16" s="308"/>
    </row>
    <row r="17" spans="1:63" ht="14.1" customHeight="1">
      <c r="A17" s="872"/>
      <c r="B17" s="878"/>
      <c r="C17" s="879"/>
      <c r="D17" s="874"/>
      <c r="E17" s="227"/>
      <c r="F17" s="308"/>
    </row>
    <row r="18" spans="1:63" ht="14.1" customHeight="1">
      <c r="A18" s="872"/>
      <c r="B18" s="878"/>
      <c r="C18" s="879"/>
      <c r="D18" s="874"/>
      <c r="E18" s="227"/>
      <c r="F18" s="308"/>
    </row>
    <row r="19" spans="1:63" s="841" customFormat="1" ht="15" customHeight="1">
      <c r="A19" s="842" t="s">
        <v>1667</v>
      </c>
      <c r="B19" s="843"/>
      <c r="C19" s="1511" t="s">
        <v>1677</v>
      </c>
      <c r="D19" s="842"/>
      <c r="E19" s="235"/>
      <c r="F19" s="235"/>
      <c r="G19" s="845"/>
      <c r="H19" s="880"/>
      <c r="I19" s="881"/>
      <c r="J19" s="840"/>
      <c r="K19" s="840"/>
      <c r="L19" s="840"/>
      <c r="M19" s="840"/>
      <c r="N19" s="840"/>
      <c r="O19" s="840"/>
      <c r="P19" s="840"/>
      <c r="Q19" s="848"/>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8"/>
      <c r="AP19" s="848"/>
      <c r="AQ19" s="848"/>
      <c r="AR19" s="848"/>
      <c r="AS19" s="848"/>
      <c r="AT19" s="848"/>
      <c r="AU19" s="848"/>
      <c r="AV19" s="848"/>
      <c r="AW19" s="848"/>
      <c r="AX19" s="848"/>
      <c r="AY19" s="848"/>
      <c r="AZ19" s="848"/>
      <c r="BA19" s="848"/>
      <c r="BB19" s="848"/>
      <c r="BC19" s="848"/>
      <c r="BD19" s="848"/>
      <c r="BE19" s="848"/>
      <c r="BF19" s="848"/>
      <c r="BG19" s="848"/>
      <c r="BH19" s="848"/>
      <c r="BI19" s="848"/>
      <c r="BJ19" s="848"/>
      <c r="BK19" s="848"/>
    </row>
    <row r="20" spans="1:63" s="857" customFormat="1" ht="15" customHeight="1">
      <c r="A20" s="849" t="s">
        <v>1669</v>
      </c>
      <c r="B20" s="850"/>
      <c r="C20" s="1512"/>
      <c r="D20" s="851"/>
      <c r="E20" s="286"/>
      <c r="F20" s="286"/>
      <c r="G20" s="852"/>
      <c r="H20" s="882"/>
      <c r="I20" s="883"/>
      <c r="J20" s="855"/>
      <c r="K20" s="855"/>
      <c r="L20" s="855"/>
      <c r="M20" s="855"/>
      <c r="N20" s="855"/>
      <c r="O20" s="855"/>
      <c r="P20" s="855"/>
      <c r="Q20" s="856"/>
      <c r="R20" s="856"/>
      <c r="S20" s="856"/>
      <c r="T20" s="856"/>
      <c r="U20" s="856"/>
      <c r="V20" s="856"/>
      <c r="W20" s="856"/>
      <c r="X20" s="856"/>
      <c r="Y20" s="856"/>
      <c r="Z20" s="856"/>
      <c r="AA20" s="856"/>
      <c r="AB20" s="856"/>
      <c r="AC20" s="856"/>
      <c r="AD20" s="856"/>
      <c r="AE20" s="856"/>
      <c r="AF20" s="856"/>
      <c r="AG20" s="856"/>
      <c r="AH20" s="856"/>
      <c r="AI20" s="856"/>
      <c r="AJ20" s="856"/>
      <c r="AK20" s="856"/>
      <c r="AL20" s="856"/>
      <c r="AM20" s="856"/>
      <c r="AN20" s="856"/>
      <c r="AO20" s="856"/>
      <c r="AP20" s="856"/>
      <c r="AQ20" s="856"/>
      <c r="AR20" s="856"/>
      <c r="AS20" s="856"/>
      <c r="AT20" s="856"/>
      <c r="AU20" s="856"/>
      <c r="AV20" s="856"/>
      <c r="AW20" s="856"/>
      <c r="AX20" s="856"/>
      <c r="AY20" s="856"/>
      <c r="AZ20" s="856"/>
      <c r="BA20" s="856"/>
      <c r="BB20" s="856"/>
      <c r="BC20" s="856"/>
      <c r="BD20" s="856"/>
      <c r="BE20" s="856"/>
      <c r="BF20" s="856"/>
      <c r="BG20" s="856"/>
      <c r="BH20" s="856"/>
      <c r="BI20" s="856"/>
      <c r="BJ20" s="856"/>
      <c r="BK20" s="856"/>
    </row>
    <row r="21" spans="1:63" s="860" customFormat="1">
      <c r="A21" s="858" t="s">
        <v>512</v>
      </c>
      <c r="B21" s="859" t="s">
        <v>513</v>
      </c>
      <c r="C21" s="201" t="s">
        <v>514</v>
      </c>
      <c r="D21" s="858" t="s">
        <v>515</v>
      </c>
      <c r="E21" s="202" t="s">
        <v>516</v>
      </c>
      <c r="F21" s="203" t="s">
        <v>1670</v>
      </c>
      <c r="G21" s="841"/>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61"/>
      <c r="AS21" s="861"/>
      <c r="AT21" s="861"/>
      <c r="AU21" s="861"/>
      <c r="AV21" s="861"/>
      <c r="AW21" s="861"/>
      <c r="AX21" s="861"/>
      <c r="AY21" s="861"/>
      <c r="AZ21" s="861"/>
      <c r="BA21" s="861"/>
      <c r="BB21" s="861"/>
      <c r="BC21" s="861"/>
      <c r="BD21" s="861"/>
      <c r="BE21" s="861"/>
      <c r="BF21" s="861"/>
      <c r="BG21" s="861"/>
      <c r="BH21" s="861"/>
    </row>
    <row r="22" spans="1:63" ht="14.1" customHeight="1">
      <c r="A22" s="884"/>
      <c r="B22" s="885"/>
      <c r="C22" s="886" t="s">
        <v>1678</v>
      </c>
      <c r="D22" s="887"/>
      <c r="E22" s="324"/>
      <c r="F22" s="211"/>
    </row>
    <row r="23" spans="1:63" ht="14.1" customHeight="1">
      <c r="A23" s="888"/>
      <c r="B23" s="889" t="s">
        <v>1679</v>
      </c>
      <c r="C23" s="890" t="s">
        <v>1680</v>
      </c>
      <c r="D23" s="874" t="s">
        <v>1681</v>
      </c>
      <c r="E23" s="320">
        <f>'[4]COSTO CDMX,QRO,GDL '!I23</f>
        <v>1408.3333333333335</v>
      </c>
      <c r="F23" s="259" t="s">
        <v>284</v>
      </c>
    </row>
    <row r="24" spans="1:63" ht="14.1" customHeight="1">
      <c r="A24" s="888"/>
      <c r="B24" s="889" t="s">
        <v>1682</v>
      </c>
      <c r="C24" s="890" t="s">
        <v>1683</v>
      </c>
      <c r="D24" s="874" t="s">
        <v>1684</v>
      </c>
      <c r="E24" s="242">
        <f>'[4]COSTO CDMX,QRO,GDL '!I24</f>
        <v>1468.6</v>
      </c>
      <c r="F24" s="259" t="s">
        <v>284</v>
      </c>
    </row>
    <row r="25" spans="1:63" ht="14.1" customHeight="1">
      <c r="A25" s="888"/>
      <c r="B25" s="889" t="s">
        <v>1685</v>
      </c>
      <c r="C25" s="875" t="s">
        <v>1686</v>
      </c>
      <c r="D25" s="874" t="s">
        <v>1687</v>
      </c>
      <c r="E25" s="242">
        <f>'[4]COSTO CDMX,QRO,GDL '!I25</f>
        <v>1542.1166666666668</v>
      </c>
      <c r="F25" s="259" t="s">
        <v>284</v>
      </c>
    </row>
    <row r="26" spans="1:63" ht="14.1" customHeight="1">
      <c r="A26" s="888"/>
      <c r="B26" s="889" t="s">
        <v>1688</v>
      </c>
      <c r="C26" s="890"/>
      <c r="D26" s="874" t="s">
        <v>1689</v>
      </c>
      <c r="E26" s="242">
        <f>'[4]COSTO CDMX,QRO,GDL '!I26</f>
        <v>1544.4166666666667</v>
      </c>
      <c r="F26" s="259" t="s">
        <v>284</v>
      </c>
    </row>
    <row r="27" spans="1:63" ht="14.1" customHeight="1">
      <c r="A27" s="888"/>
      <c r="B27" s="889" t="s">
        <v>1690</v>
      </c>
      <c r="C27" s="890"/>
      <c r="D27" s="874" t="s">
        <v>1691</v>
      </c>
      <c r="E27" s="242">
        <f>'[4]COSTO CDMX,QRO,GDL '!I27</f>
        <v>1607.8833333333334</v>
      </c>
      <c r="F27" s="259" t="s">
        <v>284</v>
      </c>
    </row>
    <row r="28" spans="1:63" ht="14.1" customHeight="1">
      <c r="A28" s="888"/>
      <c r="B28" s="891"/>
      <c r="C28" s="890"/>
      <c r="D28" s="874"/>
      <c r="E28" s="325"/>
      <c r="F28" s="326"/>
    </row>
    <row r="29" spans="1:63" ht="14.1" customHeight="1">
      <c r="A29" s="888"/>
      <c r="B29" s="891"/>
      <c r="C29" s="890"/>
      <c r="D29" s="874"/>
      <c r="E29" s="325"/>
      <c r="F29" s="296"/>
    </row>
    <row r="30" spans="1:63" ht="14.1" customHeight="1">
      <c r="A30" s="888"/>
      <c r="B30" s="891"/>
      <c r="C30" s="890"/>
      <c r="D30" s="874"/>
      <c r="E30" s="325"/>
      <c r="F30" s="296"/>
    </row>
    <row r="31" spans="1:63" ht="14.1" customHeight="1">
      <c r="A31" s="888"/>
      <c r="B31" s="891"/>
      <c r="C31" s="890"/>
      <c r="D31" s="874"/>
      <c r="E31" s="325"/>
      <c r="F31" s="296"/>
    </row>
    <row r="32" spans="1:63" ht="14.1" customHeight="1">
      <c r="A32" s="888"/>
      <c r="B32" s="889" t="s">
        <v>1692</v>
      </c>
      <c r="C32" s="890" t="s">
        <v>1680</v>
      </c>
      <c r="D32" s="874" t="s">
        <v>1693</v>
      </c>
      <c r="E32" s="242">
        <f>'[4]COSTO CDMX,QRO,GDL '!I32</f>
        <v>1796.3833333333332</v>
      </c>
      <c r="F32" s="217" t="s">
        <v>284</v>
      </c>
    </row>
    <row r="33" spans="1:6" ht="14.1" customHeight="1">
      <c r="A33" s="888"/>
      <c r="B33" s="889" t="s">
        <v>1694</v>
      </c>
      <c r="C33" s="890" t="s">
        <v>1683</v>
      </c>
      <c r="D33" s="874" t="s">
        <v>1695</v>
      </c>
      <c r="E33" s="242">
        <f>'[4]COSTO CDMX,QRO,GDL '!I33</f>
        <v>1911.8666666666666</v>
      </c>
      <c r="F33" s="217" t="s">
        <v>284</v>
      </c>
    </row>
    <row r="34" spans="1:6" ht="14.1" customHeight="1">
      <c r="A34" s="888"/>
      <c r="B34" s="889" t="s">
        <v>1696</v>
      </c>
      <c r="C34" s="875" t="s">
        <v>1697</v>
      </c>
      <c r="D34" s="874" t="s">
        <v>1698</v>
      </c>
      <c r="E34" s="242">
        <f>'[4]COSTO CDMX,QRO,GDL '!I34</f>
        <v>1952.4</v>
      </c>
      <c r="F34" s="217" t="s">
        <v>284</v>
      </c>
    </row>
    <row r="35" spans="1:6" ht="14.1" customHeight="1">
      <c r="A35" s="888"/>
      <c r="B35" s="889" t="s">
        <v>1699</v>
      </c>
      <c r="C35" s="890"/>
      <c r="D35" s="874" t="s">
        <v>1700</v>
      </c>
      <c r="E35" s="242">
        <f>'[4]COSTO CDMX,QRO,GDL '!I35</f>
        <v>2204.7166666666667</v>
      </c>
      <c r="F35" s="217" t="s">
        <v>284</v>
      </c>
    </row>
    <row r="36" spans="1:6" ht="14.1" customHeight="1">
      <c r="A36" s="888"/>
      <c r="B36" s="889"/>
      <c r="C36" s="828"/>
      <c r="D36" s="874"/>
      <c r="E36" s="242"/>
      <c r="F36" s="296"/>
    </row>
    <row r="37" spans="1:6" ht="14.1" customHeight="1">
      <c r="A37" s="888"/>
      <c r="B37" s="891"/>
      <c r="C37" s="828"/>
      <c r="D37" s="874"/>
      <c r="E37" s="242"/>
      <c r="F37" s="280"/>
    </row>
    <row r="38" spans="1:6" ht="14.1" customHeight="1">
      <c r="A38" s="888"/>
      <c r="B38" s="891"/>
      <c r="C38" s="890"/>
      <c r="D38" s="874"/>
      <c r="E38" s="242"/>
      <c r="F38" s="296"/>
    </row>
    <row r="39" spans="1:6" ht="14.1" customHeight="1">
      <c r="A39" s="888"/>
      <c r="B39" s="891"/>
      <c r="C39" s="890"/>
      <c r="D39" s="874"/>
      <c r="E39" s="327"/>
      <c r="F39" s="296"/>
    </row>
    <row r="40" spans="1:6" ht="14.1" customHeight="1">
      <c r="A40" s="884"/>
      <c r="B40" s="885"/>
      <c r="C40" s="886" t="s">
        <v>1701</v>
      </c>
      <c r="D40" s="887"/>
      <c r="E40" s="892"/>
      <c r="F40" s="887"/>
    </row>
    <row r="41" spans="1:6" ht="14.1" customHeight="1">
      <c r="A41" s="888"/>
      <c r="B41" s="889" t="s">
        <v>1702</v>
      </c>
      <c r="C41" s="890" t="s">
        <v>1703</v>
      </c>
      <c r="D41" s="874" t="s">
        <v>1681</v>
      </c>
      <c r="E41" s="242">
        <f>'[4]COSTO CDMX,QRO,GDL '!I41</f>
        <v>1830.6833333333336</v>
      </c>
      <c r="F41" s="217" t="s">
        <v>284</v>
      </c>
    </row>
    <row r="42" spans="1:6" ht="14.1" customHeight="1">
      <c r="A42" s="888"/>
      <c r="B42" s="889" t="s">
        <v>1704</v>
      </c>
      <c r="C42" s="890" t="s">
        <v>1683</v>
      </c>
      <c r="D42" s="874" t="s">
        <v>1684</v>
      </c>
      <c r="E42" s="242">
        <f>'[4]COSTO CDMX,QRO,GDL '!I42</f>
        <v>1889.1666666666667</v>
      </c>
      <c r="F42" s="217" t="s">
        <v>284</v>
      </c>
    </row>
    <row r="43" spans="1:6" ht="14.1" customHeight="1">
      <c r="A43" s="888"/>
      <c r="B43" s="889" t="s">
        <v>1705</v>
      </c>
      <c r="C43" s="875" t="s">
        <v>1686</v>
      </c>
      <c r="D43" s="874" t="s">
        <v>1687</v>
      </c>
      <c r="E43" s="242">
        <f>'[4]COSTO CDMX,QRO,GDL '!I43</f>
        <v>1960.7333333333336</v>
      </c>
      <c r="F43" s="217" t="s">
        <v>284</v>
      </c>
    </row>
    <row r="44" spans="1:6" ht="14.1" customHeight="1">
      <c r="A44" s="888"/>
      <c r="B44" s="889" t="s">
        <v>1706</v>
      </c>
      <c r="C44" s="890"/>
      <c r="D44" s="874" t="s">
        <v>1689</v>
      </c>
      <c r="E44" s="242">
        <f>'[4]COSTO CDMX,QRO,GDL '!I44</f>
        <v>1963.0333333333333</v>
      </c>
      <c r="F44" s="217" t="s">
        <v>284</v>
      </c>
    </row>
    <row r="45" spans="1:6" ht="14.1" customHeight="1">
      <c r="A45" s="888"/>
      <c r="B45" s="889" t="s">
        <v>1707</v>
      </c>
      <c r="C45" s="890"/>
      <c r="D45" s="874" t="s">
        <v>1691</v>
      </c>
      <c r="E45" s="242">
        <f>'[4]COSTO CDMX,QRO,GDL '!I45</f>
        <v>2023.75</v>
      </c>
      <c r="F45" s="217" t="s">
        <v>284</v>
      </c>
    </row>
    <row r="46" spans="1:6" ht="14.1" customHeight="1">
      <c r="A46" s="888"/>
      <c r="B46" s="889"/>
      <c r="C46" s="890"/>
      <c r="D46" s="874"/>
      <c r="E46" s="325"/>
      <c r="F46" s="296"/>
    </row>
    <row r="47" spans="1:6" ht="14.1" customHeight="1">
      <c r="A47" s="888"/>
      <c r="B47" s="889"/>
      <c r="C47" s="890"/>
      <c r="D47" s="874"/>
      <c r="E47" s="325"/>
      <c r="F47" s="296"/>
    </row>
    <row r="48" spans="1:6" ht="14.1" customHeight="1">
      <c r="A48" s="888"/>
      <c r="B48" s="889"/>
      <c r="C48" s="890"/>
      <c r="D48" s="874"/>
      <c r="E48" s="325"/>
      <c r="F48" s="296"/>
    </row>
    <row r="49" spans="1:6" ht="14.1" customHeight="1">
      <c r="A49" s="888"/>
      <c r="B49" s="889"/>
      <c r="C49" s="890"/>
      <c r="D49" s="874"/>
      <c r="E49" s="325"/>
      <c r="F49" s="296"/>
    </row>
    <row r="50" spans="1:6" ht="14.1" customHeight="1">
      <c r="A50" s="888"/>
      <c r="B50" s="889" t="s">
        <v>1708</v>
      </c>
      <c r="C50" s="890" t="s">
        <v>1703</v>
      </c>
      <c r="D50" s="874" t="s">
        <v>1693</v>
      </c>
      <c r="E50" s="242">
        <f>'[4]COSTO CDMX,QRO,GDL '!I50</f>
        <v>2633.7000000000003</v>
      </c>
      <c r="F50" s="217" t="s">
        <v>284</v>
      </c>
    </row>
    <row r="51" spans="1:6" ht="14.1" customHeight="1">
      <c r="A51" s="888"/>
      <c r="B51" s="889" t="s">
        <v>1709</v>
      </c>
      <c r="C51" s="890" t="s">
        <v>1683</v>
      </c>
      <c r="D51" s="874" t="s">
        <v>1695</v>
      </c>
      <c r="E51" s="242">
        <f>'[4]COSTO CDMX,QRO,GDL '!I51</f>
        <v>2799.7833333333333</v>
      </c>
      <c r="F51" s="217" t="s">
        <v>284</v>
      </c>
    </row>
    <row r="52" spans="1:6" ht="14.1" customHeight="1">
      <c r="A52" s="888"/>
      <c r="B52" s="889" t="s">
        <v>1710</v>
      </c>
      <c r="C52" s="875" t="s">
        <v>1697</v>
      </c>
      <c r="D52" s="874" t="s">
        <v>1698</v>
      </c>
      <c r="E52" s="242">
        <f>'[4]COSTO CDMX,QRO,GDL '!I52</f>
        <v>2840.3166666666671</v>
      </c>
      <c r="F52" s="217" t="s">
        <v>284</v>
      </c>
    </row>
    <row r="53" spans="1:6" ht="14.1" customHeight="1">
      <c r="A53" s="888"/>
      <c r="B53" s="889" t="s">
        <v>1711</v>
      </c>
      <c r="C53" s="890"/>
      <c r="D53" s="874" t="s">
        <v>1700</v>
      </c>
      <c r="E53" s="242">
        <f>'[4]COSTO CDMX,QRO,GDL '!I53</f>
        <v>3039.4333333333334</v>
      </c>
      <c r="F53" s="217" t="s">
        <v>284</v>
      </c>
    </row>
    <row r="54" spans="1:6" ht="14.1" customHeight="1">
      <c r="A54" s="888"/>
      <c r="B54" s="889"/>
      <c r="C54" s="828"/>
      <c r="D54" s="874"/>
      <c r="E54" s="242"/>
      <c r="F54" s="296"/>
    </row>
    <row r="55" spans="1:6" ht="14.1" customHeight="1">
      <c r="A55" s="888"/>
      <c r="B55" s="889"/>
      <c r="C55" s="828"/>
      <c r="D55" s="874"/>
      <c r="E55" s="242"/>
      <c r="F55" s="280"/>
    </row>
    <row r="56" spans="1:6" ht="14.1" customHeight="1">
      <c r="A56" s="888"/>
      <c r="B56" s="891"/>
      <c r="C56" s="890"/>
      <c r="D56" s="874"/>
      <c r="E56" s="242"/>
      <c r="F56" s="296"/>
    </row>
    <row r="57" spans="1:6" ht="14.1" customHeight="1">
      <c r="A57" s="888"/>
      <c r="B57" s="891"/>
      <c r="C57" s="890"/>
      <c r="D57" s="874"/>
      <c r="E57" s="327"/>
      <c r="F57" s="296"/>
    </row>
    <row r="58" spans="1:6" ht="14.1" customHeight="1">
      <c r="A58" s="884"/>
      <c r="B58" s="885"/>
      <c r="C58" s="886" t="s">
        <v>1712</v>
      </c>
      <c r="D58" s="887"/>
      <c r="E58" s="892"/>
      <c r="F58" s="887"/>
    </row>
    <row r="59" spans="1:6" ht="14.1" customHeight="1">
      <c r="A59" s="888"/>
      <c r="B59" s="889" t="s">
        <v>1713</v>
      </c>
      <c r="C59" s="890" t="s">
        <v>1714</v>
      </c>
      <c r="D59" s="874" t="s">
        <v>1693</v>
      </c>
      <c r="E59" s="242">
        <f>'[4]COSTO CDMX,QRO,GDL '!I59</f>
        <v>3217.1333333333332</v>
      </c>
      <c r="F59" s="217" t="s">
        <v>284</v>
      </c>
    </row>
    <row r="60" spans="1:6" ht="14.1" customHeight="1">
      <c r="A60" s="888"/>
      <c r="B60" s="889" t="s">
        <v>1715</v>
      </c>
      <c r="C60" s="890" t="s">
        <v>1683</v>
      </c>
      <c r="D60" s="874" t="s">
        <v>1695</v>
      </c>
      <c r="E60" s="242">
        <f>'[4]COSTO CDMX,QRO,GDL '!I60</f>
        <v>3286.5333333333338</v>
      </c>
      <c r="F60" s="217" t="s">
        <v>284</v>
      </c>
    </row>
    <row r="61" spans="1:6" ht="14.1" customHeight="1">
      <c r="A61" s="888"/>
      <c r="B61" s="889" t="s">
        <v>1716</v>
      </c>
      <c r="C61" s="875" t="s">
        <v>1697</v>
      </c>
      <c r="D61" s="874" t="s">
        <v>1698</v>
      </c>
      <c r="E61" s="242">
        <f>'[4]COSTO CDMX,QRO,GDL '!I61</f>
        <v>3301.9833333333336</v>
      </c>
      <c r="F61" s="217" t="s">
        <v>284</v>
      </c>
    </row>
    <row r="62" spans="1:6" ht="14.1" customHeight="1">
      <c r="A62" s="893"/>
      <c r="B62" s="889" t="s">
        <v>1717</v>
      </c>
      <c r="C62" s="890"/>
      <c r="D62" s="874" t="s">
        <v>1700</v>
      </c>
      <c r="E62" s="242">
        <f>'[4]COSTO CDMX,QRO,GDL '!I62</f>
        <v>3413.8166666666666</v>
      </c>
      <c r="F62" s="217" t="s">
        <v>284</v>
      </c>
    </row>
    <row r="63" spans="1:6" ht="14.1" customHeight="1">
      <c r="A63" s="888"/>
      <c r="B63" s="889"/>
      <c r="C63" s="869"/>
      <c r="D63" s="874"/>
      <c r="E63" s="242"/>
      <c r="F63" s="296"/>
    </row>
    <row r="64" spans="1:6" ht="14.1" customHeight="1">
      <c r="A64" s="893"/>
      <c r="B64" s="891"/>
      <c r="D64" s="874"/>
      <c r="E64" s="242"/>
      <c r="F64" s="296"/>
    </row>
    <row r="65" spans="1:6" ht="14.1" customHeight="1">
      <c r="A65" s="888"/>
      <c r="B65" s="891"/>
      <c r="C65" s="890"/>
      <c r="D65" s="874"/>
      <c r="E65" s="242"/>
      <c r="F65" s="296"/>
    </row>
    <row r="66" spans="1:6" ht="14.1" customHeight="1">
      <c r="A66" s="888"/>
      <c r="B66" s="891"/>
      <c r="C66" s="890"/>
      <c r="D66" s="874"/>
      <c r="E66" s="242"/>
      <c r="F66" s="296"/>
    </row>
    <row r="67" spans="1:6" ht="14.1" customHeight="1">
      <c r="A67" s="888"/>
      <c r="B67" s="891"/>
      <c r="C67" s="890"/>
      <c r="D67" s="874"/>
      <c r="E67" s="242"/>
      <c r="F67" s="296"/>
    </row>
    <row r="68" spans="1:6" ht="14.1" customHeight="1">
      <c r="A68" s="884"/>
      <c r="B68" s="885"/>
      <c r="C68" s="886" t="s">
        <v>1712</v>
      </c>
      <c r="D68" s="887"/>
      <c r="E68" s="892"/>
      <c r="F68" s="887"/>
    </row>
    <row r="69" spans="1:6" ht="14.1" customHeight="1">
      <c r="A69" s="888"/>
      <c r="B69" s="889" t="s">
        <v>1718</v>
      </c>
      <c r="C69" s="890" t="s">
        <v>1719</v>
      </c>
      <c r="D69" s="874" t="s">
        <v>1693</v>
      </c>
      <c r="E69" s="216">
        <f>'[4]COSTO CDMX,QRO,GDL '!$I$69</f>
        <v>5723.916666666667</v>
      </c>
      <c r="F69" s="217" t="s">
        <v>284</v>
      </c>
    </row>
    <row r="70" spans="1:6" ht="14.1" customHeight="1">
      <c r="A70" s="888"/>
      <c r="B70" s="889" t="s">
        <v>1720</v>
      </c>
      <c r="C70" s="890" t="s">
        <v>1683</v>
      </c>
      <c r="D70" s="874" t="s">
        <v>1695</v>
      </c>
      <c r="E70" s="216">
        <f>'[4]COSTO CDMX,QRO,GDL '!$I$70</f>
        <v>5915.75</v>
      </c>
      <c r="F70" s="217" t="s">
        <v>284</v>
      </c>
    </row>
    <row r="71" spans="1:6" ht="14.1" customHeight="1">
      <c r="A71" s="888"/>
      <c r="B71" s="889" t="s">
        <v>1721</v>
      </c>
      <c r="C71" s="875" t="s">
        <v>1722</v>
      </c>
      <c r="D71" s="874" t="s">
        <v>1698</v>
      </c>
      <c r="E71" s="216">
        <f>'[4]COSTO CDMX,QRO,GDL '!$I$71</f>
        <v>5931.1833333333334</v>
      </c>
      <c r="F71" s="217" t="s">
        <v>284</v>
      </c>
    </row>
    <row r="72" spans="1:6" ht="14.1" customHeight="1">
      <c r="A72" s="893"/>
      <c r="B72" s="889" t="s">
        <v>1723</v>
      </c>
      <c r="C72" s="895"/>
      <c r="D72" s="874" t="s">
        <v>1700</v>
      </c>
      <c r="E72" s="216">
        <f>'[4]COSTO CDMX,QRO,GDL '!$I$72</f>
        <v>6043.0166666666664</v>
      </c>
      <c r="F72" s="217" t="s">
        <v>284</v>
      </c>
    </row>
    <row r="73" spans="1:6" ht="14.1" customHeight="1">
      <c r="A73" s="888"/>
      <c r="B73" s="889"/>
      <c r="C73" s="869"/>
      <c r="D73" s="874"/>
      <c r="E73" s="242"/>
      <c r="F73" s="296"/>
    </row>
    <row r="74" spans="1:6" ht="14.1" customHeight="1">
      <c r="A74" s="893"/>
      <c r="B74" s="891"/>
      <c r="D74" s="874"/>
      <c r="E74" s="242"/>
      <c r="F74" s="296"/>
    </row>
    <row r="75" spans="1:6" ht="14.1" customHeight="1">
      <c r="A75" s="888"/>
      <c r="B75" s="891"/>
      <c r="C75" s="890"/>
      <c r="D75" s="874"/>
      <c r="E75" s="242"/>
      <c r="F75" s="296"/>
    </row>
    <row r="76" spans="1:6" ht="14.1" customHeight="1">
      <c r="A76" s="888"/>
      <c r="B76" s="891"/>
      <c r="C76" s="890"/>
      <c r="D76" s="874"/>
      <c r="E76" s="242"/>
      <c r="F76" s="296"/>
    </row>
    <row r="77" spans="1:6" ht="14.1" customHeight="1">
      <c r="A77" s="888"/>
      <c r="B77" s="891"/>
      <c r="C77" s="890"/>
      <c r="D77" s="874"/>
      <c r="E77" s="242"/>
      <c r="F77" s="296"/>
    </row>
    <row r="78" spans="1:6" ht="14.1" customHeight="1">
      <c r="A78" s="862"/>
      <c r="B78" s="896"/>
      <c r="C78" s="886" t="s">
        <v>1724</v>
      </c>
      <c r="D78" s="897"/>
      <c r="E78" s="898"/>
      <c r="F78" s="298"/>
    </row>
    <row r="79" spans="1:6" ht="14.1" customHeight="1">
      <c r="A79" s="888"/>
      <c r="B79" s="889" t="s">
        <v>1725</v>
      </c>
      <c r="C79" s="890" t="s">
        <v>1726</v>
      </c>
      <c r="D79" s="874" t="s">
        <v>1681</v>
      </c>
      <c r="E79" s="242">
        <f>'[4]COSTO CDMX,QRO,GDL '!I79</f>
        <v>911.65000000000009</v>
      </c>
      <c r="F79" s="217" t="s">
        <v>284</v>
      </c>
    </row>
    <row r="80" spans="1:6" ht="14.1" customHeight="1">
      <c r="A80" s="888"/>
      <c r="B80" s="889" t="s">
        <v>1727</v>
      </c>
      <c r="C80" s="890" t="s">
        <v>1683</v>
      </c>
      <c r="D80" s="874" t="s">
        <v>1684</v>
      </c>
      <c r="E80" s="242">
        <f>'[4]COSTO CDMX,QRO,GDL '!I80</f>
        <v>972.75</v>
      </c>
      <c r="F80" s="217" t="s">
        <v>284</v>
      </c>
    </row>
    <row r="81" spans="1:6" ht="14.1" customHeight="1">
      <c r="A81" s="888"/>
      <c r="B81" s="889" t="s">
        <v>1728</v>
      </c>
      <c r="C81" s="875" t="s">
        <v>1686</v>
      </c>
      <c r="D81" s="874" t="s">
        <v>1687</v>
      </c>
      <c r="E81" s="242">
        <f>'[4]COSTO CDMX,QRO,GDL '!I81</f>
        <v>1046.2833333333333</v>
      </c>
      <c r="F81" s="217" t="s">
        <v>284</v>
      </c>
    </row>
    <row r="82" spans="1:6" ht="14.1" customHeight="1">
      <c r="A82" s="888"/>
      <c r="B82" s="889" t="s">
        <v>1729</v>
      </c>
      <c r="C82" s="890"/>
      <c r="D82" s="874" t="s">
        <v>1689</v>
      </c>
      <c r="E82" s="242">
        <f>'[4]COSTO CDMX,QRO,GDL '!I82</f>
        <v>1048.5666666666666</v>
      </c>
      <c r="F82" s="217" t="s">
        <v>284</v>
      </c>
    </row>
    <row r="83" spans="1:6" ht="14.1" customHeight="1">
      <c r="A83" s="888"/>
      <c r="B83" s="889" t="s">
        <v>1730</v>
      </c>
      <c r="C83" s="869"/>
      <c r="D83" s="874" t="s">
        <v>1691</v>
      </c>
      <c r="E83" s="242">
        <f>'[4]COSTO CDMX,QRO,GDL '!I83</f>
        <v>1112.0500000000002</v>
      </c>
      <c r="F83" s="217" t="s">
        <v>284</v>
      </c>
    </row>
    <row r="84" spans="1:6" ht="14.1" customHeight="1">
      <c r="A84" s="888"/>
      <c r="B84" s="889"/>
      <c r="C84" s="890"/>
      <c r="D84" s="874"/>
      <c r="F84" s="217"/>
    </row>
    <row r="85" spans="1:6" ht="14.1" customHeight="1">
      <c r="A85" s="888"/>
      <c r="B85" s="889" t="s">
        <v>1731</v>
      </c>
      <c r="C85" s="890" t="s">
        <v>1726</v>
      </c>
      <c r="D85" s="874" t="s">
        <v>1693</v>
      </c>
      <c r="E85" s="242">
        <f>'[4]COSTO CDMX,QRO,GDL '!I85</f>
        <v>1300.5500000000002</v>
      </c>
      <c r="F85" s="217" t="s">
        <v>284</v>
      </c>
    </row>
    <row r="86" spans="1:6" ht="14.1" customHeight="1">
      <c r="A86" s="888"/>
      <c r="B86" s="889" t="s">
        <v>1732</v>
      </c>
      <c r="C86" s="890" t="s">
        <v>1683</v>
      </c>
      <c r="D86" s="874" t="s">
        <v>1695</v>
      </c>
      <c r="E86" s="242">
        <f>'[4]COSTO CDMX,QRO,GDL '!I86</f>
        <v>1416.0333333333333</v>
      </c>
      <c r="F86" s="217" t="s">
        <v>284</v>
      </c>
    </row>
    <row r="87" spans="1:6" ht="14.1" customHeight="1">
      <c r="A87" s="888"/>
      <c r="B87" s="889" t="s">
        <v>1733</v>
      </c>
      <c r="C87" s="875" t="s">
        <v>1697</v>
      </c>
      <c r="D87" s="874" t="s">
        <v>1698</v>
      </c>
      <c r="E87" s="242">
        <f>'[4]COSTO CDMX,QRO,GDL '!I87</f>
        <v>1456.5666666666668</v>
      </c>
      <c r="F87" s="217" t="s">
        <v>284</v>
      </c>
    </row>
    <row r="88" spans="1:6" ht="14.1" customHeight="1">
      <c r="A88" s="888"/>
      <c r="B88" s="889" t="s">
        <v>1734</v>
      </c>
      <c r="C88" s="890"/>
      <c r="D88" s="874" t="s">
        <v>1700</v>
      </c>
      <c r="E88" s="242">
        <f>'[4]COSTO CDMX,QRO,GDL '!I88</f>
        <v>1695.3666666666668</v>
      </c>
      <c r="F88" s="217" t="s">
        <v>284</v>
      </c>
    </row>
    <row r="89" spans="1:6" ht="14.1" customHeight="1">
      <c r="A89" s="888"/>
      <c r="B89" s="891"/>
      <c r="C89" s="890"/>
      <c r="D89" s="874"/>
      <c r="E89" s="242"/>
      <c r="F89" s="296"/>
    </row>
    <row r="90" spans="1:6" ht="14.1" customHeight="1">
      <c r="A90" s="862"/>
      <c r="B90" s="896"/>
      <c r="C90" s="886" t="s">
        <v>1735</v>
      </c>
      <c r="D90" s="897"/>
      <c r="E90" s="898"/>
      <c r="F90" s="298"/>
    </row>
    <row r="91" spans="1:6" ht="14.1" customHeight="1">
      <c r="A91" s="888"/>
      <c r="B91" s="899" t="s">
        <v>1736</v>
      </c>
      <c r="C91" s="890" t="s">
        <v>1726</v>
      </c>
      <c r="D91" s="870" t="s">
        <v>1681</v>
      </c>
      <c r="E91" s="242">
        <f>'[4]COSTO CDMX,QRO,GDL '!I91</f>
        <v>1510.1</v>
      </c>
      <c r="F91" s="217" t="s">
        <v>284</v>
      </c>
    </row>
    <row r="92" spans="1:6" ht="14.1" customHeight="1">
      <c r="A92" s="888"/>
      <c r="B92" s="889" t="s">
        <v>1737</v>
      </c>
      <c r="C92" s="890" t="s">
        <v>1683</v>
      </c>
      <c r="D92" s="874" t="s">
        <v>1684</v>
      </c>
      <c r="E92" s="242">
        <f>'[4]COSTO CDMX,QRO,GDL '!I92</f>
        <v>1576.9333333333334</v>
      </c>
      <c r="F92" s="217" t="s">
        <v>284</v>
      </c>
    </row>
    <row r="93" spans="1:6" ht="14.1" customHeight="1">
      <c r="A93" s="888"/>
      <c r="B93" s="889" t="s">
        <v>1738</v>
      </c>
      <c r="C93" s="900" t="s">
        <v>1686</v>
      </c>
      <c r="D93" s="874" t="s">
        <v>1687</v>
      </c>
      <c r="E93" s="242">
        <f>'[4]COSTO CDMX,QRO,GDL '!I93</f>
        <v>1630.9333333333334</v>
      </c>
      <c r="F93" s="217" t="s">
        <v>284</v>
      </c>
    </row>
    <row r="94" spans="1:6" ht="14.1" customHeight="1">
      <c r="A94" s="888"/>
      <c r="B94" s="889" t="s">
        <v>1739</v>
      </c>
      <c r="C94" s="890"/>
      <c r="D94" s="874" t="s">
        <v>1689</v>
      </c>
      <c r="E94" s="242">
        <f>'[4]COSTO CDMX,QRO,GDL '!I94</f>
        <v>1689.1333333333334</v>
      </c>
      <c r="F94" s="217" t="s">
        <v>284</v>
      </c>
    </row>
    <row r="95" spans="1:6" ht="14.1" customHeight="1">
      <c r="A95" s="888"/>
      <c r="B95" s="889" t="s">
        <v>1740</v>
      </c>
      <c r="C95" s="869"/>
      <c r="D95" s="874" t="s">
        <v>1691</v>
      </c>
      <c r="E95" s="242">
        <f>'[4]COSTO CDMX,QRO,GDL '!I95</f>
        <v>1730.7500000000002</v>
      </c>
      <c r="F95" s="217" t="s">
        <v>284</v>
      </c>
    </row>
    <row r="96" spans="1:6" ht="14.1" customHeight="1">
      <c r="A96" s="888"/>
      <c r="B96" s="889"/>
      <c r="C96" s="890"/>
      <c r="D96" s="874"/>
      <c r="F96" s="217"/>
    </row>
    <row r="97" spans="1:63" ht="14.1" customHeight="1">
      <c r="A97" s="888"/>
      <c r="B97" s="889" t="s">
        <v>1741</v>
      </c>
      <c r="C97" s="890" t="s">
        <v>1726</v>
      </c>
      <c r="D97" s="874" t="s">
        <v>1693</v>
      </c>
      <c r="E97" s="242">
        <f>'[4]COSTO CDMX,QRO,GDL '!I97</f>
        <v>2427.8333333333335</v>
      </c>
      <c r="F97" s="217" t="s">
        <v>284</v>
      </c>
    </row>
    <row r="98" spans="1:63" ht="14.1" customHeight="1">
      <c r="A98" s="888"/>
      <c r="B98" s="889" t="s">
        <v>1742</v>
      </c>
      <c r="C98" s="890" t="s">
        <v>1683</v>
      </c>
      <c r="D98" s="874" t="s">
        <v>1695</v>
      </c>
      <c r="E98" s="242">
        <f>'[4]COSTO CDMX,QRO,GDL '!I98</f>
        <v>2617.65</v>
      </c>
      <c r="F98" s="217" t="s">
        <v>284</v>
      </c>
    </row>
    <row r="99" spans="1:63" ht="14.1" customHeight="1">
      <c r="A99" s="888"/>
      <c r="B99" s="889" t="s">
        <v>1743</v>
      </c>
      <c r="C99" s="875" t="s">
        <v>1697</v>
      </c>
      <c r="D99" s="874" t="s">
        <v>1698</v>
      </c>
      <c r="E99" s="242">
        <f>'[4]COSTO CDMX,QRO,GDL '!I99</f>
        <v>2663.9666666666672</v>
      </c>
      <c r="F99" s="217" t="s">
        <v>284</v>
      </c>
    </row>
    <row r="100" spans="1:63" ht="14.1" customHeight="1">
      <c r="A100" s="888"/>
      <c r="B100" s="889" t="s">
        <v>1744</v>
      </c>
      <c r="C100" s="890"/>
      <c r="D100" s="874" t="s">
        <v>1700</v>
      </c>
      <c r="E100" s="242">
        <f>'[4]COSTO CDMX,QRO,GDL '!I100</f>
        <v>2876.0833333333335</v>
      </c>
      <c r="F100" s="217" t="s">
        <v>284</v>
      </c>
    </row>
    <row r="101" spans="1:63" ht="14.1" customHeight="1">
      <c r="A101" s="888"/>
      <c r="B101" s="889"/>
      <c r="C101" s="890"/>
      <c r="D101" s="874"/>
      <c r="E101" s="242"/>
      <c r="F101" s="296"/>
    </row>
    <row r="102" spans="1:63" ht="14.1" customHeight="1">
      <c r="A102" s="888"/>
      <c r="B102" s="901"/>
      <c r="C102" s="890"/>
      <c r="D102" s="902"/>
      <c r="E102" s="307"/>
      <c r="F102" s="332"/>
    </row>
    <row r="103" spans="1:63" s="841" customFormat="1" ht="15" customHeight="1">
      <c r="A103" s="842" t="s">
        <v>1667</v>
      </c>
      <c r="B103" s="843"/>
      <c r="C103" s="1511" t="s">
        <v>1745</v>
      </c>
      <c r="D103" s="842"/>
      <c r="E103" s="235"/>
      <c r="F103" s="235"/>
      <c r="G103" s="845"/>
      <c r="H103" s="880"/>
      <c r="I103" s="881"/>
      <c r="J103" s="840"/>
      <c r="K103" s="840"/>
      <c r="L103" s="840"/>
      <c r="M103" s="840"/>
      <c r="N103" s="840"/>
      <c r="O103" s="840"/>
      <c r="P103" s="840"/>
      <c r="Q103" s="848"/>
      <c r="R103" s="848"/>
      <c r="S103" s="848"/>
      <c r="T103" s="848"/>
      <c r="U103" s="848"/>
      <c r="V103" s="848"/>
      <c r="W103" s="848"/>
      <c r="X103" s="848"/>
      <c r="Y103" s="848"/>
      <c r="Z103" s="848"/>
      <c r="AA103" s="848"/>
      <c r="AB103" s="848"/>
      <c r="AC103" s="848"/>
      <c r="AD103" s="848"/>
      <c r="AE103" s="848"/>
      <c r="AF103" s="848"/>
      <c r="AG103" s="848"/>
      <c r="AH103" s="848"/>
      <c r="AI103" s="848"/>
      <c r="AJ103" s="848"/>
      <c r="AK103" s="848"/>
      <c r="AL103" s="848"/>
      <c r="AM103" s="848"/>
      <c r="AN103" s="848"/>
      <c r="AO103" s="848"/>
      <c r="AP103" s="848"/>
      <c r="AQ103" s="848"/>
      <c r="AR103" s="848"/>
      <c r="AS103" s="848"/>
      <c r="AT103" s="848"/>
      <c r="AU103" s="848"/>
      <c r="AV103" s="848"/>
      <c r="AW103" s="848"/>
      <c r="AX103" s="848"/>
      <c r="AY103" s="848"/>
      <c r="AZ103" s="848"/>
      <c r="BA103" s="848"/>
      <c r="BB103" s="848"/>
      <c r="BC103" s="848"/>
      <c r="BD103" s="848"/>
      <c r="BE103" s="848"/>
      <c r="BF103" s="848"/>
      <c r="BG103" s="848"/>
      <c r="BH103" s="848"/>
      <c r="BI103" s="848"/>
      <c r="BJ103" s="848"/>
      <c r="BK103" s="848"/>
    </row>
    <row r="104" spans="1:63" s="857" customFormat="1" ht="15" customHeight="1">
      <c r="A104" s="849" t="s">
        <v>1669</v>
      </c>
      <c r="B104" s="850"/>
      <c r="C104" s="1512"/>
      <c r="D104" s="851"/>
      <c r="E104" s="286"/>
      <c r="F104" s="286"/>
      <c r="G104" s="852"/>
      <c r="H104" s="882"/>
      <c r="I104" s="883"/>
      <c r="J104" s="855"/>
      <c r="K104" s="855"/>
      <c r="L104" s="855"/>
      <c r="M104" s="855"/>
      <c r="N104" s="855"/>
      <c r="O104" s="855"/>
      <c r="P104" s="855"/>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6"/>
      <c r="AQ104" s="856"/>
      <c r="AR104" s="856"/>
      <c r="AS104" s="856"/>
      <c r="AT104" s="856"/>
      <c r="AU104" s="856"/>
      <c r="AV104" s="856"/>
      <c r="AW104" s="856"/>
      <c r="AX104" s="856"/>
      <c r="AY104" s="856"/>
      <c r="AZ104" s="856"/>
      <c r="BA104" s="856"/>
      <c r="BB104" s="856"/>
      <c r="BC104" s="856"/>
      <c r="BD104" s="856"/>
      <c r="BE104" s="856"/>
      <c r="BF104" s="856"/>
      <c r="BG104" s="856"/>
      <c r="BH104" s="856"/>
      <c r="BI104" s="856"/>
      <c r="BJ104" s="856"/>
      <c r="BK104" s="856"/>
    </row>
    <row r="105" spans="1:63" s="860" customFormat="1">
      <c r="A105" s="858" t="s">
        <v>512</v>
      </c>
      <c r="B105" s="859" t="s">
        <v>513</v>
      </c>
      <c r="C105" s="201" t="s">
        <v>514</v>
      </c>
      <c r="D105" s="858" t="s">
        <v>515</v>
      </c>
      <c r="E105" s="202" t="s">
        <v>516</v>
      </c>
      <c r="F105" s="203" t="s">
        <v>1670</v>
      </c>
      <c r="G105" s="841"/>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61"/>
      <c r="AQ105" s="861"/>
      <c r="AR105" s="861"/>
      <c r="AS105" s="861"/>
      <c r="AT105" s="861"/>
      <c r="AU105" s="861"/>
      <c r="AV105" s="861"/>
      <c r="AW105" s="861"/>
      <c r="AX105" s="861"/>
      <c r="AY105" s="861"/>
      <c r="AZ105" s="861"/>
      <c r="BA105" s="861"/>
      <c r="BB105" s="861"/>
      <c r="BC105" s="861"/>
      <c r="BD105" s="861"/>
      <c r="BE105" s="861"/>
      <c r="BF105" s="861"/>
      <c r="BG105" s="861"/>
      <c r="BH105" s="861"/>
    </row>
    <row r="106" spans="1:63" ht="14.1" customHeight="1">
      <c r="A106" s="884"/>
      <c r="B106" s="885"/>
      <c r="C106" s="886" t="s">
        <v>1746</v>
      </c>
      <c r="D106" s="887"/>
      <c r="E106" s="210"/>
      <c r="F106" s="211"/>
    </row>
    <row r="107" spans="1:63" ht="14.1" customHeight="1">
      <c r="A107" s="888"/>
      <c r="B107" s="889" t="s">
        <v>1747</v>
      </c>
      <c r="C107" s="890" t="s">
        <v>1748</v>
      </c>
      <c r="D107" s="874" t="s">
        <v>1681</v>
      </c>
      <c r="E107" s="242">
        <f>'[4]COSTO CDMX,QRO,GDL '!I107</f>
        <v>1640.4666666666667</v>
      </c>
      <c r="F107" s="217" t="s">
        <v>284</v>
      </c>
    </row>
    <row r="108" spans="1:63" ht="14.1" customHeight="1">
      <c r="A108" s="888"/>
      <c r="B108" s="889" t="s">
        <v>1749</v>
      </c>
      <c r="C108" s="890" t="s">
        <v>1683</v>
      </c>
      <c r="D108" s="874" t="s">
        <v>1684</v>
      </c>
      <c r="E108" s="242">
        <f>'[4]COSTO CDMX,QRO,GDL '!I108</f>
        <v>1699.1166666666668</v>
      </c>
      <c r="F108" s="217" t="s">
        <v>284</v>
      </c>
    </row>
    <row r="109" spans="1:63" ht="14.1" customHeight="1">
      <c r="A109" s="888"/>
      <c r="B109" s="889" t="s">
        <v>1750</v>
      </c>
      <c r="C109" s="875" t="s">
        <v>1686</v>
      </c>
      <c r="D109" s="874" t="s">
        <v>1687</v>
      </c>
      <c r="E109" s="242">
        <f>'[4]COSTO CDMX,QRO,GDL '!I109</f>
        <v>1788.5666666666668</v>
      </c>
      <c r="F109" s="217" t="s">
        <v>284</v>
      </c>
    </row>
    <row r="110" spans="1:63" ht="14.1" customHeight="1">
      <c r="A110" s="888"/>
      <c r="B110" s="889" t="s">
        <v>1751</v>
      </c>
      <c r="C110" s="890"/>
      <c r="D110" s="874" t="s">
        <v>1689</v>
      </c>
      <c r="E110" s="242">
        <f>'[4]COSTO CDMX,QRO,GDL '!I110</f>
        <v>1800.5</v>
      </c>
      <c r="F110" s="217" t="s">
        <v>284</v>
      </c>
    </row>
    <row r="111" spans="1:63" ht="14.1" customHeight="1">
      <c r="A111" s="888"/>
      <c r="B111" s="889" t="s">
        <v>1752</v>
      </c>
      <c r="C111" s="890"/>
      <c r="D111" s="874" t="s">
        <v>1691</v>
      </c>
      <c r="E111" s="242">
        <f>'[4]COSTO CDMX,QRO,GDL '!I111</f>
        <v>1879.0166666666669</v>
      </c>
      <c r="F111" s="217" t="s">
        <v>284</v>
      </c>
    </row>
    <row r="112" spans="1:63" ht="14.1" customHeight="1">
      <c r="A112" s="888"/>
      <c r="B112" s="891"/>
      <c r="C112" s="890"/>
      <c r="D112" s="874"/>
      <c r="E112" s="242"/>
      <c r="F112" s="296"/>
    </row>
    <row r="113" spans="1:6" ht="14.1" customHeight="1">
      <c r="A113" s="888"/>
      <c r="B113" s="891"/>
      <c r="C113" s="890"/>
      <c r="D113" s="874"/>
      <c r="E113" s="242"/>
      <c r="F113" s="296"/>
    </row>
    <row r="114" spans="1:6" ht="14.1" customHeight="1">
      <c r="A114" s="888"/>
      <c r="B114" s="891"/>
      <c r="C114" s="890"/>
      <c r="D114" s="874"/>
      <c r="E114" s="242"/>
      <c r="F114" s="296"/>
    </row>
    <row r="115" spans="1:6" ht="14.1" customHeight="1">
      <c r="A115" s="888"/>
      <c r="B115" s="891"/>
      <c r="C115" s="890"/>
      <c r="D115" s="874"/>
      <c r="E115" s="242"/>
      <c r="F115" s="296"/>
    </row>
    <row r="116" spans="1:6" ht="14.1" customHeight="1">
      <c r="A116" s="888"/>
      <c r="B116" s="889" t="s">
        <v>1753</v>
      </c>
      <c r="C116" s="890" t="s">
        <v>1748</v>
      </c>
      <c r="D116" s="874" t="s">
        <v>1693</v>
      </c>
      <c r="E116" s="242">
        <f>'[4]COSTO CDMX,QRO,GDL '!I116</f>
        <v>2070.5166666666669</v>
      </c>
      <c r="F116" s="217" t="s">
        <v>284</v>
      </c>
    </row>
    <row r="117" spans="1:6" ht="14.1" customHeight="1">
      <c r="A117" s="888"/>
      <c r="B117" s="889" t="s">
        <v>1754</v>
      </c>
      <c r="C117" s="890" t="s">
        <v>1683</v>
      </c>
      <c r="D117" s="874" t="s">
        <v>1695</v>
      </c>
      <c r="E117" s="242">
        <f>'[4]COSTO CDMX,QRO,GDL '!I117</f>
        <v>2205.65</v>
      </c>
      <c r="F117" s="217" t="s">
        <v>284</v>
      </c>
    </row>
    <row r="118" spans="1:6" ht="14.1" customHeight="1">
      <c r="A118" s="888"/>
      <c r="B118" s="889" t="s">
        <v>1755</v>
      </c>
      <c r="C118" s="875" t="s">
        <v>1722</v>
      </c>
      <c r="D118" s="874" t="s">
        <v>1698</v>
      </c>
      <c r="E118" s="242">
        <f>'[4]COSTO CDMX,QRO,GDL '!I118</f>
        <v>2259.1833333333334</v>
      </c>
      <c r="F118" s="217" t="s">
        <v>284</v>
      </c>
    </row>
    <row r="119" spans="1:6" ht="14.1" customHeight="1">
      <c r="A119" s="888"/>
      <c r="B119" s="889" t="s">
        <v>1756</v>
      </c>
      <c r="C119" s="890"/>
      <c r="D119" s="874" t="s">
        <v>1700</v>
      </c>
      <c r="E119" s="242">
        <f>'[4]COSTO CDMX,QRO,GDL '!I119</f>
        <v>2488.8833333333332</v>
      </c>
      <c r="F119" s="217" t="s">
        <v>284</v>
      </c>
    </row>
    <row r="120" spans="1:6" ht="14.1" customHeight="1">
      <c r="A120" s="888"/>
      <c r="B120" s="889"/>
      <c r="C120" s="828"/>
      <c r="D120" s="874"/>
      <c r="E120" s="242"/>
      <c r="F120" s="296"/>
    </row>
    <row r="121" spans="1:6" ht="14.1" customHeight="1">
      <c r="A121" s="888"/>
      <c r="B121" s="891"/>
      <c r="C121" s="828"/>
      <c r="D121" s="874"/>
      <c r="E121" s="242"/>
      <c r="F121" s="280"/>
    </row>
    <row r="122" spans="1:6" ht="14.1" customHeight="1">
      <c r="A122" s="888"/>
      <c r="B122" s="891"/>
      <c r="C122" s="890"/>
      <c r="D122" s="874"/>
      <c r="E122" s="242"/>
      <c r="F122" s="296"/>
    </row>
    <row r="123" spans="1:6" ht="14.1" customHeight="1">
      <c r="A123" s="888"/>
      <c r="B123" s="891"/>
      <c r="C123" s="890"/>
      <c r="D123" s="874"/>
      <c r="E123" s="242"/>
      <c r="F123" s="296"/>
    </row>
    <row r="124" spans="1:6" ht="14.1" customHeight="1">
      <c r="A124" s="884"/>
      <c r="B124" s="885"/>
      <c r="C124" s="886" t="s">
        <v>1757</v>
      </c>
      <c r="D124" s="887"/>
      <c r="E124" s="892"/>
      <c r="F124" s="887"/>
    </row>
    <row r="125" spans="1:6" ht="14.1" customHeight="1">
      <c r="A125" s="888"/>
      <c r="B125" s="889" t="s">
        <v>1758</v>
      </c>
      <c r="C125" s="890" t="s">
        <v>1759</v>
      </c>
      <c r="D125" s="874" t="s">
        <v>1681</v>
      </c>
      <c r="E125" s="242">
        <f>'[4]COSTO CDMX,QRO,GDL '!I125</f>
        <v>1640.4666666666667</v>
      </c>
      <c r="F125" s="217" t="s">
        <v>284</v>
      </c>
    </row>
    <row r="126" spans="1:6" ht="14.1" customHeight="1">
      <c r="A126" s="888"/>
      <c r="B126" s="889" t="s">
        <v>1760</v>
      </c>
      <c r="C126" s="890" t="s">
        <v>1683</v>
      </c>
      <c r="D126" s="874" t="s">
        <v>1684</v>
      </c>
      <c r="E126" s="242">
        <f>'[4]COSTO CDMX,QRO,GDL '!I126</f>
        <v>1699.1166666666668</v>
      </c>
      <c r="F126" s="217" t="s">
        <v>284</v>
      </c>
    </row>
    <row r="127" spans="1:6" ht="14.1" customHeight="1">
      <c r="A127" s="888"/>
      <c r="B127" s="889" t="s">
        <v>1761</v>
      </c>
      <c r="C127" s="875" t="s">
        <v>1686</v>
      </c>
      <c r="D127" s="874" t="s">
        <v>1687</v>
      </c>
      <c r="E127" s="242">
        <f>'[4]COSTO CDMX,QRO,GDL '!I127</f>
        <v>1788.5666666666668</v>
      </c>
      <c r="F127" s="217" t="s">
        <v>284</v>
      </c>
    </row>
    <row r="128" spans="1:6" ht="14.1" customHeight="1">
      <c r="A128" s="888"/>
      <c r="B128" s="889" t="s">
        <v>1762</v>
      </c>
      <c r="C128" s="890"/>
      <c r="D128" s="874" t="s">
        <v>1689</v>
      </c>
      <c r="E128" s="242">
        <f>'[4]COSTO CDMX,QRO,GDL '!I128</f>
        <v>1800.5</v>
      </c>
      <c r="F128" s="217" t="s">
        <v>284</v>
      </c>
    </row>
    <row r="129" spans="1:6" ht="14.1" customHeight="1">
      <c r="A129" s="888"/>
      <c r="B129" s="889" t="s">
        <v>1763</v>
      </c>
      <c r="C129" s="890"/>
      <c r="D129" s="874" t="s">
        <v>1691</v>
      </c>
      <c r="E129" s="242">
        <f>'[4]COSTO CDMX,QRO,GDL '!I129</f>
        <v>1879.0166666666669</v>
      </c>
      <c r="F129" s="217" t="s">
        <v>284</v>
      </c>
    </row>
    <row r="130" spans="1:6" ht="14.1" customHeight="1">
      <c r="A130" s="888"/>
      <c r="B130" s="891"/>
      <c r="C130" s="890"/>
      <c r="D130" s="874"/>
      <c r="E130" s="242"/>
      <c r="F130" s="296"/>
    </row>
    <row r="131" spans="1:6" ht="14.1" customHeight="1">
      <c r="A131" s="888"/>
      <c r="B131" s="891"/>
      <c r="C131" s="890"/>
      <c r="D131" s="874"/>
      <c r="E131" s="242"/>
      <c r="F131" s="296"/>
    </row>
    <row r="132" spans="1:6" ht="14.1" customHeight="1">
      <c r="A132" s="888"/>
      <c r="B132" s="891"/>
      <c r="C132" s="890"/>
      <c r="D132" s="874"/>
      <c r="E132" s="242"/>
      <c r="F132" s="296"/>
    </row>
    <row r="133" spans="1:6" ht="14.1" customHeight="1">
      <c r="A133" s="888"/>
      <c r="B133" s="891"/>
      <c r="C133" s="890"/>
      <c r="D133" s="874"/>
      <c r="E133" s="242"/>
      <c r="F133" s="296"/>
    </row>
    <row r="134" spans="1:6" ht="14.1" customHeight="1">
      <c r="A134" s="888"/>
      <c r="B134" s="889" t="s">
        <v>1764</v>
      </c>
      <c r="C134" s="890" t="s">
        <v>1759</v>
      </c>
      <c r="D134" s="874" t="s">
        <v>1693</v>
      </c>
      <c r="E134" s="242">
        <f>'[4]COSTO CDMX,QRO,GDL '!I134</f>
        <v>2070.5166666666669</v>
      </c>
      <c r="F134" s="217" t="s">
        <v>284</v>
      </c>
    </row>
    <row r="135" spans="1:6" ht="14.1" customHeight="1">
      <c r="A135" s="888"/>
      <c r="B135" s="889" t="s">
        <v>1765</v>
      </c>
      <c r="C135" s="890" t="s">
        <v>1683</v>
      </c>
      <c r="D135" s="874" t="s">
        <v>1695</v>
      </c>
      <c r="E135" s="242">
        <f>'[4]COSTO CDMX,QRO,GDL '!I135</f>
        <v>2205.65</v>
      </c>
      <c r="F135" s="217" t="s">
        <v>284</v>
      </c>
    </row>
    <row r="136" spans="1:6" ht="14.1" customHeight="1">
      <c r="A136" s="888"/>
      <c r="B136" s="889" t="s">
        <v>1766</v>
      </c>
      <c r="C136" s="875" t="s">
        <v>1722</v>
      </c>
      <c r="D136" s="874" t="s">
        <v>1698</v>
      </c>
      <c r="E136" s="242">
        <f>'[4]COSTO CDMX,QRO,GDL '!I136</f>
        <v>2259.1833333333334</v>
      </c>
      <c r="F136" s="217" t="s">
        <v>284</v>
      </c>
    </row>
    <row r="137" spans="1:6" ht="14.1" customHeight="1">
      <c r="A137" s="888"/>
      <c r="B137" s="889" t="s">
        <v>1767</v>
      </c>
      <c r="C137" s="875"/>
      <c r="D137" s="874" t="s">
        <v>1700</v>
      </c>
      <c r="E137" s="242">
        <f>'[4]COSTO CDMX,QRO,GDL '!I137</f>
        <v>2488.8833333333332</v>
      </c>
      <c r="F137" s="217" t="s">
        <v>284</v>
      </c>
    </row>
    <row r="138" spans="1:6" ht="14.1" customHeight="1">
      <c r="A138" s="888"/>
      <c r="B138" s="889"/>
      <c r="C138" s="828"/>
      <c r="D138" s="874"/>
      <c r="E138" s="242"/>
      <c r="F138" s="296"/>
    </row>
    <row r="139" spans="1:6" ht="14.1" customHeight="1">
      <c r="A139" s="888"/>
      <c r="B139" s="889"/>
      <c r="C139" s="828"/>
      <c r="D139" s="874"/>
      <c r="E139" s="242"/>
      <c r="F139" s="280"/>
    </row>
    <row r="140" spans="1:6" ht="14.1" customHeight="1">
      <c r="A140" s="888"/>
      <c r="B140" s="891"/>
      <c r="C140" s="890"/>
      <c r="D140" s="874"/>
      <c r="E140" s="242"/>
      <c r="F140" s="296"/>
    </row>
    <row r="141" spans="1:6" ht="14.1" customHeight="1">
      <c r="A141" s="888"/>
      <c r="B141" s="891"/>
      <c r="C141" s="890"/>
      <c r="D141" s="874"/>
      <c r="E141" s="242"/>
      <c r="F141" s="296"/>
    </row>
    <row r="142" spans="1:6" ht="14.1" customHeight="1">
      <c r="A142" s="884"/>
      <c r="B142" s="885"/>
      <c r="C142" s="886" t="s">
        <v>1768</v>
      </c>
      <c r="D142" s="887"/>
      <c r="E142" s="210"/>
      <c r="F142" s="211"/>
    </row>
    <row r="143" spans="1:6" ht="14.1" customHeight="1">
      <c r="A143" s="888"/>
      <c r="B143" s="889" t="s">
        <v>1769</v>
      </c>
      <c r="C143" s="890" t="s">
        <v>1770</v>
      </c>
      <c r="D143" s="874" t="s">
        <v>1681</v>
      </c>
      <c r="E143" s="242">
        <f>'[4]COSTO CDMX,QRO,GDL '!I143</f>
        <v>1945.1833333333332</v>
      </c>
      <c r="F143" s="217" t="s">
        <v>284</v>
      </c>
    </row>
    <row r="144" spans="1:6" ht="14.1" customHeight="1">
      <c r="A144" s="888"/>
      <c r="B144" s="889" t="s">
        <v>1771</v>
      </c>
      <c r="C144" s="890" t="s">
        <v>1683</v>
      </c>
      <c r="D144" s="874" t="s">
        <v>1684</v>
      </c>
      <c r="E144" s="242">
        <f>'[4]COSTO CDMX,QRO,GDL '!I144</f>
        <v>2008.85</v>
      </c>
      <c r="F144" s="217" t="s">
        <v>284</v>
      </c>
    </row>
    <row r="145" spans="1:6" ht="14.1" customHeight="1">
      <c r="A145" s="888"/>
      <c r="B145" s="889" t="s">
        <v>1772</v>
      </c>
      <c r="C145" s="875" t="s">
        <v>1686</v>
      </c>
      <c r="D145" s="874" t="s">
        <v>1687</v>
      </c>
      <c r="E145" s="242">
        <f>'[4]COSTO CDMX,QRO,GDL '!I145</f>
        <v>2086.7333333333336</v>
      </c>
      <c r="F145" s="217" t="s">
        <v>284</v>
      </c>
    </row>
    <row r="146" spans="1:6" ht="14.1" customHeight="1">
      <c r="A146" s="888"/>
      <c r="B146" s="889" t="s">
        <v>1773</v>
      </c>
      <c r="C146" s="890"/>
      <c r="D146" s="874" t="s">
        <v>1689</v>
      </c>
      <c r="E146" s="242">
        <f>'[4]COSTO CDMX,QRO,GDL '!I146</f>
        <v>2089.2333333333336</v>
      </c>
      <c r="F146" s="217" t="s">
        <v>284</v>
      </c>
    </row>
    <row r="147" spans="1:6" ht="14.1" customHeight="1">
      <c r="A147" s="888"/>
      <c r="B147" s="889" t="s">
        <v>1774</v>
      </c>
      <c r="C147" s="890"/>
      <c r="D147" s="874" t="s">
        <v>1691</v>
      </c>
      <c r="E147" s="242">
        <f>'[4]COSTO CDMX,QRO,GDL '!I147</f>
        <v>2155.3333333333335</v>
      </c>
      <c r="F147" s="217" t="s">
        <v>284</v>
      </c>
    </row>
    <row r="148" spans="1:6" ht="14.1" customHeight="1">
      <c r="A148" s="888"/>
      <c r="B148" s="891"/>
      <c r="C148" s="890"/>
      <c r="D148" s="874"/>
      <c r="E148" s="242"/>
      <c r="F148" s="296"/>
    </row>
    <row r="149" spans="1:6" ht="14.1" customHeight="1">
      <c r="A149" s="888"/>
      <c r="B149" s="891"/>
      <c r="C149" s="890"/>
      <c r="D149" s="874"/>
      <c r="E149" s="242"/>
      <c r="F149" s="296"/>
    </row>
    <row r="150" spans="1:6" ht="14.1" customHeight="1">
      <c r="A150" s="888"/>
      <c r="B150" s="891"/>
      <c r="C150" s="890"/>
      <c r="D150" s="874"/>
      <c r="E150" s="242"/>
      <c r="F150" s="296"/>
    </row>
    <row r="151" spans="1:6" ht="14.1" customHeight="1">
      <c r="A151" s="888"/>
      <c r="B151" s="891"/>
      <c r="C151" s="890"/>
      <c r="D151" s="874"/>
      <c r="E151" s="242"/>
      <c r="F151" s="296"/>
    </row>
    <row r="152" spans="1:6" ht="14.1" customHeight="1">
      <c r="A152" s="888"/>
      <c r="B152" s="889" t="s">
        <v>1775</v>
      </c>
      <c r="C152" s="890" t="s">
        <v>1770</v>
      </c>
      <c r="D152" s="874" t="s">
        <v>1693</v>
      </c>
      <c r="E152" s="242">
        <f>'[4]COSTO CDMX,QRO,GDL '!I152</f>
        <v>2660.4</v>
      </c>
      <c r="F152" s="217" t="s">
        <v>284</v>
      </c>
    </row>
    <row r="153" spans="1:6" ht="14.1" customHeight="1">
      <c r="A153" s="888"/>
      <c r="B153" s="889" t="s">
        <v>1776</v>
      </c>
      <c r="C153" s="890" t="s">
        <v>1683</v>
      </c>
      <c r="D153" s="874" t="s">
        <v>1695</v>
      </c>
      <c r="E153" s="242">
        <f>'[4]COSTO CDMX,QRO,GDL '!I153</f>
        <v>2841.1833333333334</v>
      </c>
      <c r="F153" s="217" t="s">
        <v>284</v>
      </c>
    </row>
    <row r="154" spans="1:6" ht="14.1" customHeight="1">
      <c r="A154" s="888"/>
      <c r="B154" s="889" t="s">
        <v>1777</v>
      </c>
      <c r="C154" s="875" t="s">
        <v>1722</v>
      </c>
      <c r="D154" s="874" t="s">
        <v>1698</v>
      </c>
      <c r="E154" s="242">
        <f>'[4]COSTO CDMX,QRO,GDL '!I154</f>
        <v>2885.3</v>
      </c>
      <c r="F154" s="217" t="s">
        <v>284</v>
      </c>
    </row>
    <row r="155" spans="1:6" ht="14.1" customHeight="1">
      <c r="A155" s="888"/>
      <c r="B155" s="889" t="s">
        <v>1778</v>
      </c>
      <c r="C155" s="890"/>
      <c r="D155" s="874" t="s">
        <v>1700</v>
      </c>
      <c r="E155" s="242">
        <f>'[4]COSTO CDMX,QRO,GDL '!I155</f>
        <v>3102.0166666666669</v>
      </c>
      <c r="F155" s="217" t="s">
        <v>284</v>
      </c>
    </row>
    <row r="156" spans="1:6" ht="14.1" customHeight="1">
      <c r="A156" s="888"/>
      <c r="B156" s="889"/>
      <c r="C156" s="828"/>
      <c r="D156" s="874"/>
      <c r="E156" s="242"/>
      <c r="F156" s="296"/>
    </row>
    <row r="157" spans="1:6" ht="14.1" customHeight="1">
      <c r="A157" s="888"/>
      <c r="B157" s="891"/>
      <c r="C157" s="828"/>
      <c r="D157" s="874"/>
      <c r="E157" s="242"/>
      <c r="F157" s="280"/>
    </row>
    <row r="158" spans="1:6" ht="14.1" customHeight="1">
      <c r="A158" s="888"/>
      <c r="B158" s="891"/>
      <c r="C158" s="890"/>
      <c r="D158" s="874"/>
      <c r="E158" s="242"/>
      <c r="F158" s="296"/>
    </row>
    <row r="159" spans="1:6" ht="14.1" customHeight="1">
      <c r="A159" s="888"/>
      <c r="B159" s="891"/>
      <c r="C159" s="890"/>
      <c r="D159" s="874"/>
      <c r="E159" s="242"/>
      <c r="F159" s="296"/>
    </row>
    <row r="160" spans="1:6" ht="14.1" customHeight="1">
      <c r="A160" s="903"/>
      <c r="B160" s="904"/>
      <c r="C160" s="905"/>
      <c r="D160" s="904"/>
      <c r="E160" s="336"/>
      <c r="F160" s="337"/>
    </row>
    <row r="161" spans="1:6" ht="14.1" customHeight="1">
      <c r="A161" s="888"/>
      <c r="B161" s="906"/>
      <c r="C161" s="907"/>
      <c r="D161" s="906"/>
      <c r="E161" s="340"/>
      <c r="F161" s="341"/>
    </row>
    <row r="162" spans="1:6" ht="14.1" customHeight="1">
      <c r="A162" s="888"/>
      <c r="B162" s="906"/>
      <c r="C162" s="907"/>
      <c r="D162" s="906"/>
      <c r="E162" s="340"/>
      <c r="F162" s="341"/>
    </row>
    <row r="163" spans="1:6" ht="14.1" customHeight="1">
      <c r="A163" s="888"/>
      <c r="B163" s="906"/>
      <c r="C163" s="907"/>
      <c r="D163" s="906"/>
      <c r="E163" s="340"/>
      <c r="F163" s="341"/>
    </row>
    <row r="164" spans="1:6" ht="14.1" customHeight="1">
      <c r="A164" s="888"/>
      <c r="B164" s="906"/>
      <c r="C164" s="907"/>
      <c r="D164" s="906"/>
      <c r="E164" s="340"/>
      <c r="F164" s="341"/>
    </row>
    <row r="165" spans="1:6" ht="14.1" customHeight="1">
      <c r="A165" s="888"/>
      <c r="B165" s="906"/>
      <c r="C165" s="907"/>
      <c r="D165" s="906"/>
      <c r="E165" s="340"/>
      <c r="F165" s="341"/>
    </row>
    <row r="166" spans="1:6" ht="14.1" customHeight="1">
      <c r="A166" s="888"/>
      <c r="B166" s="906"/>
      <c r="C166" s="907"/>
      <c r="D166" s="906"/>
      <c r="E166" s="340"/>
      <c r="F166" s="341"/>
    </row>
    <row r="167" spans="1:6" ht="14.1" customHeight="1">
      <c r="A167" s="888"/>
      <c r="B167" s="906"/>
      <c r="C167" s="907"/>
      <c r="D167" s="906"/>
      <c r="E167" s="340"/>
      <c r="F167" s="341"/>
    </row>
    <row r="168" spans="1:6" ht="14.1" customHeight="1">
      <c r="A168" s="888"/>
      <c r="B168" s="906"/>
      <c r="C168" s="907"/>
      <c r="D168" s="906"/>
      <c r="E168" s="340"/>
      <c r="F168" s="341"/>
    </row>
    <row r="169" spans="1:6" ht="14.1" customHeight="1">
      <c r="A169" s="888"/>
      <c r="B169" s="906"/>
      <c r="C169" s="907"/>
      <c r="D169" s="906"/>
      <c r="E169" s="340"/>
      <c r="F169" s="341"/>
    </row>
    <row r="170" spans="1:6" ht="14.1" customHeight="1">
      <c r="A170" s="888"/>
      <c r="B170" s="906"/>
      <c r="C170" s="907"/>
      <c r="D170" s="906"/>
      <c r="E170" s="340"/>
      <c r="F170" s="341"/>
    </row>
    <row r="171" spans="1:6" ht="14.1" customHeight="1">
      <c r="A171" s="888"/>
      <c r="B171" s="906"/>
      <c r="C171" s="907"/>
      <c r="D171" s="906"/>
      <c r="E171" s="340"/>
      <c r="F171" s="341"/>
    </row>
    <row r="172" spans="1:6" ht="14.1" customHeight="1">
      <c r="A172" s="888"/>
      <c r="B172" s="906"/>
      <c r="C172" s="907"/>
      <c r="D172" s="906"/>
      <c r="E172" s="340"/>
      <c r="F172" s="341"/>
    </row>
    <row r="173" spans="1:6" ht="14.1" customHeight="1">
      <c r="A173" s="888"/>
      <c r="B173" s="906"/>
      <c r="C173" s="907"/>
      <c r="D173" s="906"/>
      <c r="E173" s="340"/>
      <c r="F173" s="341"/>
    </row>
    <row r="174" spans="1:6" ht="14.1" customHeight="1">
      <c r="A174" s="888"/>
      <c r="B174" s="906"/>
      <c r="C174" s="907"/>
      <c r="D174" s="906"/>
      <c r="E174" s="340"/>
      <c r="F174" s="341"/>
    </row>
    <row r="175" spans="1:6" ht="14.1" customHeight="1">
      <c r="A175" s="888"/>
      <c r="B175" s="906"/>
      <c r="C175" s="907"/>
      <c r="D175" s="906"/>
      <c r="E175" s="340"/>
      <c r="F175" s="341"/>
    </row>
    <row r="176" spans="1:6" ht="14.1" customHeight="1">
      <c r="A176" s="888"/>
      <c r="B176" s="906"/>
      <c r="C176" s="907"/>
      <c r="D176" s="906"/>
      <c r="E176" s="340"/>
      <c r="F176" s="341"/>
    </row>
    <row r="177" spans="1:6" ht="14.1" customHeight="1">
      <c r="A177" s="888"/>
      <c r="B177" s="906"/>
      <c r="C177" s="907"/>
      <c r="D177" s="906"/>
      <c r="E177" s="340"/>
      <c r="F177" s="341"/>
    </row>
    <row r="178" spans="1:6" ht="14.1" customHeight="1">
      <c r="A178" s="888"/>
      <c r="B178" s="906"/>
      <c r="C178" s="907"/>
      <c r="D178" s="906"/>
      <c r="E178" s="340"/>
      <c r="F178" s="341"/>
    </row>
    <row r="179" spans="1:6" ht="14.1" customHeight="1">
      <c r="A179" s="888"/>
      <c r="B179" s="906"/>
      <c r="C179" s="907"/>
      <c r="D179" s="906"/>
      <c r="E179" s="340"/>
      <c r="F179" s="341"/>
    </row>
    <row r="180" spans="1:6" ht="14.1" customHeight="1">
      <c r="A180" s="888"/>
      <c r="B180" s="906"/>
      <c r="C180" s="907"/>
      <c r="D180" s="906"/>
      <c r="E180" s="340"/>
      <c r="F180" s="341"/>
    </row>
    <row r="181" spans="1:6" ht="14.1" customHeight="1">
      <c r="A181" s="888"/>
      <c r="B181" s="906"/>
      <c r="C181" s="907"/>
      <c r="D181" s="906"/>
      <c r="E181" s="340"/>
      <c r="F181" s="341"/>
    </row>
    <row r="182" spans="1:6" ht="14.1" customHeight="1">
      <c r="A182" s="888"/>
      <c r="B182" s="906"/>
      <c r="C182" s="907"/>
      <c r="D182" s="906"/>
      <c r="E182" s="340"/>
      <c r="F182" s="341"/>
    </row>
    <row r="183" spans="1:6" ht="14.1" customHeight="1">
      <c r="A183" s="888"/>
      <c r="B183" s="906"/>
      <c r="C183" s="907"/>
      <c r="D183" s="906"/>
      <c r="E183" s="340"/>
      <c r="F183" s="341"/>
    </row>
    <row r="184" spans="1:6" ht="14.1" customHeight="1">
      <c r="A184" s="888"/>
      <c r="B184" s="906"/>
      <c r="C184" s="907"/>
      <c r="D184" s="906"/>
      <c r="E184" s="340"/>
      <c r="F184" s="341"/>
    </row>
    <row r="185" spans="1:6" ht="14.1" customHeight="1">
      <c r="A185" s="888"/>
      <c r="B185" s="906"/>
      <c r="C185" s="907"/>
      <c r="D185" s="906"/>
      <c r="E185" s="340"/>
      <c r="F185" s="341"/>
    </row>
    <row r="186" spans="1:6" ht="14.1" customHeight="1">
      <c r="A186" s="908"/>
      <c r="B186" s="909"/>
      <c r="C186" s="910"/>
      <c r="D186" s="909"/>
      <c r="E186" s="345"/>
      <c r="F186" s="346"/>
    </row>
    <row r="187" spans="1:6" ht="15" customHeight="1">
      <c r="A187" s="884"/>
      <c r="B187" s="885"/>
      <c r="C187" s="886" t="s">
        <v>1779</v>
      </c>
      <c r="D187" s="887"/>
      <c r="E187" s="210"/>
      <c r="F187" s="271"/>
    </row>
    <row r="188" spans="1:6" ht="14.1" customHeight="1">
      <c r="A188" s="888"/>
      <c r="B188" s="889" t="s">
        <v>1780</v>
      </c>
      <c r="C188" s="869" t="s">
        <v>1781</v>
      </c>
      <c r="D188" s="874" t="s">
        <v>1687</v>
      </c>
      <c r="E188" s="242">
        <f>'[4]COSTO CDMX,QRO,GDL '!I188</f>
        <v>388.76656346749235</v>
      </c>
      <c r="F188" s="217" t="s">
        <v>284</v>
      </c>
    </row>
    <row r="189" spans="1:6" ht="14.1" customHeight="1">
      <c r="A189" s="888"/>
      <c r="B189" s="889" t="s">
        <v>1782</v>
      </c>
      <c r="C189" s="890" t="s">
        <v>1783</v>
      </c>
      <c r="D189" s="874" t="s">
        <v>1689</v>
      </c>
      <c r="E189" s="242">
        <f>'[4]COSTO CDMX,QRO,GDL '!I189</f>
        <v>414.46393188854495</v>
      </c>
      <c r="F189" s="217" t="s">
        <v>284</v>
      </c>
    </row>
    <row r="190" spans="1:6" ht="14.1" customHeight="1">
      <c r="A190" s="888"/>
      <c r="B190" s="889" t="s">
        <v>1784</v>
      </c>
      <c r="C190" s="869"/>
      <c r="D190" s="874" t="s">
        <v>1691</v>
      </c>
      <c r="E190" s="242">
        <f>'[4]COSTO CDMX,QRO,GDL '!I190</f>
        <v>420.02275541795677</v>
      </c>
      <c r="F190" s="217" t="s">
        <v>284</v>
      </c>
    </row>
    <row r="191" spans="1:6" ht="14.1" customHeight="1">
      <c r="A191" s="888"/>
      <c r="B191" s="889" t="s">
        <v>1785</v>
      </c>
      <c r="C191" s="869"/>
      <c r="D191" s="874" t="s">
        <v>1786</v>
      </c>
      <c r="E191" s="242">
        <f>'[4]COSTO CDMX,QRO,GDL '!I191</f>
        <v>461.55789473684234</v>
      </c>
      <c r="F191" s="217" t="s">
        <v>284</v>
      </c>
    </row>
    <row r="192" spans="1:6" ht="14.1" customHeight="1">
      <c r="A192" s="888"/>
      <c r="B192" s="889" t="s">
        <v>1787</v>
      </c>
      <c r="C192" s="869"/>
      <c r="D192" s="874" t="s">
        <v>1693</v>
      </c>
      <c r="E192" s="242">
        <f>'[4]COSTO CDMX,QRO,GDL '!I192</f>
        <v>467.116718266254</v>
      </c>
      <c r="F192" s="217" t="s">
        <v>284</v>
      </c>
    </row>
    <row r="193" spans="1:63" ht="14.1" customHeight="1">
      <c r="A193" s="888"/>
      <c r="B193" s="889" t="s">
        <v>1788</v>
      </c>
      <c r="C193" s="869"/>
      <c r="D193" s="874" t="s">
        <v>1789</v>
      </c>
      <c r="E193" s="242">
        <f>'[4]COSTO CDMX,QRO,GDL '!I193</f>
        <v>536.09001547987634</v>
      </c>
      <c r="F193" s="217" t="s">
        <v>284</v>
      </c>
    </row>
    <row r="194" spans="1:63" ht="14.1" customHeight="1">
      <c r="A194" s="888"/>
      <c r="B194" s="889" t="s">
        <v>1790</v>
      </c>
      <c r="C194" s="869"/>
      <c r="D194" s="874" t="s">
        <v>1695</v>
      </c>
      <c r="E194" s="242">
        <f>'[4]COSTO CDMX,QRO,GDL '!I194</f>
        <v>541.64883900928805</v>
      </c>
      <c r="F194" s="217" t="s">
        <v>284</v>
      </c>
    </row>
    <row r="195" spans="1:63" ht="14.1" customHeight="1">
      <c r="A195" s="888"/>
      <c r="B195" s="889" t="s">
        <v>1791</v>
      </c>
      <c r="C195" s="869"/>
      <c r="D195" s="874" t="s">
        <v>1792</v>
      </c>
      <c r="E195" s="242">
        <f>'[4]COSTO CDMX,QRO,GDL '!I195</f>
        <v>637.14845201238393</v>
      </c>
      <c r="F195" s="217" t="s">
        <v>284</v>
      </c>
    </row>
    <row r="196" spans="1:63" ht="14.1" customHeight="1">
      <c r="A196" s="888"/>
      <c r="B196" s="889" t="s">
        <v>1793</v>
      </c>
      <c r="C196" s="869"/>
      <c r="D196" s="874" t="s">
        <v>1700</v>
      </c>
      <c r="E196" s="242">
        <f>'[4]COSTO CDMX,QRO,GDL '!I196</f>
        <v>642.70727554179575</v>
      </c>
      <c r="F196" s="217" t="s">
        <v>284</v>
      </c>
    </row>
    <row r="197" spans="1:63" ht="14.1" customHeight="1">
      <c r="A197" s="888"/>
      <c r="B197" s="889" t="s">
        <v>1794</v>
      </c>
      <c r="C197" s="869"/>
      <c r="D197" s="874" t="s">
        <v>1795</v>
      </c>
      <c r="E197" s="242">
        <f>'[4]COSTO CDMX,QRO,GDL '!I197</f>
        <v>648.26609907120758</v>
      </c>
      <c r="F197" s="217" t="s">
        <v>284</v>
      </c>
    </row>
    <row r="198" spans="1:63" ht="14.1" customHeight="1">
      <c r="A198" s="888"/>
      <c r="B198" s="889" t="s">
        <v>1796</v>
      </c>
      <c r="C198" s="869"/>
      <c r="D198" s="874" t="s">
        <v>1797</v>
      </c>
      <c r="E198" s="242">
        <f>'[4]COSTO CDMX,QRO,GDL '!I198</f>
        <v>663.27492260061922</v>
      </c>
      <c r="F198" s="217" t="s">
        <v>284</v>
      </c>
    </row>
    <row r="199" spans="1:63" ht="14.1" customHeight="1">
      <c r="A199" s="888"/>
      <c r="B199" s="889" t="s">
        <v>1798</v>
      </c>
      <c r="C199" s="869"/>
      <c r="D199" s="874" t="s">
        <v>1799</v>
      </c>
      <c r="E199" s="242">
        <f>'[4]COSTO CDMX,QRO,GDL '!I199</f>
        <v>678.28374613003109</v>
      </c>
      <c r="F199" s="217" t="s">
        <v>284</v>
      </c>
    </row>
    <row r="200" spans="1:63" ht="14.1" customHeight="1">
      <c r="A200" s="888"/>
      <c r="B200" s="889" t="s">
        <v>1800</v>
      </c>
      <c r="C200" s="869"/>
      <c r="D200" s="874" t="s">
        <v>1801</v>
      </c>
      <c r="E200" s="242">
        <f>'[4]COSTO CDMX,QRO,GDL '!I200</f>
        <v>873.1741486068114</v>
      </c>
      <c r="F200" s="217" t="s">
        <v>284</v>
      </c>
    </row>
    <row r="201" spans="1:63" ht="14.1" customHeight="1">
      <c r="A201" s="888"/>
      <c r="B201" s="889" t="s">
        <v>1802</v>
      </c>
      <c r="C201" s="869"/>
      <c r="D201" s="874" t="s">
        <v>1803</v>
      </c>
      <c r="E201" s="242">
        <f>'[4]COSTO CDMX,QRO,GDL '!I201</f>
        <v>893.08781642688041</v>
      </c>
      <c r="F201" s="217" t="s">
        <v>284</v>
      </c>
    </row>
    <row r="202" spans="1:63" s="841" customFormat="1" ht="15" customHeight="1">
      <c r="A202" s="842" t="s">
        <v>1667</v>
      </c>
      <c r="B202" s="843"/>
      <c r="C202" s="1511" t="s">
        <v>1804</v>
      </c>
      <c r="D202" s="842"/>
      <c r="E202" s="235"/>
      <c r="F202" s="235"/>
      <c r="G202" s="845"/>
      <c r="H202" s="880"/>
      <c r="I202" s="881"/>
      <c r="J202" s="840"/>
      <c r="K202" s="840"/>
      <c r="L202" s="840"/>
      <c r="M202" s="840"/>
      <c r="N202" s="840"/>
      <c r="O202" s="840"/>
      <c r="P202" s="840"/>
      <c r="Q202" s="848"/>
      <c r="R202" s="848"/>
      <c r="S202" s="848"/>
      <c r="T202" s="848"/>
      <c r="U202" s="848"/>
      <c r="V202" s="848"/>
      <c r="W202" s="848"/>
      <c r="X202" s="848"/>
      <c r="Y202" s="848"/>
      <c r="Z202" s="848"/>
      <c r="AA202" s="848"/>
      <c r="AB202" s="848"/>
      <c r="AC202" s="848"/>
      <c r="AD202" s="848"/>
      <c r="AE202" s="848"/>
      <c r="AF202" s="848"/>
      <c r="AG202" s="848"/>
      <c r="AH202" s="848"/>
      <c r="AI202" s="848"/>
      <c r="AJ202" s="848"/>
      <c r="AK202" s="848"/>
      <c r="AL202" s="848"/>
      <c r="AM202" s="848"/>
      <c r="AN202" s="848"/>
      <c r="AO202" s="848"/>
      <c r="AP202" s="848"/>
      <c r="AQ202" s="848"/>
      <c r="AR202" s="848"/>
      <c r="AS202" s="848"/>
      <c r="AT202" s="848"/>
      <c r="AU202" s="848"/>
      <c r="AV202" s="848"/>
      <c r="AW202" s="848"/>
      <c r="AX202" s="848"/>
      <c r="AY202" s="848"/>
      <c r="AZ202" s="848"/>
      <c r="BA202" s="848"/>
      <c r="BB202" s="848"/>
      <c r="BC202" s="848"/>
      <c r="BD202" s="848"/>
      <c r="BE202" s="848"/>
      <c r="BF202" s="848"/>
      <c r="BG202" s="848"/>
      <c r="BH202" s="848"/>
      <c r="BI202" s="848"/>
      <c r="BJ202" s="848"/>
      <c r="BK202" s="848"/>
    </row>
    <row r="203" spans="1:63" s="857" customFormat="1" ht="15" customHeight="1">
      <c r="A203" s="849" t="s">
        <v>1669</v>
      </c>
      <c r="B203" s="850"/>
      <c r="C203" s="1512"/>
      <c r="D203" s="851"/>
      <c r="E203" s="286"/>
      <c r="F203" s="286"/>
      <c r="G203" s="852"/>
      <c r="H203" s="882"/>
      <c r="I203" s="883"/>
      <c r="J203" s="855"/>
      <c r="K203" s="855"/>
      <c r="L203" s="855"/>
      <c r="M203" s="855"/>
      <c r="N203" s="855"/>
      <c r="O203" s="855"/>
      <c r="P203" s="855"/>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6"/>
      <c r="BC203" s="856"/>
      <c r="BD203" s="856"/>
      <c r="BE203" s="856"/>
      <c r="BF203" s="856"/>
      <c r="BG203" s="856"/>
      <c r="BH203" s="856"/>
      <c r="BI203" s="856"/>
      <c r="BJ203" s="856"/>
      <c r="BK203" s="856"/>
    </row>
    <row r="204" spans="1:63" s="860" customFormat="1">
      <c r="A204" s="858" t="s">
        <v>512</v>
      </c>
      <c r="B204" s="859" t="s">
        <v>513</v>
      </c>
      <c r="C204" s="201" t="s">
        <v>514</v>
      </c>
      <c r="D204" s="858" t="s">
        <v>515</v>
      </c>
      <c r="E204" s="202" t="s">
        <v>516</v>
      </c>
      <c r="F204" s="203" t="s">
        <v>1670</v>
      </c>
      <c r="G204" s="841"/>
      <c r="N204" s="861"/>
      <c r="O204" s="861"/>
      <c r="P204" s="861"/>
      <c r="Q204" s="861"/>
      <c r="R204" s="861"/>
      <c r="S204" s="861"/>
      <c r="T204" s="861"/>
      <c r="U204" s="861"/>
      <c r="V204" s="861"/>
      <c r="W204" s="861"/>
      <c r="X204" s="861"/>
      <c r="Y204" s="861"/>
      <c r="Z204" s="861"/>
      <c r="AA204" s="861"/>
      <c r="AB204" s="861"/>
      <c r="AC204" s="861"/>
      <c r="AD204" s="861"/>
      <c r="AE204" s="861"/>
      <c r="AF204" s="861"/>
      <c r="AG204" s="861"/>
      <c r="AH204" s="861"/>
      <c r="AI204" s="861"/>
      <c r="AJ204" s="861"/>
      <c r="AK204" s="861"/>
      <c r="AL204" s="861"/>
      <c r="AM204" s="861"/>
      <c r="AN204" s="861"/>
      <c r="AO204" s="861"/>
      <c r="AP204" s="861"/>
      <c r="AQ204" s="861"/>
      <c r="AR204" s="861"/>
      <c r="AS204" s="861"/>
      <c r="AT204" s="861"/>
      <c r="AU204" s="861"/>
      <c r="AV204" s="861"/>
      <c r="AW204" s="861"/>
      <c r="AX204" s="861"/>
      <c r="AY204" s="861"/>
      <c r="AZ204" s="861"/>
      <c r="BA204" s="861"/>
      <c r="BB204" s="861"/>
      <c r="BC204" s="861"/>
      <c r="BD204" s="861"/>
      <c r="BE204" s="861"/>
      <c r="BF204" s="861"/>
      <c r="BG204" s="861"/>
      <c r="BH204" s="861"/>
    </row>
    <row r="205" spans="1:63" ht="14.1" customHeight="1">
      <c r="A205" s="884"/>
      <c r="B205" s="885"/>
      <c r="C205" s="886" t="s">
        <v>1678</v>
      </c>
      <c r="D205" s="887"/>
      <c r="E205" s="210"/>
      <c r="F205" s="211"/>
    </row>
    <row r="206" spans="1:63" ht="14.1" customHeight="1">
      <c r="A206" s="888"/>
      <c r="B206" s="889" t="s">
        <v>1805</v>
      </c>
      <c r="C206" s="890" t="s">
        <v>1806</v>
      </c>
      <c r="D206" s="874" t="s">
        <v>1681</v>
      </c>
      <c r="E206" s="242">
        <f>'[4]COSTO CDMX,QRO,GDL '!I206</f>
        <v>1516.8500000000001</v>
      </c>
      <c r="F206" s="217" t="s">
        <v>284</v>
      </c>
    </row>
    <row r="207" spans="1:63" ht="14.1" customHeight="1">
      <c r="A207" s="888"/>
      <c r="B207" s="889" t="s">
        <v>1807</v>
      </c>
      <c r="C207" s="890" t="s">
        <v>1683</v>
      </c>
      <c r="D207" s="874" t="s">
        <v>1684</v>
      </c>
      <c r="E207" s="242">
        <f>'[4]COSTO CDMX,QRO,GDL '!I207</f>
        <v>1577.9333333333334</v>
      </c>
      <c r="F207" s="217" t="s">
        <v>284</v>
      </c>
    </row>
    <row r="208" spans="1:63" ht="14.1" customHeight="1">
      <c r="A208" s="888"/>
      <c r="B208" s="889" t="s">
        <v>1808</v>
      </c>
      <c r="C208" s="875" t="s">
        <v>1686</v>
      </c>
      <c r="D208" s="874" t="s">
        <v>1687</v>
      </c>
      <c r="E208" s="242">
        <f>'[4]COSTO CDMX,QRO,GDL '!I208</f>
        <v>1651.4666666666667</v>
      </c>
      <c r="F208" s="217" t="s">
        <v>284</v>
      </c>
    </row>
    <row r="209" spans="1:6" ht="14.1" customHeight="1">
      <c r="A209" s="888"/>
      <c r="B209" s="889" t="s">
        <v>1809</v>
      </c>
      <c r="C209" s="890"/>
      <c r="D209" s="874" t="s">
        <v>1689</v>
      </c>
      <c r="E209" s="242">
        <f>'[4]COSTO CDMX,QRO,GDL '!I209</f>
        <v>1653.7666666666667</v>
      </c>
      <c r="F209" s="217" t="s">
        <v>284</v>
      </c>
    </row>
    <row r="210" spans="1:6" ht="14.1" customHeight="1">
      <c r="A210" s="888"/>
      <c r="B210" s="889" t="s">
        <v>1810</v>
      </c>
      <c r="C210" s="890"/>
      <c r="D210" s="874" t="s">
        <v>1691</v>
      </c>
      <c r="E210" s="242">
        <f>'[4]COSTO CDMX,QRO,GDL '!I210</f>
        <v>1717.2333333333333</v>
      </c>
      <c r="F210" s="217" t="s">
        <v>284</v>
      </c>
    </row>
    <row r="211" spans="1:6" ht="14.1" customHeight="1">
      <c r="A211" s="888"/>
      <c r="B211" s="889"/>
      <c r="C211" s="890"/>
      <c r="D211" s="874"/>
      <c r="E211" s="242"/>
      <c r="F211" s="296"/>
    </row>
    <row r="212" spans="1:6" ht="14.1" customHeight="1">
      <c r="A212" s="888"/>
      <c r="B212" s="889"/>
      <c r="C212" s="890"/>
      <c r="D212" s="874"/>
      <c r="E212" s="242"/>
      <c r="F212" s="296"/>
    </row>
    <row r="213" spans="1:6" ht="14.1" customHeight="1">
      <c r="A213" s="888"/>
      <c r="B213" s="889"/>
      <c r="C213" s="890"/>
      <c r="D213" s="874"/>
      <c r="E213" s="242"/>
      <c r="F213" s="296"/>
    </row>
    <row r="214" spans="1:6" ht="14.1" customHeight="1">
      <c r="A214" s="888"/>
      <c r="B214" s="889"/>
      <c r="C214" s="890"/>
      <c r="D214" s="874"/>
      <c r="E214" s="242"/>
      <c r="F214" s="296"/>
    </row>
    <row r="215" spans="1:6" ht="14.1" customHeight="1">
      <c r="A215" s="888"/>
      <c r="B215" s="889" t="s">
        <v>1811</v>
      </c>
      <c r="C215" s="890" t="s">
        <v>1806</v>
      </c>
      <c r="D215" s="874" t="s">
        <v>1693</v>
      </c>
      <c r="E215" s="242">
        <f>'[4]COSTO CDMX,QRO,GDL '!I215</f>
        <v>1905.7333333333336</v>
      </c>
      <c r="F215" s="217" t="s">
        <v>284</v>
      </c>
    </row>
    <row r="216" spans="1:6" ht="14.1" customHeight="1">
      <c r="A216" s="888"/>
      <c r="B216" s="889" t="s">
        <v>1812</v>
      </c>
      <c r="C216" s="890" t="s">
        <v>1683</v>
      </c>
      <c r="D216" s="874" t="s">
        <v>1695</v>
      </c>
      <c r="E216" s="242">
        <f>'[4]COSTO CDMX,QRO,GDL '!I216</f>
        <v>2021.2166666666667</v>
      </c>
      <c r="F216" s="217" t="s">
        <v>284</v>
      </c>
    </row>
    <row r="217" spans="1:6" ht="14.1" customHeight="1">
      <c r="A217" s="888"/>
      <c r="B217" s="889" t="s">
        <v>1813</v>
      </c>
      <c r="C217" s="875" t="s">
        <v>1697</v>
      </c>
      <c r="D217" s="874" t="s">
        <v>1698</v>
      </c>
      <c r="E217" s="242">
        <f>'[4]COSTO CDMX,QRO,GDL '!I217</f>
        <v>2061.75</v>
      </c>
      <c r="F217" s="217" t="s">
        <v>284</v>
      </c>
    </row>
    <row r="218" spans="1:6" ht="14.1" customHeight="1">
      <c r="A218" s="888"/>
      <c r="B218" s="889" t="s">
        <v>1814</v>
      </c>
      <c r="C218" s="890"/>
      <c r="D218" s="874" t="s">
        <v>1700</v>
      </c>
      <c r="E218" s="242">
        <f>'[4]COSTO CDMX,QRO,GDL '!I218</f>
        <v>2314.0666666666671</v>
      </c>
      <c r="F218" s="217" t="s">
        <v>284</v>
      </c>
    </row>
    <row r="219" spans="1:6" ht="14.1" customHeight="1">
      <c r="A219" s="888"/>
      <c r="B219" s="889"/>
      <c r="C219" s="828"/>
      <c r="D219" s="874"/>
      <c r="E219" s="242"/>
      <c r="F219" s="296"/>
    </row>
    <row r="220" spans="1:6" ht="14.1" customHeight="1">
      <c r="A220" s="888"/>
      <c r="B220" s="891"/>
      <c r="C220" s="828"/>
      <c r="D220" s="874"/>
      <c r="E220" s="242"/>
      <c r="F220" s="280"/>
    </row>
    <row r="221" spans="1:6" ht="14.1" customHeight="1">
      <c r="A221" s="888"/>
      <c r="B221" s="891"/>
      <c r="C221" s="890"/>
      <c r="D221" s="874"/>
      <c r="E221" s="242"/>
      <c r="F221" s="296"/>
    </row>
    <row r="222" spans="1:6" ht="14.1" customHeight="1">
      <c r="A222" s="888"/>
      <c r="B222" s="891"/>
      <c r="C222" s="890"/>
      <c r="D222" s="874"/>
      <c r="E222" s="242"/>
      <c r="F222" s="296"/>
    </row>
    <row r="223" spans="1:6" ht="14.1" customHeight="1">
      <c r="A223" s="884"/>
      <c r="B223" s="885"/>
      <c r="C223" s="886" t="s">
        <v>1701</v>
      </c>
      <c r="D223" s="887"/>
      <c r="E223" s="887"/>
      <c r="F223" s="271"/>
    </row>
    <row r="224" spans="1:6" ht="14.1" customHeight="1">
      <c r="A224" s="888"/>
      <c r="B224" s="889" t="s">
        <v>1815</v>
      </c>
      <c r="C224" s="890" t="s">
        <v>1816</v>
      </c>
      <c r="D224" s="874" t="s">
        <v>1681</v>
      </c>
      <c r="E224" s="242">
        <f>'[4]COSTO CDMX,QRO,GDL '!I224</f>
        <v>1940.0333333333333</v>
      </c>
      <c r="F224" s="217" t="s">
        <v>284</v>
      </c>
    </row>
    <row r="225" spans="1:6" ht="14.1" customHeight="1">
      <c r="A225" s="888"/>
      <c r="B225" s="889" t="s">
        <v>1817</v>
      </c>
      <c r="C225" s="890" t="s">
        <v>1683</v>
      </c>
      <c r="D225" s="874" t="s">
        <v>1684</v>
      </c>
      <c r="E225" s="242">
        <f>'[4]COSTO CDMX,QRO,GDL '!I225</f>
        <v>1998.5166666666667</v>
      </c>
      <c r="F225" s="217" t="s">
        <v>284</v>
      </c>
    </row>
    <row r="226" spans="1:6" ht="14.1" customHeight="1">
      <c r="A226" s="888"/>
      <c r="B226" s="889" t="s">
        <v>1818</v>
      </c>
      <c r="C226" s="875" t="s">
        <v>1686</v>
      </c>
      <c r="D226" s="874" t="s">
        <v>1687</v>
      </c>
      <c r="E226" s="242">
        <f>'[4]COSTO CDMX,QRO,GDL '!I226</f>
        <v>2070.0833333333335</v>
      </c>
      <c r="F226" s="217" t="s">
        <v>284</v>
      </c>
    </row>
    <row r="227" spans="1:6" ht="14.1" customHeight="1">
      <c r="A227" s="888"/>
      <c r="B227" s="889" t="s">
        <v>1819</v>
      </c>
      <c r="C227" s="890"/>
      <c r="D227" s="874" t="s">
        <v>1689</v>
      </c>
      <c r="E227" s="242">
        <f>'[4]COSTO CDMX,QRO,GDL '!I227</f>
        <v>2072.3666666666668</v>
      </c>
      <c r="F227" s="217" t="s">
        <v>284</v>
      </c>
    </row>
    <row r="228" spans="1:6" ht="14.1" customHeight="1">
      <c r="A228" s="888"/>
      <c r="B228" s="889" t="s">
        <v>1820</v>
      </c>
      <c r="C228" s="890"/>
      <c r="D228" s="874" t="s">
        <v>1691</v>
      </c>
      <c r="E228" s="242">
        <f>'[4]COSTO CDMX,QRO,GDL '!I228</f>
        <v>2133.1</v>
      </c>
      <c r="F228" s="217" t="s">
        <v>284</v>
      </c>
    </row>
    <row r="229" spans="1:6" ht="14.1" customHeight="1">
      <c r="A229" s="888"/>
      <c r="B229" s="889"/>
      <c r="C229" s="890"/>
      <c r="D229" s="874"/>
      <c r="E229" s="242"/>
      <c r="F229" s="296"/>
    </row>
    <row r="230" spans="1:6" ht="14.1" customHeight="1">
      <c r="A230" s="888"/>
      <c r="B230" s="889"/>
      <c r="C230" s="890"/>
      <c r="D230" s="874"/>
      <c r="E230" s="242"/>
      <c r="F230" s="296"/>
    </row>
    <row r="231" spans="1:6" ht="14.1" customHeight="1">
      <c r="A231" s="888"/>
      <c r="B231" s="889"/>
      <c r="C231" s="890"/>
      <c r="D231" s="874"/>
      <c r="E231" s="242"/>
      <c r="F231" s="296"/>
    </row>
    <row r="232" spans="1:6" ht="14.1" customHeight="1">
      <c r="A232" s="888"/>
      <c r="B232" s="889"/>
      <c r="C232" s="890"/>
      <c r="D232" s="874"/>
      <c r="E232" s="242"/>
      <c r="F232" s="296"/>
    </row>
    <row r="233" spans="1:6" ht="14.1" customHeight="1">
      <c r="A233" s="888"/>
      <c r="B233" s="889" t="s">
        <v>1821</v>
      </c>
      <c r="C233" s="890" t="s">
        <v>1816</v>
      </c>
      <c r="D233" s="874" t="s">
        <v>1693</v>
      </c>
      <c r="E233" s="242">
        <f>'[4]COSTO CDMX,QRO,GDL '!I233</f>
        <v>2743.05</v>
      </c>
      <c r="F233" s="217" t="s">
        <v>284</v>
      </c>
    </row>
    <row r="234" spans="1:6" ht="14.1" customHeight="1">
      <c r="A234" s="888"/>
      <c r="B234" s="889" t="s">
        <v>1822</v>
      </c>
      <c r="C234" s="890" t="s">
        <v>1683</v>
      </c>
      <c r="D234" s="874" t="s">
        <v>1695</v>
      </c>
      <c r="E234" s="242">
        <f>'[4]COSTO CDMX,QRO,GDL '!I234</f>
        <v>2909.1333333333337</v>
      </c>
      <c r="F234" s="217" t="s">
        <v>284</v>
      </c>
    </row>
    <row r="235" spans="1:6" ht="14.1" customHeight="1">
      <c r="A235" s="888"/>
      <c r="B235" s="889" t="s">
        <v>1823</v>
      </c>
      <c r="C235" s="875" t="s">
        <v>1697</v>
      </c>
      <c r="D235" s="874" t="s">
        <v>1698</v>
      </c>
      <c r="E235" s="242">
        <f>'[4]COSTO CDMX,QRO,GDL '!I235</f>
        <v>2949.6666666666665</v>
      </c>
      <c r="F235" s="217" t="s">
        <v>284</v>
      </c>
    </row>
    <row r="236" spans="1:6" ht="14.1" customHeight="1">
      <c r="A236" s="888"/>
      <c r="B236" s="889" t="s">
        <v>1824</v>
      </c>
      <c r="C236" s="890"/>
      <c r="D236" s="874" t="s">
        <v>1700</v>
      </c>
      <c r="E236" s="242">
        <f>'[4]COSTO CDMX,QRO,GDL '!I236</f>
        <v>3148.7833333333333</v>
      </c>
      <c r="F236" s="217" t="s">
        <v>284</v>
      </c>
    </row>
    <row r="237" spans="1:6" ht="14.1" customHeight="1">
      <c r="A237" s="888"/>
      <c r="B237" s="889"/>
      <c r="C237" s="828"/>
      <c r="D237" s="874"/>
      <c r="E237" s="242"/>
      <c r="F237" s="296"/>
    </row>
    <row r="238" spans="1:6" ht="14.1" customHeight="1">
      <c r="A238" s="888"/>
      <c r="B238" s="889"/>
      <c r="C238" s="828"/>
      <c r="D238" s="874"/>
      <c r="E238" s="242"/>
      <c r="F238" s="280"/>
    </row>
    <row r="239" spans="1:6" ht="14.1" customHeight="1">
      <c r="A239" s="888"/>
      <c r="B239" s="891"/>
      <c r="C239" s="890"/>
      <c r="D239" s="874"/>
      <c r="E239" s="242"/>
      <c r="F239" s="296"/>
    </row>
    <row r="240" spans="1:6" ht="14.1" customHeight="1">
      <c r="A240" s="888"/>
      <c r="B240" s="891"/>
      <c r="C240" s="890"/>
      <c r="D240" s="874"/>
      <c r="E240" s="242"/>
      <c r="F240" s="296"/>
    </row>
    <row r="241" spans="1:6" ht="14.1" customHeight="1">
      <c r="A241" s="862"/>
      <c r="B241" s="896"/>
      <c r="C241" s="886" t="s">
        <v>1724</v>
      </c>
      <c r="D241" s="897"/>
      <c r="E241" s="897"/>
      <c r="F241" s="298"/>
    </row>
    <row r="242" spans="1:6" ht="14.1" customHeight="1">
      <c r="A242" s="888"/>
      <c r="B242" s="889" t="s">
        <v>1825</v>
      </c>
      <c r="C242" s="890" t="s">
        <v>1826</v>
      </c>
      <c r="D242" s="874" t="s">
        <v>1681</v>
      </c>
      <c r="E242" s="242">
        <f>'[4]COSTO CDMX,QRO,GDL '!I242</f>
        <v>1038.4333333333334</v>
      </c>
      <c r="F242" s="217" t="s">
        <v>284</v>
      </c>
    </row>
    <row r="243" spans="1:6" ht="14.1" customHeight="1">
      <c r="A243" s="888"/>
      <c r="B243" s="889" t="s">
        <v>1827</v>
      </c>
      <c r="C243" s="890" t="s">
        <v>1683</v>
      </c>
      <c r="D243" s="874" t="s">
        <v>1684</v>
      </c>
      <c r="E243" s="242">
        <f>'[4]COSTO CDMX,QRO,GDL '!I243</f>
        <v>1099.5333333333335</v>
      </c>
      <c r="F243" s="217" t="s">
        <v>284</v>
      </c>
    </row>
    <row r="244" spans="1:6" ht="14.1" customHeight="1">
      <c r="A244" s="888"/>
      <c r="B244" s="889" t="s">
        <v>1828</v>
      </c>
      <c r="C244" s="875" t="s">
        <v>1686</v>
      </c>
      <c r="D244" s="874" t="s">
        <v>1687</v>
      </c>
      <c r="E244" s="242">
        <f>'[4]COSTO CDMX,QRO,GDL '!I244</f>
        <v>1173.0500000000002</v>
      </c>
      <c r="F244" s="217" t="s">
        <v>284</v>
      </c>
    </row>
    <row r="245" spans="1:6" ht="14.1" customHeight="1">
      <c r="A245" s="888"/>
      <c r="B245" s="889" t="s">
        <v>1829</v>
      </c>
      <c r="C245" s="890"/>
      <c r="D245" s="874" t="s">
        <v>1689</v>
      </c>
      <c r="E245" s="242">
        <f>'[4]COSTO CDMX,QRO,GDL '!I245</f>
        <v>1175.3500000000001</v>
      </c>
      <c r="F245" s="217" t="s">
        <v>284</v>
      </c>
    </row>
    <row r="246" spans="1:6" ht="14.1" customHeight="1">
      <c r="A246" s="888"/>
      <c r="B246" s="889" t="s">
        <v>1830</v>
      </c>
      <c r="C246" s="869"/>
      <c r="D246" s="874" t="s">
        <v>1691</v>
      </c>
      <c r="E246" s="242">
        <f>'[4]COSTO CDMX,QRO,GDL '!I246</f>
        <v>1238.8166666666666</v>
      </c>
      <c r="F246" s="217" t="s">
        <v>284</v>
      </c>
    </row>
    <row r="247" spans="1:6" ht="14.1" customHeight="1">
      <c r="A247" s="888"/>
      <c r="B247" s="889"/>
      <c r="C247" s="890"/>
      <c r="D247" s="874"/>
      <c r="E247" s="242"/>
      <c r="F247" s="296"/>
    </row>
    <row r="248" spans="1:6" ht="14.1" customHeight="1">
      <c r="A248" s="888"/>
      <c r="B248" s="889" t="s">
        <v>1831</v>
      </c>
      <c r="C248" s="890" t="s">
        <v>1826</v>
      </c>
      <c r="D248" s="874" t="s">
        <v>1693</v>
      </c>
      <c r="E248" s="242">
        <f>'[4]COSTO CDMX,QRO,GDL '!I248</f>
        <v>1427.3166666666666</v>
      </c>
      <c r="F248" s="217" t="s">
        <v>284</v>
      </c>
    </row>
    <row r="249" spans="1:6" ht="14.1" customHeight="1">
      <c r="A249" s="888"/>
      <c r="B249" s="889" t="s">
        <v>1832</v>
      </c>
      <c r="C249" s="890" t="s">
        <v>1683</v>
      </c>
      <c r="D249" s="874" t="s">
        <v>1695</v>
      </c>
      <c r="E249" s="242">
        <f>'[4]COSTO CDMX,QRO,GDL '!I249</f>
        <v>1542.8</v>
      </c>
      <c r="F249" s="217" t="s">
        <v>284</v>
      </c>
    </row>
    <row r="250" spans="1:6" ht="14.1" customHeight="1">
      <c r="A250" s="888"/>
      <c r="B250" s="889" t="s">
        <v>1833</v>
      </c>
      <c r="C250" s="875" t="s">
        <v>1697</v>
      </c>
      <c r="D250" s="874" t="s">
        <v>1698</v>
      </c>
      <c r="E250" s="242">
        <f>'[4]COSTO CDMX,QRO,GDL '!I250</f>
        <v>1583.3333333333335</v>
      </c>
      <c r="F250" s="217" t="s">
        <v>284</v>
      </c>
    </row>
    <row r="251" spans="1:6" ht="14.1" customHeight="1">
      <c r="A251" s="888"/>
      <c r="B251" s="889" t="s">
        <v>1834</v>
      </c>
      <c r="C251" s="890"/>
      <c r="D251" s="874" t="s">
        <v>1700</v>
      </c>
      <c r="E251" s="242">
        <f>'[4]COSTO CDMX,QRO,GDL '!I251</f>
        <v>1822.1333333333334</v>
      </c>
      <c r="F251" s="217" t="s">
        <v>284</v>
      </c>
    </row>
    <row r="252" spans="1:6" ht="14.1" customHeight="1">
      <c r="A252" s="888"/>
      <c r="B252" s="891"/>
      <c r="C252" s="890"/>
      <c r="D252" s="874"/>
      <c r="E252" s="242"/>
      <c r="F252" s="296"/>
    </row>
    <row r="253" spans="1:6" ht="14.1" customHeight="1">
      <c r="A253" s="862"/>
      <c r="B253" s="896"/>
      <c r="C253" s="886" t="s">
        <v>1735</v>
      </c>
      <c r="D253" s="897"/>
      <c r="E253" s="897"/>
      <c r="F253" s="298"/>
    </row>
    <row r="254" spans="1:6" ht="14.1" customHeight="1">
      <c r="A254" s="888"/>
      <c r="B254" s="889" t="s">
        <v>1835</v>
      </c>
      <c r="C254" s="890" t="s">
        <v>1836</v>
      </c>
      <c r="D254" s="874" t="s">
        <v>1681</v>
      </c>
      <c r="E254" s="242">
        <f>'[4]COSTO CDMX,QRO,GDL '!I254</f>
        <v>1654.9833333333333</v>
      </c>
      <c r="F254" s="217" t="s">
        <v>284</v>
      </c>
    </row>
    <row r="255" spans="1:6" ht="14.1" customHeight="1">
      <c r="A255" s="888"/>
      <c r="B255" s="889" t="s">
        <v>1837</v>
      </c>
      <c r="C255" s="890" t="s">
        <v>1683</v>
      </c>
      <c r="D255" s="874" t="s">
        <v>1684</v>
      </c>
      <c r="E255" s="242">
        <f>'[4]COSTO CDMX,QRO,GDL '!I255</f>
        <v>1721.8166666666666</v>
      </c>
      <c r="F255" s="217" t="s">
        <v>284</v>
      </c>
    </row>
    <row r="256" spans="1:6" ht="14.1" customHeight="1">
      <c r="A256" s="888"/>
      <c r="B256" s="889" t="s">
        <v>1838</v>
      </c>
      <c r="C256" s="875" t="s">
        <v>1686</v>
      </c>
      <c r="D256" s="874" t="s">
        <v>1687</v>
      </c>
      <c r="E256" s="242">
        <f>'[4]COSTO CDMX,QRO,GDL '!I256</f>
        <v>1775.8000000000002</v>
      </c>
      <c r="F256" s="217" t="s">
        <v>284</v>
      </c>
    </row>
    <row r="257" spans="1:63" ht="14.1" customHeight="1">
      <c r="A257" s="888"/>
      <c r="B257" s="889" t="s">
        <v>1839</v>
      </c>
      <c r="C257" s="890"/>
      <c r="D257" s="874" t="s">
        <v>1689</v>
      </c>
      <c r="E257" s="242">
        <f>'[4]COSTO CDMX,QRO,GDL '!I257</f>
        <v>1834.0166666666669</v>
      </c>
      <c r="F257" s="217" t="s">
        <v>284</v>
      </c>
    </row>
    <row r="258" spans="1:63" ht="14.1" customHeight="1">
      <c r="A258" s="888"/>
      <c r="B258" s="889" t="s">
        <v>1840</v>
      </c>
      <c r="C258" s="869"/>
      <c r="D258" s="874" t="s">
        <v>1691</v>
      </c>
      <c r="E258" s="242">
        <f>'[4]COSTO CDMX,QRO,GDL '!I258</f>
        <v>1875.6333333333337</v>
      </c>
      <c r="F258" s="217" t="s">
        <v>284</v>
      </c>
    </row>
    <row r="259" spans="1:63" ht="14.1" customHeight="1">
      <c r="A259" s="888"/>
      <c r="B259" s="889"/>
      <c r="C259" s="890"/>
      <c r="D259" s="874"/>
      <c r="E259" s="242"/>
      <c r="F259" s="296"/>
    </row>
    <row r="260" spans="1:63" ht="14.1" customHeight="1">
      <c r="A260" s="888"/>
      <c r="B260" s="889" t="s">
        <v>1841</v>
      </c>
      <c r="C260" s="890" t="s">
        <v>1836</v>
      </c>
      <c r="D260" s="874" t="s">
        <v>1693</v>
      </c>
      <c r="E260" s="242">
        <f>'[4]COSTO CDMX,QRO,GDL '!I260</f>
        <v>2572.7166666666672</v>
      </c>
      <c r="F260" s="217" t="s">
        <v>284</v>
      </c>
    </row>
    <row r="261" spans="1:63" ht="14.1" customHeight="1">
      <c r="A261" s="888"/>
      <c r="B261" s="889" t="s">
        <v>1842</v>
      </c>
      <c r="C261" s="890" t="s">
        <v>1683</v>
      </c>
      <c r="D261" s="874" t="s">
        <v>1695</v>
      </c>
      <c r="E261" s="242">
        <f>'[4]COSTO CDMX,QRO,GDL '!I261</f>
        <v>2762.5166666666669</v>
      </c>
      <c r="F261" s="217" t="s">
        <v>284</v>
      </c>
    </row>
    <row r="262" spans="1:63" ht="14.1" customHeight="1">
      <c r="A262" s="888"/>
      <c r="B262" s="889" t="s">
        <v>1843</v>
      </c>
      <c r="C262" s="875" t="s">
        <v>1697</v>
      </c>
      <c r="D262" s="874" t="s">
        <v>1698</v>
      </c>
      <c r="E262" s="242">
        <f>'[4]COSTO CDMX,QRO,GDL '!I262</f>
        <v>2808.85</v>
      </c>
      <c r="F262" s="217" t="s">
        <v>284</v>
      </c>
    </row>
    <row r="263" spans="1:63" ht="14.1" customHeight="1">
      <c r="A263" s="888"/>
      <c r="B263" s="889" t="s">
        <v>1844</v>
      </c>
      <c r="C263" s="890"/>
      <c r="D263" s="874" t="s">
        <v>1700</v>
      </c>
      <c r="E263" s="242">
        <f>'[4]COSTO CDMX,QRO,GDL '!I263</f>
        <v>3020.9666666666667</v>
      </c>
      <c r="F263" s="217" t="s">
        <v>284</v>
      </c>
    </row>
    <row r="264" spans="1:63" ht="14.1" customHeight="1">
      <c r="A264" s="888"/>
      <c r="B264" s="891"/>
      <c r="C264" s="890"/>
      <c r="D264" s="874"/>
      <c r="E264" s="227"/>
      <c r="F264" s="296"/>
    </row>
    <row r="265" spans="1:63" ht="14.1" customHeight="1">
      <c r="A265" s="888"/>
      <c r="B265" s="891"/>
      <c r="C265" s="911"/>
      <c r="D265" s="874"/>
      <c r="E265" s="227"/>
      <c r="F265" s="296"/>
    </row>
    <row r="266" spans="1:63" ht="14.1" customHeight="1">
      <c r="A266" s="888"/>
      <c r="B266" s="891"/>
      <c r="C266" s="911"/>
      <c r="D266" s="874"/>
      <c r="E266" s="227"/>
      <c r="F266" s="296"/>
    </row>
    <row r="267" spans="1:63" s="841" customFormat="1" ht="15" customHeight="1">
      <c r="A267" s="842" t="s">
        <v>1667</v>
      </c>
      <c r="B267" s="843"/>
      <c r="C267" s="1511" t="s">
        <v>1845</v>
      </c>
      <c r="D267" s="842"/>
      <c r="E267" s="235"/>
      <c r="F267" s="235"/>
      <c r="G267" s="845"/>
      <c r="H267" s="880"/>
      <c r="I267" s="881"/>
      <c r="J267" s="840"/>
      <c r="K267" s="840"/>
      <c r="L267" s="840"/>
      <c r="M267" s="840"/>
      <c r="N267" s="840"/>
      <c r="O267" s="840"/>
      <c r="P267" s="840"/>
      <c r="Q267" s="848"/>
      <c r="R267" s="848"/>
      <c r="S267" s="848"/>
      <c r="T267" s="848"/>
      <c r="U267" s="848"/>
      <c r="V267" s="848"/>
      <c r="W267" s="848"/>
      <c r="X267" s="848"/>
      <c r="Y267" s="848"/>
      <c r="Z267" s="848"/>
      <c r="AA267" s="848"/>
      <c r="AB267" s="848"/>
      <c r="AC267" s="848"/>
      <c r="AD267" s="848"/>
      <c r="AE267" s="848"/>
      <c r="AF267" s="848"/>
      <c r="AG267" s="848"/>
      <c r="AH267" s="848"/>
      <c r="AI267" s="848"/>
      <c r="AJ267" s="848"/>
      <c r="AK267" s="848"/>
      <c r="AL267" s="848"/>
      <c r="AM267" s="848"/>
      <c r="AN267" s="848"/>
      <c r="AO267" s="848"/>
      <c r="AP267" s="848"/>
      <c r="AQ267" s="848"/>
      <c r="AR267" s="848"/>
      <c r="AS267" s="848"/>
      <c r="AT267" s="848"/>
      <c r="AU267" s="848"/>
      <c r="AV267" s="848"/>
      <c r="AW267" s="848"/>
      <c r="AX267" s="848"/>
      <c r="AY267" s="848"/>
      <c r="AZ267" s="848"/>
      <c r="BA267" s="848"/>
      <c r="BB267" s="848"/>
      <c r="BC267" s="848"/>
      <c r="BD267" s="848"/>
      <c r="BE267" s="848"/>
      <c r="BF267" s="848"/>
      <c r="BG267" s="848"/>
      <c r="BH267" s="848"/>
      <c r="BI267" s="848"/>
      <c r="BJ267" s="848"/>
      <c r="BK267" s="848"/>
    </row>
    <row r="268" spans="1:63" s="857" customFormat="1" ht="15" customHeight="1">
      <c r="A268" s="849" t="s">
        <v>1669</v>
      </c>
      <c r="B268" s="850"/>
      <c r="C268" s="1512"/>
      <c r="D268" s="851"/>
      <c r="E268" s="286"/>
      <c r="F268" s="286"/>
      <c r="G268" s="852"/>
      <c r="H268" s="882"/>
      <c r="I268" s="883"/>
      <c r="J268" s="855"/>
      <c r="K268" s="855"/>
      <c r="L268" s="855"/>
      <c r="M268" s="855"/>
      <c r="N268" s="855"/>
      <c r="O268" s="855"/>
      <c r="P268" s="855"/>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c r="AS268" s="856"/>
      <c r="AT268" s="856"/>
      <c r="AU268" s="856"/>
      <c r="AV268" s="856"/>
      <c r="AW268" s="856"/>
      <c r="AX268" s="856"/>
      <c r="AY268" s="856"/>
      <c r="AZ268" s="856"/>
      <c r="BA268" s="856"/>
      <c r="BB268" s="856"/>
      <c r="BC268" s="856"/>
      <c r="BD268" s="856"/>
      <c r="BE268" s="856"/>
      <c r="BF268" s="856"/>
      <c r="BG268" s="856"/>
      <c r="BH268" s="856"/>
      <c r="BI268" s="856"/>
      <c r="BJ268" s="856"/>
      <c r="BK268" s="856"/>
    </row>
    <row r="269" spans="1:63" s="860" customFormat="1">
      <c r="A269" s="858" t="s">
        <v>512</v>
      </c>
      <c r="B269" s="859" t="s">
        <v>513</v>
      </c>
      <c r="C269" s="201" t="s">
        <v>514</v>
      </c>
      <c r="D269" s="858" t="s">
        <v>515</v>
      </c>
      <c r="E269" s="202" t="s">
        <v>516</v>
      </c>
      <c r="F269" s="203" t="s">
        <v>1670</v>
      </c>
      <c r="G269" s="841"/>
      <c r="N269" s="861"/>
      <c r="O269" s="861"/>
      <c r="P269" s="861"/>
      <c r="Q269" s="861"/>
      <c r="R269" s="861"/>
      <c r="S269" s="861"/>
      <c r="T269" s="861"/>
      <c r="U269" s="861"/>
      <c r="V269" s="861"/>
      <c r="W269" s="861"/>
      <c r="X269" s="861"/>
      <c r="Y269" s="861"/>
      <c r="Z269" s="861"/>
      <c r="AA269" s="861"/>
      <c r="AB269" s="861"/>
      <c r="AC269" s="861"/>
      <c r="AD269" s="861"/>
      <c r="AE269" s="861"/>
      <c r="AF269" s="861"/>
      <c r="AG269" s="861"/>
      <c r="AH269" s="861"/>
      <c r="AI269" s="861"/>
      <c r="AJ269" s="861"/>
      <c r="AK269" s="861"/>
      <c r="AL269" s="861"/>
      <c r="AM269" s="861"/>
      <c r="AN269" s="861"/>
      <c r="AO269" s="861"/>
      <c r="AP269" s="861"/>
      <c r="AQ269" s="861"/>
      <c r="AR269" s="861"/>
      <c r="AS269" s="861"/>
      <c r="AT269" s="861"/>
      <c r="AU269" s="861"/>
      <c r="AV269" s="861"/>
      <c r="AW269" s="861"/>
      <c r="AX269" s="861"/>
      <c r="AY269" s="861"/>
      <c r="AZ269" s="861"/>
      <c r="BA269" s="861"/>
      <c r="BB269" s="861"/>
      <c r="BC269" s="861"/>
      <c r="BD269" s="861"/>
      <c r="BE269" s="861"/>
      <c r="BF269" s="861"/>
      <c r="BG269" s="861"/>
      <c r="BH269" s="861"/>
    </row>
    <row r="270" spans="1:63" ht="14.1" customHeight="1">
      <c r="A270" s="884"/>
      <c r="B270" s="885"/>
      <c r="C270" s="886" t="s">
        <v>1846</v>
      </c>
      <c r="D270" s="887"/>
      <c r="E270" s="210"/>
      <c r="F270" s="211"/>
    </row>
    <row r="271" spans="1:63" ht="14.1" customHeight="1">
      <c r="A271" s="888"/>
      <c r="B271" s="889" t="s">
        <v>1847</v>
      </c>
      <c r="C271" s="890" t="s">
        <v>1848</v>
      </c>
      <c r="D271" s="874" t="s">
        <v>1681</v>
      </c>
      <c r="E271" s="242">
        <f>'[4]COSTO CDMX,QRO,GDL '!I271</f>
        <v>2152.9500000000003</v>
      </c>
      <c r="F271" s="217" t="s">
        <v>284</v>
      </c>
    </row>
    <row r="272" spans="1:63" ht="14.1" customHeight="1">
      <c r="A272" s="888"/>
      <c r="B272" s="889" t="s">
        <v>1849</v>
      </c>
      <c r="C272" s="890" t="s">
        <v>1683</v>
      </c>
      <c r="D272" s="874" t="s">
        <v>1684</v>
      </c>
      <c r="E272" s="242">
        <f>'[4]COSTO CDMX,QRO,GDL '!I272</f>
        <v>2265.0500000000002</v>
      </c>
      <c r="F272" s="217" t="s">
        <v>284</v>
      </c>
    </row>
    <row r="273" spans="1:6" ht="14.1" customHeight="1">
      <c r="A273" s="888"/>
      <c r="B273" s="889" t="s">
        <v>1850</v>
      </c>
      <c r="C273" s="875" t="s">
        <v>1686</v>
      </c>
      <c r="D273" s="874" t="s">
        <v>1687</v>
      </c>
      <c r="E273" s="242">
        <f>'[4]COSTO CDMX,QRO,GDL '!I273</f>
        <v>2393.4499999999998</v>
      </c>
      <c r="F273" s="217" t="s">
        <v>284</v>
      </c>
    </row>
    <row r="274" spans="1:6" ht="14.1" customHeight="1">
      <c r="A274" s="888"/>
      <c r="B274" s="889" t="s">
        <v>1851</v>
      </c>
      <c r="C274" s="890"/>
      <c r="D274" s="874" t="s">
        <v>1689</v>
      </c>
      <c r="E274" s="242">
        <f>'[4]COSTO CDMX,QRO,GDL '!I274</f>
        <v>2456.1333333333337</v>
      </c>
      <c r="F274" s="217" t="s">
        <v>284</v>
      </c>
    </row>
    <row r="275" spans="1:6" ht="14.1" customHeight="1">
      <c r="A275" s="888"/>
      <c r="B275" s="889" t="s">
        <v>1852</v>
      </c>
      <c r="C275" s="890"/>
      <c r="D275" s="874" t="s">
        <v>1691</v>
      </c>
      <c r="E275" s="242">
        <f>'[4]COSTO CDMX,QRO,GDL '!I275</f>
        <v>2604.8166666666671</v>
      </c>
      <c r="F275" s="217" t="s">
        <v>284</v>
      </c>
    </row>
    <row r="276" spans="1:6" ht="14.1" customHeight="1">
      <c r="A276" s="888"/>
      <c r="B276" s="889"/>
      <c r="C276" s="890"/>
      <c r="D276" s="874"/>
      <c r="E276" s="242"/>
      <c r="F276" s="296"/>
    </row>
    <row r="277" spans="1:6" ht="14.1" customHeight="1">
      <c r="A277" s="888"/>
      <c r="B277" s="889"/>
      <c r="C277" s="890"/>
      <c r="D277" s="874"/>
      <c r="E277" s="242"/>
      <c r="F277" s="296"/>
    </row>
    <row r="278" spans="1:6" ht="14.1" customHeight="1">
      <c r="A278" s="888"/>
      <c r="B278" s="889"/>
      <c r="C278" s="890"/>
      <c r="D278" s="874"/>
      <c r="E278" s="242"/>
      <c r="F278" s="296"/>
    </row>
    <row r="279" spans="1:6" ht="14.1" customHeight="1">
      <c r="A279" s="888"/>
      <c r="B279" s="889"/>
      <c r="C279" s="890"/>
      <c r="D279" s="874"/>
      <c r="E279" s="242"/>
      <c r="F279" s="296"/>
    </row>
    <row r="280" spans="1:6" ht="14.1" customHeight="1">
      <c r="A280" s="888"/>
      <c r="B280" s="889" t="s">
        <v>1853</v>
      </c>
      <c r="C280" s="890" t="s">
        <v>1848</v>
      </c>
      <c r="D280" s="874" t="s">
        <v>1693</v>
      </c>
      <c r="E280" s="242">
        <f>'[4]COSTO CDMX,QRO,GDL '!I280</f>
        <v>2782.0333333333333</v>
      </c>
      <c r="F280" s="217" t="s">
        <v>284</v>
      </c>
    </row>
    <row r="281" spans="1:6" ht="14.1" customHeight="1">
      <c r="A281" s="888"/>
      <c r="B281" s="889" t="s">
        <v>1854</v>
      </c>
      <c r="C281" s="890" t="s">
        <v>1683</v>
      </c>
      <c r="D281" s="874" t="s">
        <v>1695</v>
      </c>
      <c r="E281" s="242">
        <f>'[4]COSTO CDMX,QRO,GDL '!I281</f>
        <v>3025.05</v>
      </c>
      <c r="F281" s="217" t="s">
        <v>284</v>
      </c>
    </row>
    <row r="282" spans="1:6" ht="14.1" customHeight="1">
      <c r="A282" s="888"/>
      <c r="B282" s="889" t="s">
        <v>1855</v>
      </c>
      <c r="C282" s="875" t="s">
        <v>1697</v>
      </c>
      <c r="D282" s="874" t="s">
        <v>1698</v>
      </c>
      <c r="E282" s="242">
        <f>'[4]COSTO CDMX,QRO,GDL '!I282</f>
        <v>3081.55</v>
      </c>
      <c r="F282" s="217" t="s">
        <v>284</v>
      </c>
    </row>
    <row r="283" spans="1:6" ht="14.1" customHeight="1">
      <c r="A283" s="888"/>
      <c r="B283" s="889" t="s">
        <v>1856</v>
      </c>
      <c r="C283" s="890"/>
      <c r="D283" s="874" t="s">
        <v>1700</v>
      </c>
      <c r="E283" s="242">
        <f>'[4]COSTO CDMX,QRO,GDL '!I283</f>
        <v>3253.5833333333335</v>
      </c>
      <c r="F283" s="217" t="s">
        <v>284</v>
      </c>
    </row>
    <row r="284" spans="1:6" ht="14.1" customHeight="1">
      <c r="A284" s="888"/>
      <c r="B284" s="889"/>
      <c r="C284" s="828"/>
      <c r="D284" s="874"/>
      <c r="E284" s="242"/>
      <c r="F284" s="296"/>
    </row>
    <row r="285" spans="1:6" ht="14.1" customHeight="1">
      <c r="A285" s="888"/>
      <c r="B285" s="891"/>
      <c r="C285" s="828"/>
      <c r="D285" s="874"/>
      <c r="E285" s="242"/>
      <c r="F285" s="280"/>
    </row>
    <row r="286" spans="1:6" ht="14.1" customHeight="1">
      <c r="A286" s="888"/>
      <c r="B286" s="891"/>
      <c r="C286" s="890"/>
      <c r="D286" s="874"/>
      <c r="E286" s="242"/>
      <c r="F286" s="296"/>
    </row>
    <row r="287" spans="1:6" ht="14.1" customHeight="1">
      <c r="A287" s="888"/>
      <c r="B287" s="891"/>
      <c r="C287" s="890"/>
      <c r="D287" s="874"/>
      <c r="E287" s="242"/>
      <c r="F287" s="296"/>
    </row>
    <row r="288" spans="1:6" ht="14.1" customHeight="1">
      <c r="A288" s="884"/>
      <c r="B288" s="885"/>
      <c r="C288" s="886" t="s">
        <v>1857</v>
      </c>
      <c r="D288" s="887"/>
      <c r="E288" s="887"/>
      <c r="F288" s="271"/>
    </row>
    <row r="289" spans="1:6" ht="14.1" customHeight="1">
      <c r="A289" s="888"/>
      <c r="B289" s="889" t="s">
        <v>1858</v>
      </c>
      <c r="C289" s="890" t="s">
        <v>1859</v>
      </c>
      <c r="D289" s="874" t="s">
        <v>1681</v>
      </c>
      <c r="E289" s="242">
        <f>'[4]COSTO CDMX,QRO,GDL '!I289</f>
        <v>2558.5500000000002</v>
      </c>
      <c r="F289" s="217" t="s">
        <v>284</v>
      </c>
    </row>
    <row r="290" spans="1:6" ht="14.1" customHeight="1">
      <c r="A290" s="888"/>
      <c r="B290" s="889" t="s">
        <v>1860</v>
      </c>
      <c r="C290" s="890" t="s">
        <v>1683</v>
      </c>
      <c r="D290" s="874" t="s">
        <v>1684</v>
      </c>
      <c r="E290" s="242">
        <f>'[4]COSTO CDMX,QRO,GDL '!I290</f>
        <v>2675.0333333333333</v>
      </c>
      <c r="F290" s="217" t="s">
        <v>284</v>
      </c>
    </row>
    <row r="291" spans="1:6" ht="14.1" customHeight="1">
      <c r="A291" s="888"/>
      <c r="B291" s="889" t="s">
        <v>1861</v>
      </c>
      <c r="C291" s="875" t="s">
        <v>1686</v>
      </c>
      <c r="D291" s="874" t="s">
        <v>1687</v>
      </c>
      <c r="E291" s="242">
        <f>'[4]COSTO CDMX,QRO,GDL '!I291</f>
        <v>2793.3</v>
      </c>
      <c r="F291" s="217" t="s">
        <v>284</v>
      </c>
    </row>
    <row r="292" spans="1:6" ht="14.1" customHeight="1">
      <c r="A292" s="888"/>
      <c r="B292" s="889" t="s">
        <v>1862</v>
      </c>
      <c r="C292" s="890"/>
      <c r="D292" s="874" t="s">
        <v>1689</v>
      </c>
      <c r="E292" s="242">
        <f>'[4]COSTO CDMX,QRO,GDL '!I292</f>
        <v>2847.7500000000005</v>
      </c>
      <c r="F292" s="217" t="s">
        <v>284</v>
      </c>
    </row>
    <row r="293" spans="1:6" ht="14.1" customHeight="1">
      <c r="A293" s="888"/>
      <c r="B293" s="889" t="s">
        <v>1863</v>
      </c>
      <c r="C293" s="890"/>
      <c r="D293" s="874" t="s">
        <v>1691</v>
      </c>
      <c r="E293" s="242">
        <f>'[4]COSTO CDMX,QRO,GDL '!I293</f>
        <v>2985.55</v>
      </c>
      <c r="F293" s="217" t="s">
        <v>284</v>
      </c>
    </row>
    <row r="294" spans="1:6" ht="14.1" customHeight="1">
      <c r="A294" s="888"/>
      <c r="B294" s="889"/>
      <c r="C294" s="890"/>
      <c r="D294" s="874"/>
      <c r="E294" s="242"/>
      <c r="F294" s="296"/>
    </row>
    <row r="295" spans="1:6" ht="14.1" customHeight="1">
      <c r="A295" s="888"/>
      <c r="B295" s="889"/>
      <c r="C295" s="890"/>
      <c r="D295" s="874"/>
      <c r="E295" s="242"/>
      <c r="F295" s="296"/>
    </row>
    <row r="296" spans="1:6" ht="14.1" customHeight="1">
      <c r="A296" s="888"/>
      <c r="B296" s="889"/>
      <c r="C296" s="890"/>
      <c r="D296" s="874"/>
      <c r="E296" s="242"/>
      <c r="F296" s="296"/>
    </row>
    <row r="297" spans="1:6" ht="14.1" customHeight="1">
      <c r="A297" s="888"/>
      <c r="B297" s="889"/>
      <c r="C297" s="890"/>
      <c r="D297" s="874"/>
      <c r="E297" s="242"/>
      <c r="F297" s="296"/>
    </row>
    <row r="298" spans="1:6" ht="14.1" customHeight="1">
      <c r="A298" s="888"/>
      <c r="B298" s="889" t="s">
        <v>1864</v>
      </c>
      <c r="C298" s="890" t="s">
        <v>1859</v>
      </c>
      <c r="D298" s="874" t="s">
        <v>1693</v>
      </c>
      <c r="E298" s="242">
        <f>'[4]COSTO CDMX,QRO,GDL '!I298</f>
        <v>3576.1</v>
      </c>
      <c r="F298" s="217" t="s">
        <v>284</v>
      </c>
    </row>
    <row r="299" spans="1:6" ht="14.1" customHeight="1">
      <c r="A299" s="888"/>
      <c r="B299" s="889" t="s">
        <v>1865</v>
      </c>
      <c r="C299" s="890" t="s">
        <v>1683</v>
      </c>
      <c r="D299" s="874" t="s">
        <v>1695</v>
      </c>
      <c r="E299" s="242">
        <f>'[4]COSTO CDMX,QRO,GDL '!I299</f>
        <v>3859.0666666666671</v>
      </c>
      <c r="F299" s="217" t="s">
        <v>284</v>
      </c>
    </row>
    <row r="300" spans="1:6" ht="14.1" customHeight="1">
      <c r="A300" s="888"/>
      <c r="B300" s="889" t="s">
        <v>1866</v>
      </c>
      <c r="C300" s="875" t="s">
        <v>1697</v>
      </c>
      <c r="D300" s="874" t="s">
        <v>1698</v>
      </c>
      <c r="E300" s="242">
        <f>'[4]COSTO CDMX,QRO,GDL '!I300</f>
        <v>3907.3166666666666</v>
      </c>
      <c r="F300" s="217" t="s">
        <v>284</v>
      </c>
    </row>
    <row r="301" spans="1:6" ht="14.1" customHeight="1">
      <c r="A301" s="888"/>
      <c r="B301" s="889" t="s">
        <v>1867</v>
      </c>
      <c r="C301" s="890"/>
      <c r="D301" s="874" t="s">
        <v>1700</v>
      </c>
      <c r="E301" s="242">
        <f>'[4]COSTO CDMX,QRO,GDL '!I301</f>
        <v>4068.0000000000005</v>
      </c>
      <c r="F301" s="217" t="s">
        <v>284</v>
      </c>
    </row>
    <row r="302" spans="1:6" ht="14.1" customHeight="1">
      <c r="A302" s="888"/>
      <c r="B302" s="889"/>
      <c r="C302" s="828"/>
      <c r="D302" s="874"/>
      <c r="E302" s="242"/>
      <c r="F302" s="296"/>
    </row>
    <row r="303" spans="1:6" ht="14.1" customHeight="1">
      <c r="A303" s="888"/>
      <c r="B303" s="889"/>
      <c r="C303" s="828"/>
      <c r="D303" s="874"/>
      <c r="E303" s="242"/>
      <c r="F303" s="280"/>
    </row>
    <row r="304" spans="1:6" ht="14.1" customHeight="1">
      <c r="A304" s="888"/>
      <c r="B304" s="891"/>
      <c r="C304" s="890"/>
      <c r="D304" s="874"/>
      <c r="E304" s="242"/>
      <c r="F304" s="296"/>
    </row>
    <row r="305" spans="1:6" ht="14.1" customHeight="1">
      <c r="A305" s="888"/>
      <c r="B305" s="891"/>
      <c r="C305" s="890"/>
      <c r="D305" s="874"/>
      <c r="E305" s="242"/>
      <c r="F305" s="296"/>
    </row>
    <row r="306" spans="1:6" ht="14.1" customHeight="1">
      <c r="A306" s="884"/>
      <c r="B306" s="885"/>
      <c r="C306" s="886" t="s">
        <v>1712</v>
      </c>
      <c r="D306" s="887"/>
      <c r="E306" s="887"/>
      <c r="F306" s="271"/>
    </row>
    <row r="307" spans="1:6" ht="14.1" customHeight="1">
      <c r="A307" s="888"/>
      <c r="B307" s="889" t="s">
        <v>1868</v>
      </c>
      <c r="C307" s="890" t="s">
        <v>1869</v>
      </c>
      <c r="D307" s="874" t="s">
        <v>1693</v>
      </c>
      <c r="E307" s="242">
        <f>'[4]COSTO CDMX,QRO,GDL '!I307</f>
        <v>3342.1</v>
      </c>
      <c r="F307" s="217" t="s">
        <v>284</v>
      </c>
    </row>
    <row r="308" spans="1:6" ht="14.1" customHeight="1">
      <c r="A308" s="888"/>
      <c r="B308" s="889" t="s">
        <v>1870</v>
      </c>
      <c r="C308" s="890" t="s">
        <v>1683</v>
      </c>
      <c r="D308" s="874" t="s">
        <v>1695</v>
      </c>
      <c r="E308" s="242">
        <f>'[4]COSTO CDMX,QRO,GDL '!I308</f>
        <v>3411.5000000000005</v>
      </c>
      <c r="F308" s="217" t="s">
        <v>284</v>
      </c>
    </row>
    <row r="309" spans="1:6" ht="14.1" customHeight="1">
      <c r="A309" s="888"/>
      <c r="B309" s="889" t="s">
        <v>1871</v>
      </c>
      <c r="C309" s="875" t="s">
        <v>1697</v>
      </c>
      <c r="D309" s="874" t="s">
        <v>1698</v>
      </c>
      <c r="E309" s="242">
        <f>'[4]COSTO CDMX,QRO,GDL '!I309</f>
        <v>3426.9333333333334</v>
      </c>
      <c r="F309" s="217" t="s">
        <v>284</v>
      </c>
    </row>
    <row r="310" spans="1:6" ht="14.1" customHeight="1">
      <c r="A310" s="893"/>
      <c r="B310" s="889" t="s">
        <v>1872</v>
      </c>
      <c r="C310" s="890"/>
      <c r="D310" s="874" t="s">
        <v>1700</v>
      </c>
      <c r="E310" s="242">
        <f>'[4]COSTO CDMX,QRO,GDL '!I310</f>
        <v>3538.7666666666673</v>
      </c>
      <c r="F310" s="217" t="s">
        <v>284</v>
      </c>
    </row>
    <row r="311" spans="1:6" ht="14.1" customHeight="1">
      <c r="A311" s="888"/>
      <c r="B311" s="889"/>
      <c r="C311" s="869"/>
      <c r="D311" s="874"/>
      <c r="E311" s="242"/>
      <c r="F311" s="296"/>
    </row>
    <row r="312" spans="1:6" ht="14.1" customHeight="1">
      <c r="A312" s="893"/>
      <c r="B312" s="889"/>
      <c r="D312" s="874"/>
      <c r="E312" s="242"/>
      <c r="F312" s="296"/>
    </row>
    <row r="313" spans="1:6" ht="14.1" customHeight="1">
      <c r="A313" s="888"/>
      <c r="B313" s="889"/>
      <c r="C313" s="890"/>
      <c r="D313" s="874"/>
      <c r="E313" s="242"/>
      <c r="F313" s="296"/>
    </row>
    <row r="314" spans="1:6" ht="14.1" customHeight="1">
      <c r="A314" s="888"/>
      <c r="B314" s="891"/>
      <c r="C314" s="890"/>
      <c r="D314" s="874"/>
      <c r="E314" s="242"/>
      <c r="F314" s="296"/>
    </row>
    <row r="315" spans="1:6" ht="14.1" customHeight="1">
      <c r="A315" s="888"/>
      <c r="B315" s="891"/>
      <c r="C315" s="890"/>
      <c r="D315" s="874"/>
      <c r="E315" s="242"/>
      <c r="F315" s="296"/>
    </row>
    <row r="316" spans="1:6" ht="14.1" customHeight="1">
      <c r="A316" s="862"/>
      <c r="B316" s="896"/>
      <c r="C316" s="886" t="s">
        <v>1873</v>
      </c>
      <c r="D316" s="897"/>
      <c r="E316" s="248"/>
      <c r="F316" s="298"/>
    </row>
    <row r="317" spans="1:6" ht="14.1" customHeight="1">
      <c r="A317" s="888"/>
      <c r="B317" s="889" t="s">
        <v>1718</v>
      </c>
      <c r="C317" s="890" t="s">
        <v>1874</v>
      </c>
      <c r="D317" s="874" t="s">
        <v>1693</v>
      </c>
      <c r="E317" s="349">
        <f>'[4]COSTO CDMX,QRO,GDL '!$I$317</f>
        <v>4533.3333333333339</v>
      </c>
      <c r="F317" s="259" t="s">
        <v>284</v>
      </c>
    </row>
    <row r="318" spans="1:6" ht="14.1" customHeight="1">
      <c r="A318" s="888"/>
      <c r="B318" s="889" t="s">
        <v>1720</v>
      </c>
      <c r="C318" s="890" t="s">
        <v>1683</v>
      </c>
      <c r="D318" s="874" t="s">
        <v>1695</v>
      </c>
      <c r="E318" s="349">
        <f>'[4]COSTO CDMX,QRO,GDL '!$I$318</f>
        <v>5657</v>
      </c>
      <c r="F318" s="259" t="s">
        <v>284</v>
      </c>
    </row>
    <row r="319" spans="1:6" ht="14.1" customHeight="1">
      <c r="A319" s="888"/>
      <c r="B319" s="889" t="s">
        <v>1721</v>
      </c>
      <c r="C319" s="875" t="s">
        <v>1697</v>
      </c>
      <c r="D319" s="874" t="s">
        <v>1698</v>
      </c>
      <c r="E319" s="349">
        <f>'[4]COSTO CDMX,QRO,GDL '!$I$319</f>
        <v>5692.7833333333338</v>
      </c>
      <c r="F319" s="259" t="s">
        <v>284</v>
      </c>
    </row>
    <row r="320" spans="1:6" ht="14.1" customHeight="1">
      <c r="A320" s="888"/>
      <c r="B320" s="889" t="s">
        <v>1723</v>
      </c>
      <c r="C320" s="895"/>
      <c r="D320" s="874" t="s">
        <v>1700</v>
      </c>
      <c r="E320" s="349">
        <f>'[4]COSTO CDMX,QRO,GDL '!$I$320</f>
        <v>5836.833333333333</v>
      </c>
      <c r="F320" s="259" t="s">
        <v>284</v>
      </c>
    </row>
    <row r="321" spans="1:63" ht="14.1" customHeight="1">
      <c r="A321" s="888"/>
      <c r="B321" s="889"/>
      <c r="C321" s="869"/>
      <c r="D321" s="874"/>
      <c r="E321" s="349"/>
      <c r="F321" s="296"/>
    </row>
    <row r="322" spans="1:63" ht="14.1" customHeight="1">
      <c r="A322" s="888"/>
      <c r="B322" s="889"/>
      <c r="C322" s="869"/>
      <c r="D322" s="874"/>
      <c r="E322" s="349"/>
      <c r="F322" s="284"/>
    </row>
    <row r="323" spans="1:63" ht="14.1" customHeight="1">
      <c r="A323" s="888"/>
      <c r="B323" s="889"/>
      <c r="C323" s="869"/>
      <c r="D323" s="874"/>
      <c r="E323" s="349"/>
      <c r="F323" s="284"/>
    </row>
    <row r="324" spans="1:63" ht="14.1" customHeight="1">
      <c r="A324" s="888"/>
      <c r="B324" s="891"/>
      <c r="C324" s="869"/>
      <c r="D324" s="874"/>
      <c r="E324" s="349"/>
      <c r="F324" s="228"/>
    </row>
    <row r="325" spans="1:63" ht="14.1" customHeight="1">
      <c r="A325" s="888"/>
      <c r="B325" s="891"/>
      <c r="C325" s="890"/>
      <c r="D325" s="874"/>
      <c r="E325" s="349"/>
      <c r="F325" s="228"/>
    </row>
    <row r="326" spans="1:63" ht="14.1" customHeight="1">
      <c r="A326" s="888"/>
      <c r="B326" s="891"/>
      <c r="C326" s="890"/>
      <c r="D326" s="874"/>
      <c r="E326" s="350"/>
      <c r="F326" s="228"/>
    </row>
    <row r="327" spans="1:63" s="841" customFormat="1" ht="15" customHeight="1">
      <c r="A327" s="842" t="s">
        <v>1667</v>
      </c>
      <c r="B327" s="843"/>
      <c r="C327" s="1511" t="s">
        <v>1875</v>
      </c>
      <c r="D327" s="842"/>
      <c r="E327" s="235"/>
      <c r="F327" s="235"/>
      <c r="G327" s="845"/>
      <c r="H327" s="880"/>
      <c r="I327" s="881"/>
      <c r="J327" s="840"/>
      <c r="K327" s="840"/>
      <c r="L327" s="840"/>
      <c r="M327" s="840"/>
      <c r="N327" s="840"/>
      <c r="O327" s="840"/>
      <c r="P327" s="840"/>
      <c r="Q327" s="848"/>
      <c r="R327" s="848"/>
      <c r="S327" s="848"/>
      <c r="T327" s="848"/>
      <c r="U327" s="848"/>
      <c r="V327" s="848"/>
      <c r="W327" s="848"/>
      <c r="X327" s="848"/>
      <c r="Y327" s="848"/>
      <c r="Z327" s="848"/>
      <c r="AA327" s="848"/>
      <c r="AB327" s="848"/>
      <c r="AC327" s="848"/>
      <c r="AD327" s="848"/>
      <c r="AE327" s="848"/>
      <c r="AF327" s="848"/>
      <c r="AG327" s="848"/>
      <c r="AH327" s="848"/>
      <c r="AI327" s="848"/>
      <c r="AJ327" s="848"/>
      <c r="AK327" s="848"/>
      <c r="AL327" s="848"/>
      <c r="AM327" s="848"/>
      <c r="AN327" s="848"/>
      <c r="AO327" s="848"/>
      <c r="AP327" s="848"/>
      <c r="AQ327" s="848"/>
      <c r="AR327" s="848"/>
      <c r="AS327" s="848"/>
      <c r="AT327" s="848"/>
      <c r="AU327" s="848"/>
      <c r="AV327" s="848"/>
      <c r="AW327" s="848"/>
      <c r="AX327" s="848"/>
      <c r="AY327" s="848"/>
      <c r="AZ327" s="848"/>
      <c r="BA327" s="848"/>
      <c r="BB327" s="848"/>
      <c r="BC327" s="848"/>
      <c r="BD327" s="848"/>
      <c r="BE327" s="848"/>
      <c r="BF327" s="848"/>
      <c r="BG327" s="848"/>
      <c r="BH327" s="848"/>
      <c r="BI327" s="848"/>
      <c r="BJ327" s="848"/>
      <c r="BK327" s="848"/>
    </row>
    <row r="328" spans="1:63" s="857" customFormat="1" ht="15" customHeight="1">
      <c r="A328" s="849" t="s">
        <v>1669</v>
      </c>
      <c r="B328" s="850"/>
      <c r="C328" s="1512"/>
      <c r="D328" s="851"/>
      <c r="E328" s="286"/>
      <c r="F328" s="286"/>
      <c r="G328" s="852"/>
      <c r="H328" s="882"/>
      <c r="I328" s="883"/>
      <c r="J328" s="855"/>
      <c r="K328" s="855"/>
      <c r="L328" s="855"/>
      <c r="M328" s="855"/>
      <c r="N328" s="855"/>
      <c r="O328" s="855"/>
      <c r="P328" s="855"/>
      <c r="Q328" s="856"/>
      <c r="R328" s="856"/>
      <c r="S328" s="856"/>
      <c r="T328" s="856"/>
      <c r="U328" s="856"/>
      <c r="V328" s="856"/>
      <c r="W328" s="856"/>
      <c r="X328" s="856"/>
      <c r="Y328" s="856"/>
      <c r="Z328" s="856"/>
      <c r="AA328" s="856"/>
      <c r="AB328" s="856"/>
      <c r="AC328" s="856"/>
      <c r="AD328" s="856"/>
      <c r="AE328" s="856"/>
      <c r="AF328" s="856"/>
      <c r="AG328" s="856"/>
      <c r="AH328" s="856"/>
      <c r="AI328" s="856"/>
      <c r="AJ328" s="856"/>
      <c r="AK328" s="856"/>
      <c r="AL328" s="856"/>
      <c r="AM328" s="856"/>
      <c r="AN328" s="856"/>
      <c r="AO328" s="856"/>
      <c r="AP328" s="856"/>
      <c r="AQ328" s="856"/>
      <c r="AR328" s="856"/>
      <c r="AS328" s="856"/>
      <c r="AT328" s="856"/>
      <c r="AU328" s="856"/>
      <c r="AV328" s="856"/>
      <c r="AW328" s="856"/>
      <c r="AX328" s="856"/>
      <c r="AY328" s="856"/>
      <c r="AZ328" s="856"/>
      <c r="BA328" s="856"/>
      <c r="BB328" s="856"/>
      <c r="BC328" s="856"/>
      <c r="BD328" s="856"/>
      <c r="BE328" s="856"/>
      <c r="BF328" s="856"/>
      <c r="BG328" s="856"/>
      <c r="BH328" s="856"/>
      <c r="BI328" s="856"/>
      <c r="BJ328" s="856"/>
      <c r="BK328" s="856"/>
    </row>
    <row r="329" spans="1:63" s="860" customFormat="1">
      <c r="A329" s="858" t="s">
        <v>512</v>
      </c>
      <c r="B329" s="859" t="s">
        <v>513</v>
      </c>
      <c r="C329" s="201" t="s">
        <v>514</v>
      </c>
      <c r="D329" s="858" t="s">
        <v>515</v>
      </c>
      <c r="E329" s="202" t="s">
        <v>516</v>
      </c>
      <c r="F329" s="203" t="s">
        <v>1670</v>
      </c>
      <c r="G329" s="841"/>
      <c r="N329" s="861"/>
      <c r="O329" s="861"/>
      <c r="P329" s="861"/>
      <c r="Q329" s="861"/>
      <c r="R329" s="861"/>
      <c r="S329" s="861"/>
      <c r="T329" s="861"/>
      <c r="U329" s="861"/>
      <c r="V329" s="861"/>
      <c r="W329" s="861"/>
      <c r="X329" s="861"/>
      <c r="Y329" s="861"/>
      <c r="Z329" s="861"/>
      <c r="AA329" s="861"/>
      <c r="AB329" s="861"/>
      <c r="AC329" s="861"/>
      <c r="AD329" s="861"/>
      <c r="AE329" s="861"/>
      <c r="AF329" s="861"/>
      <c r="AG329" s="861"/>
      <c r="AH329" s="861"/>
      <c r="AI329" s="861"/>
      <c r="AJ329" s="861"/>
      <c r="AK329" s="861"/>
      <c r="AL329" s="861"/>
      <c r="AM329" s="861"/>
      <c r="AN329" s="861"/>
      <c r="AO329" s="861"/>
      <c r="AP329" s="861"/>
      <c r="AQ329" s="861"/>
      <c r="AR329" s="861"/>
      <c r="AS329" s="861"/>
      <c r="AT329" s="861"/>
      <c r="AU329" s="861"/>
      <c r="AV329" s="861"/>
      <c r="AW329" s="861"/>
      <c r="AX329" s="861"/>
      <c r="AY329" s="861"/>
      <c r="AZ329" s="861"/>
      <c r="BA329" s="861"/>
      <c r="BB329" s="861"/>
      <c r="BC329" s="861"/>
      <c r="BD329" s="861"/>
      <c r="BE329" s="861"/>
      <c r="BF329" s="861"/>
      <c r="BG329" s="861"/>
      <c r="BH329" s="861"/>
    </row>
    <row r="330" spans="1:63" ht="14.1" customHeight="1">
      <c r="A330" s="884"/>
      <c r="B330" s="885"/>
      <c r="C330" s="886" t="s">
        <v>1746</v>
      </c>
      <c r="D330" s="887"/>
      <c r="E330" s="210"/>
      <c r="F330" s="211"/>
    </row>
    <row r="331" spans="1:63" ht="14.1" customHeight="1">
      <c r="A331" s="888"/>
      <c r="B331" s="912" t="s">
        <v>1876</v>
      </c>
      <c r="C331" s="890" t="s">
        <v>1877</v>
      </c>
      <c r="D331" s="874" t="s">
        <v>1681</v>
      </c>
      <c r="E331" s="242">
        <f>'[4]COSTO CDMX,QRO,GDL '!I331</f>
        <v>1644.1666666666667</v>
      </c>
      <c r="F331" s="217" t="s">
        <v>284</v>
      </c>
    </row>
    <row r="332" spans="1:63" ht="14.1" customHeight="1">
      <c r="A332" s="888"/>
      <c r="B332" s="891" t="s">
        <v>1878</v>
      </c>
      <c r="C332" s="890" t="s">
        <v>1683</v>
      </c>
      <c r="D332" s="874" t="s">
        <v>1684</v>
      </c>
      <c r="E332" s="242">
        <f>'[4]COSTO CDMX,QRO,GDL '!I332</f>
        <v>1774.4833333333336</v>
      </c>
      <c r="F332" s="217" t="s">
        <v>284</v>
      </c>
    </row>
    <row r="333" spans="1:63" ht="14.1" customHeight="1">
      <c r="A333" s="888"/>
      <c r="B333" s="891" t="s">
        <v>1879</v>
      </c>
      <c r="C333" s="875" t="s">
        <v>1686</v>
      </c>
      <c r="D333" s="874" t="s">
        <v>1687</v>
      </c>
      <c r="E333" s="242">
        <f>'[4]COSTO CDMX,QRO,GDL '!I333</f>
        <v>1835.4333333333334</v>
      </c>
      <c r="F333" s="217" t="s">
        <v>284</v>
      </c>
    </row>
    <row r="334" spans="1:63" ht="14.1" customHeight="1">
      <c r="A334" s="888"/>
      <c r="B334" s="891" t="s">
        <v>1880</v>
      </c>
      <c r="C334" s="890"/>
      <c r="D334" s="874" t="s">
        <v>1689</v>
      </c>
      <c r="E334" s="242">
        <f>'[4]COSTO CDMX,QRO,GDL '!I334</f>
        <v>1839.6833333333334</v>
      </c>
      <c r="F334" s="217" t="s">
        <v>284</v>
      </c>
    </row>
    <row r="335" spans="1:63" ht="14.1" customHeight="1">
      <c r="A335" s="888"/>
      <c r="B335" s="891" t="s">
        <v>1881</v>
      </c>
      <c r="C335" s="890"/>
      <c r="D335" s="874" t="s">
        <v>1691</v>
      </c>
      <c r="E335" s="242">
        <f>'[4]COSTO CDMX,QRO,GDL '!I335</f>
        <v>1894.95</v>
      </c>
      <c r="F335" s="217" t="s">
        <v>284</v>
      </c>
    </row>
    <row r="336" spans="1:63" ht="14.1" customHeight="1">
      <c r="A336" s="888"/>
      <c r="B336" s="891"/>
      <c r="C336" s="890"/>
      <c r="D336" s="874"/>
      <c r="E336" s="242"/>
      <c r="F336" s="296"/>
    </row>
    <row r="337" spans="1:6" ht="14.1" customHeight="1">
      <c r="A337" s="888"/>
      <c r="B337" s="891"/>
      <c r="C337" s="890"/>
      <c r="D337" s="874"/>
      <c r="E337" s="242"/>
      <c r="F337" s="296"/>
    </row>
    <row r="338" spans="1:6" ht="14.1" customHeight="1">
      <c r="A338" s="888"/>
      <c r="B338" s="891"/>
      <c r="C338" s="890"/>
      <c r="D338" s="874"/>
      <c r="E338" s="242"/>
      <c r="F338" s="296"/>
    </row>
    <row r="339" spans="1:6" ht="14.1" customHeight="1">
      <c r="A339" s="888"/>
      <c r="B339" s="891"/>
      <c r="C339" s="890"/>
      <c r="D339" s="874"/>
      <c r="E339" s="242"/>
      <c r="F339" s="296"/>
    </row>
    <row r="340" spans="1:6" ht="14.1" customHeight="1">
      <c r="A340" s="888"/>
      <c r="B340" s="891" t="s">
        <v>1882</v>
      </c>
      <c r="C340" s="890" t="s">
        <v>1877</v>
      </c>
      <c r="D340" s="874" t="s">
        <v>1693</v>
      </c>
      <c r="E340" s="242">
        <f>'[4]COSTO CDMX,QRO,GDL '!I340</f>
        <v>2324.0166666666669</v>
      </c>
      <c r="F340" s="217" t="s">
        <v>284</v>
      </c>
    </row>
    <row r="341" spans="1:6" ht="14.1" customHeight="1">
      <c r="A341" s="888"/>
      <c r="B341" s="891" t="s">
        <v>1883</v>
      </c>
      <c r="C341" s="890" t="s">
        <v>1683</v>
      </c>
      <c r="D341" s="874" t="s">
        <v>1695</v>
      </c>
      <c r="E341" s="242">
        <f>'[4]COSTO CDMX,QRO,GDL '!I341</f>
        <v>2489.916666666667</v>
      </c>
      <c r="F341" s="217" t="s">
        <v>284</v>
      </c>
    </row>
    <row r="342" spans="1:6" ht="14.1" customHeight="1">
      <c r="A342" s="888"/>
      <c r="B342" s="912" t="s">
        <v>1884</v>
      </c>
      <c r="C342" s="875" t="s">
        <v>1722</v>
      </c>
      <c r="D342" s="874" t="s">
        <v>1698</v>
      </c>
      <c r="E342" s="242">
        <f>'[4]COSTO CDMX,QRO,GDL '!I342</f>
        <v>2525.9333333333334</v>
      </c>
      <c r="F342" s="217" t="s">
        <v>284</v>
      </c>
    </row>
    <row r="343" spans="1:6" ht="14.1" customHeight="1">
      <c r="A343" s="888"/>
      <c r="B343" s="912" t="s">
        <v>1885</v>
      </c>
      <c r="C343" s="890"/>
      <c r="D343" s="874" t="s">
        <v>1700</v>
      </c>
      <c r="E343" s="242">
        <f>'[4]COSTO CDMX,QRO,GDL '!I343</f>
        <v>2700.1</v>
      </c>
      <c r="F343" s="217" t="s">
        <v>284</v>
      </c>
    </row>
    <row r="344" spans="1:6" ht="14.1" customHeight="1">
      <c r="A344" s="888"/>
      <c r="B344" s="889"/>
      <c r="C344" s="828"/>
      <c r="D344" s="874"/>
      <c r="E344" s="242"/>
      <c r="F344" s="296"/>
    </row>
    <row r="345" spans="1:6" ht="14.1" customHeight="1">
      <c r="A345" s="888"/>
      <c r="B345" s="891"/>
      <c r="C345" s="828"/>
      <c r="D345" s="874"/>
      <c r="E345" s="242"/>
      <c r="F345" s="280"/>
    </row>
    <row r="346" spans="1:6" ht="14.1" customHeight="1">
      <c r="A346" s="888"/>
      <c r="B346" s="891"/>
      <c r="C346" s="890"/>
      <c r="D346" s="874"/>
      <c r="E346" s="242"/>
      <c r="F346" s="296"/>
    </row>
    <row r="347" spans="1:6" ht="14.1" customHeight="1">
      <c r="A347" s="888"/>
      <c r="B347" s="891"/>
      <c r="C347" s="890"/>
      <c r="D347" s="874"/>
      <c r="E347" s="242"/>
      <c r="F347" s="296"/>
    </row>
    <row r="348" spans="1:6" ht="14.1" customHeight="1">
      <c r="A348" s="884"/>
      <c r="B348" s="885"/>
      <c r="C348" s="886" t="s">
        <v>1757</v>
      </c>
      <c r="D348" s="887"/>
      <c r="E348" s="892"/>
      <c r="F348" s="887"/>
    </row>
    <row r="349" spans="1:6" ht="14.1" customHeight="1">
      <c r="A349" s="888"/>
      <c r="B349" s="912" t="s">
        <v>1886</v>
      </c>
      <c r="C349" s="890" t="s">
        <v>1887</v>
      </c>
      <c r="D349" s="874" t="s">
        <v>1681</v>
      </c>
      <c r="E349" s="242">
        <f>'[4]COSTO CDMX,QRO,GDL '!I349</f>
        <v>1644.1666666666667</v>
      </c>
      <c r="F349" s="217" t="s">
        <v>284</v>
      </c>
    </row>
    <row r="350" spans="1:6" ht="14.1" customHeight="1">
      <c r="A350" s="888"/>
      <c r="B350" s="891" t="s">
        <v>1888</v>
      </c>
      <c r="C350" s="890" t="s">
        <v>1683</v>
      </c>
      <c r="D350" s="874" t="s">
        <v>1684</v>
      </c>
      <c r="E350" s="242">
        <f>'[4]COSTO CDMX,QRO,GDL '!I350</f>
        <v>1774.4833333333336</v>
      </c>
      <c r="F350" s="217" t="s">
        <v>284</v>
      </c>
    </row>
    <row r="351" spans="1:6" ht="14.1" customHeight="1">
      <c r="A351" s="888"/>
      <c r="B351" s="891" t="s">
        <v>1889</v>
      </c>
      <c r="C351" s="875" t="s">
        <v>1686</v>
      </c>
      <c r="D351" s="874" t="s">
        <v>1687</v>
      </c>
      <c r="E351" s="242">
        <f>'[4]COSTO CDMX,QRO,GDL '!I351</f>
        <v>1835.4333333333334</v>
      </c>
      <c r="F351" s="217" t="s">
        <v>284</v>
      </c>
    </row>
    <row r="352" spans="1:6" ht="14.1" customHeight="1">
      <c r="A352" s="888"/>
      <c r="B352" s="891" t="s">
        <v>1890</v>
      </c>
      <c r="C352" s="890"/>
      <c r="D352" s="874" t="s">
        <v>1689</v>
      </c>
      <c r="E352" s="242">
        <f>'[4]COSTO CDMX,QRO,GDL '!I352</f>
        <v>1839.6833333333334</v>
      </c>
      <c r="F352" s="217" t="s">
        <v>284</v>
      </c>
    </row>
    <row r="353" spans="1:6" ht="14.1" customHeight="1">
      <c r="A353" s="888"/>
      <c r="B353" s="891" t="s">
        <v>1891</v>
      </c>
      <c r="C353" s="890"/>
      <c r="D353" s="874" t="s">
        <v>1691</v>
      </c>
      <c r="E353" s="242">
        <f>'[4]COSTO CDMX,QRO,GDL '!I353</f>
        <v>1894.95</v>
      </c>
      <c r="F353" s="217" t="s">
        <v>284</v>
      </c>
    </row>
    <row r="354" spans="1:6" ht="14.1" customHeight="1">
      <c r="A354" s="888"/>
      <c r="B354" s="891"/>
      <c r="C354" s="890"/>
      <c r="D354" s="874"/>
      <c r="E354" s="242"/>
      <c r="F354" s="296"/>
    </row>
    <row r="355" spans="1:6" ht="14.1" customHeight="1">
      <c r="A355" s="888"/>
      <c r="B355" s="891"/>
      <c r="C355" s="890"/>
      <c r="D355" s="874"/>
      <c r="E355" s="242"/>
      <c r="F355" s="296"/>
    </row>
    <row r="356" spans="1:6" ht="14.1" customHeight="1">
      <c r="A356" s="888"/>
      <c r="B356" s="891"/>
      <c r="C356" s="890"/>
      <c r="D356" s="874"/>
      <c r="E356" s="242"/>
      <c r="F356" s="296"/>
    </row>
    <row r="357" spans="1:6" ht="14.1" customHeight="1">
      <c r="A357" s="888"/>
      <c r="B357" s="891"/>
      <c r="C357" s="890"/>
      <c r="D357" s="874"/>
      <c r="E357" s="242"/>
      <c r="F357" s="296"/>
    </row>
    <row r="358" spans="1:6" ht="14.1" customHeight="1">
      <c r="A358" s="888"/>
      <c r="B358" s="891" t="s">
        <v>1892</v>
      </c>
      <c r="C358" s="890" t="s">
        <v>1887</v>
      </c>
      <c r="D358" s="874" t="s">
        <v>1693</v>
      </c>
      <c r="E358" s="242">
        <f>'[4]COSTO CDMX,QRO,GDL '!I358</f>
        <v>2324.0166666666669</v>
      </c>
      <c r="F358" s="217" t="s">
        <v>284</v>
      </c>
    </row>
    <row r="359" spans="1:6" ht="14.1" customHeight="1">
      <c r="A359" s="888"/>
      <c r="B359" s="891" t="s">
        <v>1893</v>
      </c>
      <c r="C359" s="890" t="s">
        <v>1683</v>
      </c>
      <c r="D359" s="874" t="s">
        <v>1695</v>
      </c>
      <c r="E359" s="242">
        <f>'[4]COSTO CDMX,QRO,GDL '!I359</f>
        <v>2489.916666666667</v>
      </c>
      <c r="F359" s="217" t="s">
        <v>284</v>
      </c>
    </row>
    <row r="360" spans="1:6" ht="14.1" customHeight="1">
      <c r="A360" s="888"/>
      <c r="B360" s="912" t="s">
        <v>1894</v>
      </c>
      <c r="C360" s="875" t="s">
        <v>1722</v>
      </c>
      <c r="D360" s="874" t="s">
        <v>1698</v>
      </c>
      <c r="E360" s="242">
        <f>'[4]COSTO CDMX,QRO,GDL '!I360</f>
        <v>2525.9333333333334</v>
      </c>
      <c r="F360" s="217" t="s">
        <v>284</v>
      </c>
    </row>
    <row r="361" spans="1:6" ht="14.1" customHeight="1">
      <c r="A361" s="888"/>
      <c r="B361" s="912" t="s">
        <v>1895</v>
      </c>
      <c r="C361" s="875"/>
      <c r="D361" s="874" t="s">
        <v>1700</v>
      </c>
      <c r="E361" s="242">
        <f>'[4]COSTO CDMX,QRO,GDL '!I361</f>
        <v>2700.1</v>
      </c>
      <c r="F361" s="217" t="s">
        <v>284</v>
      </c>
    </row>
    <row r="362" spans="1:6" ht="14.1" customHeight="1">
      <c r="A362" s="888"/>
      <c r="B362" s="889"/>
      <c r="C362" s="828"/>
      <c r="D362" s="874"/>
      <c r="E362" s="242"/>
      <c r="F362" s="296"/>
    </row>
    <row r="363" spans="1:6" ht="14.1" customHeight="1">
      <c r="A363" s="888"/>
      <c r="B363" s="889"/>
      <c r="C363" s="828"/>
      <c r="D363" s="874"/>
      <c r="E363" s="242"/>
      <c r="F363" s="280"/>
    </row>
    <row r="364" spans="1:6" ht="14.1" customHeight="1">
      <c r="A364" s="888"/>
      <c r="B364" s="891"/>
      <c r="C364" s="890"/>
      <c r="D364" s="874"/>
      <c r="E364" s="242"/>
      <c r="F364" s="296"/>
    </row>
    <row r="365" spans="1:6" ht="14.1" customHeight="1">
      <c r="A365" s="888"/>
      <c r="B365" s="891"/>
      <c r="C365" s="890"/>
      <c r="D365" s="874"/>
      <c r="E365" s="242"/>
      <c r="F365" s="296"/>
    </row>
    <row r="366" spans="1:6" ht="14.1" customHeight="1">
      <c r="A366" s="884"/>
      <c r="B366" s="885"/>
      <c r="C366" s="886" t="s">
        <v>1768</v>
      </c>
      <c r="D366" s="887"/>
      <c r="E366" s="210"/>
      <c r="F366" s="211"/>
    </row>
    <row r="367" spans="1:6" ht="14.1" customHeight="1">
      <c r="A367" s="888"/>
      <c r="B367" s="912" t="s">
        <v>1896</v>
      </c>
      <c r="C367" s="890" t="s">
        <v>1897</v>
      </c>
      <c r="D367" s="874" t="s">
        <v>1681</v>
      </c>
      <c r="E367" s="242">
        <f>'[4]COSTO CDMX,QRO,GDL '!I367</f>
        <v>1552.5166666666667</v>
      </c>
      <c r="F367" s="217" t="s">
        <v>284</v>
      </c>
    </row>
    <row r="368" spans="1:6" ht="14.1" customHeight="1">
      <c r="A368" s="888"/>
      <c r="B368" s="891" t="s">
        <v>1898</v>
      </c>
      <c r="C368" s="890" t="s">
        <v>1683</v>
      </c>
      <c r="D368" s="874" t="s">
        <v>1684</v>
      </c>
      <c r="E368" s="242">
        <f>'[4]COSTO CDMX,QRO,GDL '!I368</f>
        <v>1601.2666666666667</v>
      </c>
      <c r="F368" s="217" t="s">
        <v>284</v>
      </c>
    </row>
    <row r="369" spans="1:6" ht="14.1" customHeight="1">
      <c r="A369" s="888"/>
      <c r="B369" s="891" t="s">
        <v>1899</v>
      </c>
      <c r="C369" s="875" t="s">
        <v>1686</v>
      </c>
      <c r="D369" s="874" t="s">
        <v>1687</v>
      </c>
      <c r="E369" s="242">
        <f>'[4]COSTO CDMX,QRO,GDL '!I369</f>
        <v>1672.3333333333333</v>
      </c>
      <c r="F369" s="217" t="s">
        <v>284</v>
      </c>
    </row>
    <row r="370" spans="1:6" ht="14.1" customHeight="1">
      <c r="A370" s="888"/>
      <c r="B370" s="891" t="s">
        <v>1900</v>
      </c>
      <c r="C370" s="890"/>
      <c r="D370" s="874" t="s">
        <v>1689</v>
      </c>
      <c r="E370" s="242">
        <f>'[4]COSTO CDMX,QRO,GDL '!I370</f>
        <v>1684.8166666666666</v>
      </c>
      <c r="F370" s="217" t="s">
        <v>284</v>
      </c>
    </row>
    <row r="371" spans="1:6" ht="14.1" customHeight="1">
      <c r="A371" s="888"/>
      <c r="B371" s="891" t="s">
        <v>1901</v>
      </c>
      <c r="C371" s="890"/>
      <c r="D371" s="874" t="s">
        <v>1691</v>
      </c>
      <c r="E371" s="242">
        <f>'[4]COSTO CDMX,QRO,GDL '!I371</f>
        <v>1750.95</v>
      </c>
      <c r="F371" s="217" t="s">
        <v>284</v>
      </c>
    </row>
    <row r="372" spans="1:6" ht="14.1" customHeight="1">
      <c r="A372" s="888"/>
      <c r="B372" s="891"/>
      <c r="C372" s="890"/>
      <c r="D372" s="874"/>
      <c r="E372" s="242"/>
      <c r="F372" s="296"/>
    </row>
    <row r="373" spans="1:6" ht="14.1" customHeight="1">
      <c r="A373" s="888"/>
      <c r="B373" s="891"/>
      <c r="C373" s="890"/>
      <c r="D373" s="874"/>
      <c r="E373" s="242"/>
      <c r="F373" s="296"/>
    </row>
    <row r="374" spans="1:6" ht="14.1" customHeight="1">
      <c r="A374" s="888"/>
      <c r="B374" s="891"/>
      <c r="C374" s="890"/>
      <c r="D374" s="874"/>
      <c r="E374" s="242"/>
      <c r="F374" s="296"/>
    </row>
    <row r="375" spans="1:6" ht="14.1" customHeight="1">
      <c r="A375" s="888"/>
      <c r="B375" s="891"/>
      <c r="C375" s="890"/>
      <c r="D375" s="874"/>
      <c r="E375" s="242"/>
      <c r="F375" s="296"/>
    </row>
    <row r="376" spans="1:6" ht="14.1" customHeight="1">
      <c r="A376" s="888"/>
      <c r="B376" s="891" t="s">
        <v>1902</v>
      </c>
      <c r="C376" s="890" t="s">
        <v>1903</v>
      </c>
      <c r="D376" s="874" t="s">
        <v>1693</v>
      </c>
      <c r="E376" s="242">
        <f>'[4]COSTO CDMX,QRO,GDL '!I376</f>
        <v>2034.3166666666666</v>
      </c>
      <c r="F376" s="217" t="s">
        <v>284</v>
      </c>
    </row>
    <row r="377" spans="1:6" ht="14.1" customHeight="1">
      <c r="A377" s="888"/>
      <c r="B377" s="891" t="s">
        <v>1904</v>
      </c>
      <c r="C377" s="890" t="s">
        <v>1683</v>
      </c>
      <c r="D377" s="874" t="s">
        <v>1695</v>
      </c>
      <c r="E377" s="242">
        <f>'[4]COSTO CDMX,QRO,GDL '!I377</f>
        <v>2160.2833333333338</v>
      </c>
      <c r="F377" s="217" t="s">
        <v>284</v>
      </c>
    </row>
    <row r="378" spans="1:6" ht="14.1" customHeight="1">
      <c r="A378" s="888"/>
      <c r="B378" s="912" t="s">
        <v>1905</v>
      </c>
      <c r="C378" s="875" t="s">
        <v>1722</v>
      </c>
      <c r="D378" s="874" t="s">
        <v>1698</v>
      </c>
      <c r="E378" s="242">
        <f>'[4]COSTO CDMX,QRO,GDL '!I378</f>
        <v>2204.5500000000002</v>
      </c>
      <c r="F378" s="217" t="s">
        <v>284</v>
      </c>
    </row>
    <row r="379" spans="1:6" ht="14.1" customHeight="1">
      <c r="A379" s="888"/>
      <c r="B379" s="912" t="s">
        <v>1906</v>
      </c>
      <c r="C379" s="890"/>
      <c r="D379" s="874" t="s">
        <v>1700</v>
      </c>
      <c r="E379" s="242">
        <f>'[4]COSTO CDMX,QRO,GDL '!I379</f>
        <v>2390.1</v>
      </c>
      <c r="F379" s="217" t="s">
        <v>284</v>
      </c>
    </row>
    <row r="380" spans="1:6" ht="14.1" customHeight="1">
      <c r="A380" s="888"/>
      <c r="B380" s="889"/>
      <c r="C380" s="828"/>
      <c r="D380" s="874"/>
      <c r="E380" s="242"/>
      <c r="F380" s="296"/>
    </row>
    <row r="381" spans="1:6" ht="14.1" customHeight="1">
      <c r="A381" s="888"/>
      <c r="B381" s="891"/>
      <c r="C381" s="828"/>
      <c r="D381" s="874"/>
      <c r="E381" s="242"/>
      <c r="F381" s="280"/>
    </row>
    <row r="382" spans="1:6" ht="14.1" customHeight="1">
      <c r="A382" s="888"/>
      <c r="B382" s="891"/>
      <c r="C382" s="890"/>
      <c r="D382" s="874"/>
      <c r="E382" s="242"/>
      <c r="F382" s="296"/>
    </row>
    <row r="383" spans="1:6" ht="14.1" customHeight="1">
      <c r="A383" s="888"/>
      <c r="B383" s="891"/>
      <c r="C383" s="890"/>
      <c r="D383" s="874"/>
      <c r="E383" s="242"/>
      <c r="F383" s="296"/>
    </row>
    <row r="384" spans="1:6" ht="14.1" customHeight="1">
      <c r="A384" s="903"/>
      <c r="B384" s="904"/>
      <c r="C384" s="905"/>
      <c r="D384" s="904"/>
      <c r="E384" s="336"/>
      <c r="F384" s="337"/>
    </row>
    <row r="385" spans="1:6" ht="14.1" customHeight="1">
      <c r="A385" s="888"/>
      <c r="B385" s="906"/>
      <c r="C385" s="907"/>
      <c r="D385" s="906"/>
      <c r="E385" s="340"/>
      <c r="F385" s="341"/>
    </row>
    <row r="386" spans="1:6" ht="14.1" customHeight="1">
      <c r="A386" s="888"/>
      <c r="B386" s="906"/>
      <c r="C386" s="907"/>
      <c r="D386" s="906"/>
      <c r="E386" s="340"/>
      <c r="F386" s="341"/>
    </row>
    <row r="387" spans="1:6" ht="14.1" customHeight="1">
      <c r="A387" s="888"/>
      <c r="B387" s="906"/>
      <c r="C387" s="907"/>
      <c r="D387" s="906"/>
      <c r="E387" s="340"/>
      <c r="F387" s="341"/>
    </row>
    <row r="388" spans="1:6" ht="14.1" customHeight="1">
      <c r="A388" s="888"/>
      <c r="B388" s="906"/>
      <c r="C388" s="907"/>
      <c r="D388" s="906"/>
      <c r="E388" s="340"/>
      <c r="F388" s="341"/>
    </row>
    <row r="389" spans="1:6" ht="14.1" customHeight="1">
      <c r="A389" s="888"/>
      <c r="B389" s="906"/>
      <c r="C389" s="907"/>
      <c r="D389" s="906"/>
      <c r="E389" s="340"/>
      <c r="F389" s="341"/>
    </row>
    <row r="390" spans="1:6" ht="14.1" customHeight="1">
      <c r="A390" s="888"/>
      <c r="B390" s="906"/>
      <c r="C390" s="907"/>
      <c r="D390" s="906"/>
      <c r="E390" s="340"/>
      <c r="F390" s="341"/>
    </row>
    <row r="391" spans="1:6" ht="14.1" customHeight="1">
      <c r="A391" s="888"/>
      <c r="B391" s="906"/>
      <c r="C391" s="907"/>
      <c r="D391" s="906"/>
      <c r="E391" s="340"/>
      <c r="F391" s="341"/>
    </row>
    <row r="392" spans="1:6" ht="14.1" customHeight="1">
      <c r="A392" s="888"/>
      <c r="B392" s="906"/>
      <c r="C392" s="907"/>
      <c r="D392" s="906"/>
      <c r="E392" s="340"/>
      <c r="F392" s="341"/>
    </row>
    <row r="393" spans="1:6" ht="14.1" customHeight="1">
      <c r="A393" s="888"/>
      <c r="B393" s="906"/>
      <c r="C393" s="907"/>
      <c r="D393" s="906"/>
      <c r="E393" s="340"/>
      <c r="F393" s="341"/>
    </row>
    <row r="394" spans="1:6" ht="14.1" customHeight="1">
      <c r="A394" s="888"/>
      <c r="B394" s="906"/>
      <c r="C394" s="907"/>
      <c r="D394" s="906"/>
      <c r="E394" s="340"/>
      <c r="F394" s="341"/>
    </row>
    <row r="395" spans="1:6" ht="14.1" customHeight="1">
      <c r="A395" s="888"/>
      <c r="B395" s="906"/>
      <c r="C395" s="907"/>
      <c r="D395" s="906"/>
      <c r="E395" s="340"/>
      <c r="F395" s="341"/>
    </row>
    <row r="396" spans="1:6" ht="14.1" customHeight="1">
      <c r="A396" s="888"/>
      <c r="B396" s="906"/>
      <c r="C396" s="907"/>
      <c r="D396" s="906"/>
      <c r="E396" s="340"/>
      <c r="F396" s="341"/>
    </row>
    <row r="397" spans="1:6" ht="14.1" customHeight="1">
      <c r="A397" s="888"/>
      <c r="B397" s="906"/>
      <c r="C397" s="907"/>
      <c r="D397" s="906"/>
      <c r="E397" s="340"/>
      <c r="F397" s="341"/>
    </row>
    <row r="398" spans="1:6" ht="14.1" customHeight="1">
      <c r="A398" s="888"/>
      <c r="B398" s="906"/>
      <c r="C398" s="907"/>
      <c r="D398" s="906"/>
      <c r="E398" s="340"/>
      <c r="F398" s="341"/>
    </row>
    <row r="399" spans="1:6" ht="14.1" customHeight="1">
      <c r="A399" s="888"/>
      <c r="B399" s="906"/>
      <c r="C399" s="907"/>
      <c r="D399" s="906"/>
      <c r="E399" s="340"/>
      <c r="F399" s="341"/>
    </row>
    <row r="400" spans="1:6" ht="14.1" customHeight="1">
      <c r="A400" s="888"/>
      <c r="B400" s="906"/>
      <c r="C400" s="907"/>
      <c r="D400" s="906"/>
      <c r="E400" s="340"/>
      <c r="F400" s="341"/>
    </row>
    <row r="401" spans="1:6" ht="14.1" customHeight="1">
      <c r="A401" s="888"/>
      <c r="B401" s="906"/>
      <c r="C401" s="907"/>
      <c r="D401" s="906"/>
      <c r="E401" s="340"/>
      <c r="F401" s="341"/>
    </row>
    <row r="402" spans="1:6" ht="14.1" customHeight="1">
      <c r="A402" s="888"/>
      <c r="B402" s="906"/>
      <c r="C402" s="907"/>
      <c r="D402" s="906"/>
      <c r="E402" s="340"/>
      <c r="F402" s="341"/>
    </row>
    <row r="403" spans="1:6" ht="14.1" customHeight="1">
      <c r="A403" s="888"/>
      <c r="B403" s="906"/>
      <c r="C403" s="907"/>
      <c r="D403" s="906"/>
      <c r="E403" s="340"/>
      <c r="F403" s="341"/>
    </row>
    <row r="404" spans="1:6" ht="14.1" customHeight="1">
      <c r="A404" s="888"/>
      <c r="B404" s="906"/>
      <c r="C404" s="907"/>
      <c r="D404" s="906"/>
      <c r="E404" s="340"/>
      <c r="F404" s="341"/>
    </row>
    <row r="405" spans="1:6" ht="14.1" customHeight="1">
      <c r="A405" s="888"/>
      <c r="B405" s="906"/>
      <c r="C405" s="907"/>
      <c r="D405" s="906"/>
      <c r="E405" s="340"/>
      <c r="F405" s="341"/>
    </row>
    <row r="406" spans="1:6" ht="14.1" customHeight="1">
      <c r="A406" s="888"/>
      <c r="B406" s="906"/>
      <c r="C406" s="907"/>
      <c r="D406" s="906"/>
      <c r="E406" s="340"/>
      <c r="F406" s="341"/>
    </row>
    <row r="407" spans="1:6" ht="14.1" customHeight="1">
      <c r="A407" s="888"/>
      <c r="B407" s="906"/>
      <c r="C407" s="907"/>
      <c r="D407" s="906"/>
      <c r="E407" s="340"/>
      <c r="F407" s="341"/>
    </row>
    <row r="408" spans="1:6" ht="14.1" customHeight="1">
      <c r="A408" s="888"/>
      <c r="B408" s="906"/>
      <c r="C408" s="907"/>
      <c r="D408" s="906"/>
      <c r="E408" s="340"/>
      <c r="F408" s="341"/>
    </row>
    <row r="409" spans="1:6" ht="14.1" customHeight="1">
      <c r="A409" s="888"/>
      <c r="B409" s="906"/>
      <c r="C409" s="907"/>
      <c r="D409" s="906"/>
      <c r="E409" s="340"/>
      <c r="F409" s="341"/>
    </row>
    <row r="410" spans="1:6" ht="14.1" customHeight="1">
      <c r="A410" s="908"/>
      <c r="B410" s="909"/>
      <c r="C410" s="910"/>
      <c r="D410" s="909"/>
      <c r="E410" s="345"/>
      <c r="F410" s="346"/>
    </row>
    <row r="411" spans="1:6" ht="15" customHeight="1">
      <c r="A411" s="884"/>
      <c r="B411" s="885"/>
      <c r="C411" s="886" t="s">
        <v>1779</v>
      </c>
      <c r="D411" s="887"/>
      <c r="E411" s="887"/>
      <c r="F411" s="887"/>
    </row>
    <row r="412" spans="1:6" ht="14.1" customHeight="1">
      <c r="A412" s="888"/>
      <c r="B412" s="889" t="s">
        <v>1780</v>
      </c>
      <c r="C412" s="869" t="s">
        <v>1781</v>
      </c>
      <c r="D412" s="874" t="s">
        <v>1687</v>
      </c>
      <c r="E412" s="242">
        <f>'[4]COSTO CDMX,QRO,GDL '!I412</f>
        <v>388.76656346749235</v>
      </c>
      <c r="F412" s="217" t="s">
        <v>284</v>
      </c>
    </row>
    <row r="413" spans="1:6" ht="14.1" customHeight="1">
      <c r="A413" s="888"/>
      <c r="B413" s="889" t="s">
        <v>1782</v>
      </c>
      <c r="C413" s="890" t="s">
        <v>1783</v>
      </c>
      <c r="D413" s="874" t="s">
        <v>1689</v>
      </c>
      <c r="E413" s="242">
        <f>'[4]COSTO CDMX,QRO,GDL '!I413</f>
        <v>414.46393188854495</v>
      </c>
      <c r="F413" s="217" t="s">
        <v>284</v>
      </c>
    </row>
    <row r="414" spans="1:6" ht="14.1" customHeight="1">
      <c r="A414" s="888"/>
      <c r="B414" s="889" t="s">
        <v>1784</v>
      </c>
      <c r="C414" s="869"/>
      <c r="D414" s="874" t="s">
        <v>1691</v>
      </c>
      <c r="E414" s="242">
        <f>'[4]COSTO CDMX,QRO,GDL '!I414</f>
        <v>420.02275541795677</v>
      </c>
      <c r="F414" s="217" t="s">
        <v>284</v>
      </c>
    </row>
    <row r="415" spans="1:6" ht="14.1" customHeight="1">
      <c r="A415" s="888"/>
      <c r="B415" s="889" t="s">
        <v>1785</v>
      </c>
      <c r="C415" s="869"/>
      <c r="D415" s="874" t="s">
        <v>1786</v>
      </c>
      <c r="E415" s="242">
        <f>'[4]COSTO CDMX,QRO,GDL '!I415</f>
        <v>461.55789473684234</v>
      </c>
      <c r="F415" s="217" t="s">
        <v>284</v>
      </c>
    </row>
    <row r="416" spans="1:6" ht="14.1" customHeight="1">
      <c r="A416" s="888"/>
      <c r="B416" s="889" t="s">
        <v>1787</v>
      </c>
      <c r="C416" s="869"/>
      <c r="D416" s="874" t="s">
        <v>1693</v>
      </c>
      <c r="E416" s="242">
        <f>'[4]COSTO CDMX,QRO,GDL '!I416</f>
        <v>467.116718266254</v>
      </c>
      <c r="F416" s="217" t="s">
        <v>284</v>
      </c>
    </row>
    <row r="417" spans="1:63" ht="14.1" customHeight="1">
      <c r="A417" s="888"/>
      <c r="B417" s="889" t="s">
        <v>1788</v>
      </c>
      <c r="C417" s="869"/>
      <c r="D417" s="874" t="s">
        <v>1789</v>
      </c>
      <c r="E417" s="242">
        <f>'[4]COSTO CDMX,QRO,GDL '!I417</f>
        <v>536.09001547987634</v>
      </c>
      <c r="F417" s="217" t="s">
        <v>284</v>
      </c>
    </row>
    <row r="418" spans="1:63" ht="14.1" customHeight="1">
      <c r="A418" s="888"/>
      <c r="B418" s="889" t="s">
        <v>1790</v>
      </c>
      <c r="C418" s="869"/>
      <c r="D418" s="874" t="s">
        <v>1695</v>
      </c>
      <c r="E418" s="242">
        <f>'[4]COSTO CDMX,QRO,GDL '!I418</f>
        <v>541.64883900928805</v>
      </c>
      <c r="F418" s="217" t="s">
        <v>284</v>
      </c>
    </row>
    <row r="419" spans="1:63" ht="14.1" customHeight="1">
      <c r="A419" s="888"/>
      <c r="B419" s="889" t="s">
        <v>1791</v>
      </c>
      <c r="C419" s="869"/>
      <c r="D419" s="874" t="s">
        <v>1792</v>
      </c>
      <c r="E419" s="242">
        <f>'[4]COSTO CDMX,QRO,GDL '!I419</f>
        <v>637.14845201238393</v>
      </c>
      <c r="F419" s="217" t="s">
        <v>284</v>
      </c>
    </row>
    <row r="420" spans="1:63" ht="14.1" customHeight="1">
      <c r="A420" s="888"/>
      <c r="B420" s="889" t="s">
        <v>1793</v>
      </c>
      <c r="C420" s="869"/>
      <c r="D420" s="874" t="s">
        <v>1700</v>
      </c>
      <c r="E420" s="242">
        <f>'[4]COSTO CDMX,QRO,GDL '!I420</f>
        <v>642.70727554179575</v>
      </c>
      <c r="F420" s="217" t="s">
        <v>284</v>
      </c>
    </row>
    <row r="421" spans="1:63" ht="14.1" customHeight="1">
      <c r="A421" s="888"/>
      <c r="B421" s="889" t="s">
        <v>1794</v>
      </c>
      <c r="C421" s="869"/>
      <c r="D421" s="874" t="s">
        <v>1795</v>
      </c>
      <c r="E421" s="242">
        <f>'[4]COSTO CDMX,QRO,GDL '!I421</f>
        <v>648.26609907120758</v>
      </c>
      <c r="F421" s="217" t="s">
        <v>284</v>
      </c>
    </row>
    <row r="422" spans="1:63" ht="14.1" customHeight="1">
      <c r="A422" s="888"/>
      <c r="B422" s="889" t="s">
        <v>1796</v>
      </c>
      <c r="C422" s="869"/>
      <c r="D422" s="874" t="s">
        <v>1797</v>
      </c>
      <c r="E422" s="242">
        <f>'[4]COSTO CDMX,QRO,GDL '!I422</f>
        <v>663.27492260061922</v>
      </c>
      <c r="F422" s="217" t="s">
        <v>284</v>
      </c>
    </row>
    <row r="423" spans="1:63" ht="14.1" customHeight="1">
      <c r="A423" s="888"/>
      <c r="B423" s="889" t="s">
        <v>1798</v>
      </c>
      <c r="C423" s="869"/>
      <c r="D423" s="874" t="s">
        <v>1799</v>
      </c>
      <c r="E423" s="242">
        <f>'[4]COSTO CDMX,QRO,GDL '!I423</f>
        <v>678.28374613003109</v>
      </c>
      <c r="F423" s="217" t="s">
        <v>284</v>
      </c>
    </row>
    <row r="424" spans="1:63" ht="14.1" customHeight="1">
      <c r="A424" s="888"/>
      <c r="B424" s="889" t="s">
        <v>1800</v>
      </c>
      <c r="C424" s="869"/>
      <c r="D424" s="874" t="s">
        <v>1801</v>
      </c>
      <c r="E424" s="242">
        <f>'[4]COSTO CDMX,QRO,GDL '!I424</f>
        <v>873.1741486068114</v>
      </c>
      <c r="F424" s="217" t="s">
        <v>284</v>
      </c>
    </row>
    <row r="425" spans="1:63" ht="14.1" customHeight="1">
      <c r="A425" s="888"/>
      <c r="B425" s="889" t="s">
        <v>1802</v>
      </c>
      <c r="C425" s="869"/>
      <c r="D425" s="874" t="s">
        <v>1803</v>
      </c>
      <c r="E425" s="242">
        <f>'[4]COSTO CDMX,QRO,GDL '!I425</f>
        <v>893.08781642688041</v>
      </c>
      <c r="F425" s="217" t="s">
        <v>284</v>
      </c>
    </row>
    <row r="426" spans="1:63" s="841" customFormat="1" ht="15" customHeight="1">
      <c r="A426" s="842" t="s">
        <v>1667</v>
      </c>
      <c r="B426" s="843"/>
      <c r="C426" s="1511" t="s">
        <v>1907</v>
      </c>
      <c r="D426" s="842"/>
      <c r="E426" s="235"/>
      <c r="F426" s="235"/>
      <c r="G426" s="845"/>
      <c r="H426" s="880"/>
      <c r="I426" s="881"/>
      <c r="J426" s="840"/>
      <c r="K426" s="840"/>
      <c r="L426" s="840"/>
      <c r="M426" s="840"/>
      <c r="N426" s="840"/>
      <c r="O426" s="840"/>
      <c r="P426" s="840"/>
      <c r="Q426" s="848"/>
      <c r="R426" s="848"/>
      <c r="S426" s="848"/>
      <c r="T426" s="848"/>
      <c r="U426" s="848"/>
      <c r="V426" s="848"/>
      <c r="W426" s="848"/>
      <c r="X426" s="848"/>
      <c r="Y426" s="848"/>
      <c r="Z426" s="848"/>
      <c r="AA426" s="848"/>
      <c r="AB426" s="848"/>
      <c r="AC426" s="848"/>
      <c r="AD426" s="848"/>
      <c r="AE426" s="848"/>
      <c r="AF426" s="848"/>
      <c r="AG426" s="848"/>
      <c r="AH426" s="848"/>
      <c r="AI426" s="848"/>
      <c r="AJ426" s="848"/>
      <c r="AK426" s="848"/>
      <c r="AL426" s="848"/>
      <c r="AM426" s="848"/>
      <c r="AN426" s="848"/>
      <c r="AO426" s="848"/>
      <c r="AP426" s="848"/>
      <c r="AQ426" s="848"/>
      <c r="AR426" s="848"/>
      <c r="AS426" s="848"/>
      <c r="AT426" s="848"/>
      <c r="AU426" s="848"/>
      <c r="AV426" s="848"/>
      <c r="AW426" s="848"/>
      <c r="AX426" s="848"/>
      <c r="AY426" s="848"/>
      <c r="AZ426" s="848"/>
      <c r="BA426" s="848"/>
      <c r="BB426" s="848"/>
      <c r="BC426" s="848"/>
      <c r="BD426" s="848"/>
      <c r="BE426" s="848"/>
      <c r="BF426" s="848"/>
      <c r="BG426" s="848"/>
      <c r="BH426" s="848"/>
      <c r="BI426" s="848"/>
      <c r="BJ426" s="848"/>
      <c r="BK426" s="848"/>
    </row>
    <row r="427" spans="1:63" s="857" customFormat="1" ht="15" customHeight="1">
      <c r="A427" s="849" t="s">
        <v>1908</v>
      </c>
      <c r="B427" s="850"/>
      <c r="C427" s="1512"/>
      <c r="D427" s="851"/>
      <c r="E427" s="286"/>
      <c r="F427" s="286"/>
      <c r="G427" s="852"/>
      <c r="H427" s="882"/>
      <c r="I427" s="883"/>
      <c r="J427" s="855"/>
      <c r="K427" s="855"/>
      <c r="L427" s="855"/>
      <c r="M427" s="855"/>
      <c r="N427" s="855"/>
      <c r="O427" s="855"/>
      <c r="P427" s="855"/>
      <c r="Q427" s="856"/>
      <c r="R427" s="856"/>
      <c r="S427" s="856"/>
      <c r="T427" s="856"/>
      <c r="U427" s="856"/>
      <c r="V427" s="856"/>
      <c r="W427" s="856"/>
      <c r="X427" s="856"/>
      <c r="Y427" s="856"/>
      <c r="Z427" s="856"/>
      <c r="AA427" s="856"/>
      <c r="AB427" s="856"/>
      <c r="AC427" s="856"/>
      <c r="AD427" s="856"/>
      <c r="AE427" s="856"/>
      <c r="AF427" s="856"/>
      <c r="AG427" s="856"/>
      <c r="AH427" s="856"/>
      <c r="AI427" s="856"/>
      <c r="AJ427" s="856"/>
      <c r="AK427" s="856"/>
      <c r="AL427" s="856"/>
      <c r="AM427" s="856"/>
      <c r="AN427" s="856"/>
      <c r="AO427" s="856"/>
      <c r="AP427" s="856"/>
      <c r="AQ427" s="856"/>
      <c r="AR427" s="856"/>
      <c r="AS427" s="856"/>
      <c r="AT427" s="856"/>
      <c r="AU427" s="856"/>
      <c r="AV427" s="856"/>
      <c r="AW427" s="856"/>
      <c r="AX427" s="856"/>
      <c r="AY427" s="856"/>
      <c r="AZ427" s="856"/>
      <c r="BA427" s="856"/>
      <c r="BB427" s="856"/>
      <c r="BC427" s="856"/>
      <c r="BD427" s="856"/>
      <c r="BE427" s="856"/>
      <c r="BF427" s="856"/>
      <c r="BG427" s="856"/>
      <c r="BH427" s="856"/>
      <c r="BI427" s="856"/>
      <c r="BJ427" s="856"/>
      <c r="BK427" s="856"/>
    </row>
    <row r="428" spans="1:63" s="860" customFormat="1">
      <c r="A428" s="858" t="s">
        <v>512</v>
      </c>
      <c r="B428" s="859" t="s">
        <v>513</v>
      </c>
      <c r="C428" s="201" t="s">
        <v>514</v>
      </c>
      <c r="D428" s="858" t="s">
        <v>515</v>
      </c>
      <c r="E428" s="202" t="s">
        <v>516</v>
      </c>
      <c r="F428" s="203" t="s">
        <v>1670</v>
      </c>
      <c r="G428" s="841"/>
      <c r="N428" s="861"/>
      <c r="O428" s="861"/>
      <c r="P428" s="861"/>
      <c r="Q428" s="861"/>
      <c r="R428" s="861"/>
      <c r="S428" s="861"/>
      <c r="T428" s="861"/>
      <c r="U428" s="861"/>
      <c r="V428" s="861"/>
      <c r="W428" s="861"/>
      <c r="X428" s="861"/>
      <c r="Y428" s="861"/>
      <c r="Z428" s="861"/>
      <c r="AA428" s="861"/>
      <c r="AB428" s="861"/>
      <c r="AC428" s="861"/>
      <c r="AD428" s="861"/>
      <c r="AE428" s="861"/>
      <c r="AF428" s="861"/>
      <c r="AG428" s="861"/>
      <c r="AH428" s="861"/>
      <c r="AI428" s="861"/>
      <c r="AJ428" s="861"/>
      <c r="AK428" s="861"/>
      <c r="AL428" s="861"/>
      <c r="AM428" s="861"/>
      <c r="AN428" s="861"/>
      <c r="AO428" s="861"/>
      <c r="AP428" s="861"/>
      <c r="AQ428" s="861"/>
      <c r="AR428" s="861"/>
      <c r="AS428" s="861"/>
      <c r="AT428" s="861"/>
      <c r="AU428" s="861"/>
      <c r="AV428" s="861"/>
      <c r="AW428" s="861"/>
      <c r="AX428" s="861"/>
      <c r="AY428" s="861"/>
      <c r="AZ428" s="861"/>
      <c r="BA428" s="861"/>
      <c r="BB428" s="861"/>
      <c r="BC428" s="861"/>
      <c r="BD428" s="861"/>
      <c r="BE428" s="861"/>
      <c r="BF428" s="861"/>
      <c r="BG428" s="861"/>
      <c r="BH428" s="861"/>
    </row>
    <row r="429" spans="1:63" ht="15" customHeight="1">
      <c r="A429" s="884"/>
      <c r="B429" s="885"/>
      <c r="C429" s="886" t="s">
        <v>1909</v>
      </c>
      <c r="D429" s="887"/>
      <c r="E429" s="887"/>
      <c r="F429" s="211"/>
    </row>
    <row r="430" spans="1:63" ht="14.1" customHeight="1">
      <c r="A430" s="888"/>
      <c r="B430" s="913" t="s">
        <v>1910</v>
      </c>
      <c r="C430" s="914" t="s">
        <v>1911</v>
      </c>
      <c r="D430" s="906" t="s">
        <v>1691</v>
      </c>
      <c r="E430" s="364">
        <f>'[4]COSTO CDMX,QRO,GDL '!I430</f>
        <v>1323.4628516645193</v>
      </c>
      <c r="F430" s="217" t="s">
        <v>284</v>
      </c>
    </row>
    <row r="431" spans="1:63" ht="14.1" customHeight="1">
      <c r="A431" s="888"/>
      <c r="B431" s="913" t="s">
        <v>1912</v>
      </c>
      <c r="C431" s="915" t="s">
        <v>1913</v>
      </c>
      <c r="D431" s="906" t="s">
        <v>1786</v>
      </c>
      <c r="E431" s="364">
        <f>'[4]COSTO CDMX,QRO,GDL '!I431</f>
        <v>1399.4761830171046</v>
      </c>
      <c r="F431" s="217" t="s">
        <v>284</v>
      </c>
    </row>
    <row r="432" spans="1:63" ht="14.1" customHeight="1">
      <c r="A432" s="888"/>
      <c r="B432" s="913" t="s">
        <v>1914</v>
      </c>
      <c r="C432" s="915" t="s">
        <v>1915</v>
      </c>
      <c r="D432" s="906" t="s">
        <v>1693</v>
      </c>
      <c r="E432" s="364">
        <f>'[4]COSTO CDMX,QRO,GDL '!I432</f>
        <v>1475.4895143696908</v>
      </c>
      <c r="F432" s="217" t="s">
        <v>284</v>
      </c>
    </row>
    <row r="433" spans="1:64" ht="14.1" customHeight="1">
      <c r="A433" s="888"/>
      <c r="B433" s="913" t="s">
        <v>1916</v>
      </c>
      <c r="C433" s="916"/>
      <c r="D433" s="906" t="s">
        <v>1789</v>
      </c>
      <c r="E433" s="364">
        <f>'[4]COSTO CDMX,QRO,GDL '!I433</f>
        <v>1551.5028457222763</v>
      </c>
      <c r="F433" s="217" t="s">
        <v>284</v>
      </c>
    </row>
    <row r="434" spans="1:64" ht="14.1" customHeight="1">
      <c r="A434" s="888"/>
      <c r="B434" s="913" t="s">
        <v>1917</v>
      </c>
      <c r="C434" s="916"/>
      <c r="D434" s="906" t="s">
        <v>1695</v>
      </c>
      <c r="E434" s="364">
        <f>'[4]COSTO CDMX,QRO,GDL '!I434</f>
        <v>1654.0340342177192</v>
      </c>
      <c r="F434" s="217" t="s">
        <v>284</v>
      </c>
    </row>
    <row r="435" spans="1:64" ht="14.1" customHeight="1">
      <c r="A435" s="888"/>
      <c r="B435" s="913" t="s">
        <v>1918</v>
      </c>
      <c r="C435" s="916"/>
      <c r="D435" s="906" t="s">
        <v>1792</v>
      </c>
      <c r="E435" s="364">
        <f>'[4]COSTO CDMX,QRO,GDL '!I435</f>
        <v>1743.3062941417336</v>
      </c>
      <c r="F435" s="217" t="s">
        <v>284</v>
      </c>
    </row>
    <row r="436" spans="1:64" ht="14.1" customHeight="1">
      <c r="A436" s="888"/>
      <c r="B436" s="913" t="s">
        <v>1919</v>
      </c>
      <c r="C436" s="915"/>
      <c r="D436" s="906" t="s">
        <v>1700</v>
      </c>
      <c r="E436" s="364">
        <f>'[4]COSTO CDMX,QRO,GDL '!I436</f>
        <v>1832.5785540657478</v>
      </c>
      <c r="F436" s="217" t="s">
        <v>284</v>
      </c>
    </row>
    <row r="437" spans="1:64" ht="14.1" customHeight="1">
      <c r="A437" s="888"/>
      <c r="B437" s="901"/>
      <c r="C437" s="917"/>
      <c r="D437" s="906"/>
      <c r="E437" s="364"/>
      <c r="F437" s="284"/>
    </row>
    <row r="438" spans="1:64" ht="14.1" customHeight="1">
      <c r="A438" s="884"/>
      <c r="B438" s="887"/>
      <c r="C438" s="886" t="s">
        <v>1920</v>
      </c>
      <c r="D438" s="918"/>
      <c r="E438" s="918"/>
      <c r="F438" s="365"/>
    </row>
    <row r="439" spans="1:64" ht="14.1" customHeight="1">
      <c r="A439" s="888"/>
      <c r="B439" s="919" t="s">
        <v>1921</v>
      </c>
      <c r="C439" s="914" t="s">
        <v>1922</v>
      </c>
      <c r="D439" s="906" t="s">
        <v>1687</v>
      </c>
      <c r="E439" s="360">
        <f>'[4]COSTO CDMX,QRO,GDL '!I439</f>
        <v>1487.6833333333334</v>
      </c>
      <c r="F439" s="217" t="s">
        <v>284</v>
      </c>
    </row>
    <row r="440" spans="1:64" ht="14.1" customHeight="1">
      <c r="A440" s="888"/>
      <c r="B440" s="919" t="s">
        <v>1923</v>
      </c>
      <c r="C440" s="915" t="s">
        <v>1924</v>
      </c>
      <c r="D440" s="906" t="s">
        <v>1786</v>
      </c>
      <c r="E440" s="360">
        <f>'[4]COSTO CDMX,QRO,GDL '!I440</f>
        <v>1735.6</v>
      </c>
      <c r="F440" s="217" t="s">
        <v>284</v>
      </c>
    </row>
    <row r="441" spans="1:64" ht="14.1" customHeight="1">
      <c r="A441" s="888"/>
      <c r="B441" s="874"/>
      <c r="C441" s="915"/>
      <c r="D441" s="906"/>
      <c r="E441" s="242"/>
      <c r="F441" s="366"/>
    </row>
    <row r="442" spans="1:64" ht="14.1" customHeight="1">
      <c r="A442" s="920"/>
      <c r="B442" s="874"/>
      <c r="C442" s="916"/>
      <c r="D442" s="906"/>
      <c r="E442" s="242"/>
      <c r="F442" s="366"/>
    </row>
    <row r="443" spans="1:64" ht="14.1" customHeight="1">
      <c r="A443" s="920"/>
      <c r="B443" s="919"/>
      <c r="C443" s="916"/>
      <c r="D443" s="906"/>
      <c r="E443" s="242"/>
      <c r="F443" s="366"/>
    </row>
    <row r="444" spans="1:64" ht="13.5" customHeight="1">
      <c r="A444" s="888"/>
      <c r="B444" s="919"/>
      <c r="C444" s="916"/>
      <c r="D444" s="906"/>
      <c r="E444" s="242"/>
      <c r="F444" s="366"/>
    </row>
    <row r="445" spans="1:64" ht="14.1" customHeight="1">
      <c r="A445" s="888"/>
      <c r="B445" s="874"/>
      <c r="C445" s="921"/>
      <c r="D445" s="906"/>
      <c r="E445" s="242"/>
      <c r="F445" s="366"/>
    </row>
    <row r="446" spans="1:64" ht="14.1" customHeight="1">
      <c r="A446" s="903"/>
      <c r="B446" s="904"/>
      <c r="C446" s="905"/>
      <c r="D446" s="904"/>
      <c r="E446" s="336"/>
      <c r="F446" s="337"/>
      <c r="N446" s="828"/>
      <c r="O446" s="828"/>
      <c r="P446" s="828"/>
      <c r="Q446" s="828"/>
      <c r="BI446" s="829"/>
      <c r="BJ446" s="829"/>
      <c r="BK446" s="829"/>
      <c r="BL446" s="829"/>
    </row>
    <row r="447" spans="1:64" ht="14.1" customHeight="1">
      <c r="A447" s="888"/>
      <c r="B447" s="906"/>
      <c r="C447" s="907"/>
      <c r="D447" s="906"/>
      <c r="E447" s="340"/>
      <c r="F447" s="341"/>
      <c r="N447" s="828"/>
      <c r="O447" s="828"/>
      <c r="P447" s="828"/>
      <c r="Q447" s="828"/>
      <c r="BI447" s="829"/>
      <c r="BJ447" s="829"/>
      <c r="BK447" s="829"/>
      <c r="BL447" s="829"/>
    </row>
    <row r="448" spans="1:64" ht="14.1" customHeight="1">
      <c r="A448" s="888"/>
      <c r="B448" s="906"/>
      <c r="C448" s="907"/>
      <c r="D448" s="906"/>
      <c r="E448" s="340"/>
      <c r="F448" s="341"/>
      <c r="N448" s="828"/>
      <c r="O448" s="828"/>
      <c r="P448" s="828"/>
      <c r="Q448" s="828"/>
      <c r="BI448" s="829"/>
      <c r="BJ448" s="829"/>
      <c r="BK448" s="829"/>
      <c r="BL448" s="829"/>
    </row>
    <row r="449" spans="1:64" ht="14.1" customHeight="1">
      <c r="A449" s="888"/>
      <c r="B449" s="906"/>
      <c r="C449" s="907"/>
      <c r="D449" s="906"/>
      <c r="E449" s="340"/>
      <c r="F449" s="341"/>
      <c r="N449" s="828"/>
      <c r="O449" s="828"/>
      <c r="P449" s="828"/>
      <c r="Q449" s="828"/>
      <c r="BI449" s="829"/>
      <c r="BJ449" s="829"/>
      <c r="BK449" s="829"/>
      <c r="BL449" s="829"/>
    </row>
    <row r="450" spans="1:64" ht="14.1" customHeight="1">
      <c r="A450" s="888"/>
      <c r="B450" s="906"/>
      <c r="C450" s="907"/>
      <c r="D450" s="906"/>
      <c r="E450" s="340"/>
      <c r="F450" s="341"/>
      <c r="N450" s="828"/>
      <c r="O450" s="828"/>
      <c r="P450" s="828"/>
      <c r="Q450" s="828"/>
      <c r="BI450" s="829"/>
      <c r="BJ450" s="829"/>
      <c r="BK450" s="829"/>
      <c r="BL450" s="829"/>
    </row>
    <row r="451" spans="1:64" ht="14.1" customHeight="1">
      <c r="A451" s="888"/>
      <c r="B451" s="906"/>
      <c r="C451" s="907"/>
      <c r="D451" s="906"/>
      <c r="E451" s="340"/>
      <c r="F451" s="341"/>
      <c r="N451" s="828"/>
      <c r="O451" s="828"/>
      <c r="P451" s="828"/>
      <c r="Q451" s="828"/>
      <c r="BI451" s="829"/>
      <c r="BJ451" s="829"/>
      <c r="BK451" s="829"/>
      <c r="BL451" s="829"/>
    </row>
    <row r="452" spans="1:64" ht="14.1" customHeight="1">
      <c r="A452" s="888"/>
      <c r="B452" s="906"/>
      <c r="C452" s="907"/>
      <c r="D452" s="906"/>
      <c r="E452" s="340"/>
      <c r="F452" s="341"/>
      <c r="N452" s="828"/>
      <c r="O452" s="828"/>
      <c r="P452" s="828"/>
      <c r="Q452" s="828"/>
      <c r="BI452" s="829"/>
      <c r="BJ452" s="829"/>
      <c r="BK452" s="829"/>
      <c r="BL452" s="829"/>
    </row>
    <row r="453" spans="1:64" ht="14.1" customHeight="1">
      <c r="A453" s="888"/>
      <c r="B453" s="906"/>
      <c r="C453" s="907"/>
      <c r="D453" s="906"/>
      <c r="E453" s="340"/>
      <c r="F453" s="341"/>
      <c r="N453" s="828"/>
      <c r="O453" s="828"/>
      <c r="P453" s="828"/>
      <c r="Q453" s="828"/>
      <c r="BI453" s="829"/>
      <c r="BJ453" s="829"/>
      <c r="BK453" s="829"/>
      <c r="BL453" s="829"/>
    </row>
    <row r="454" spans="1:64" ht="14.1" customHeight="1">
      <c r="A454" s="888"/>
      <c r="B454" s="906"/>
      <c r="C454" s="907"/>
      <c r="D454" s="906"/>
      <c r="E454" s="340"/>
      <c r="F454" s="341"/>
      <c r="N454" s="828"/>
      <c r="O454" s="828"/>
      <c r="P454" s="828"/>
      <c r="Q454" s="828"/>
      <c r="BI454" s="829"/>
      <c r="BJ454" s="829"/>
      <c r="BK454" s="829"/>
      <c r="BL454" s="829"/>
    </row>
    <row r="455" spans="1:64" ht="14.1" customHeight="1">
      <c r="A455" s="888"/>
      <c r="B455" s="906"/>
      <c r="C455" s="907"/>
      <c r="D455" s="906"/>
      <c r="E455" s="340"/>
      <c r="F455" s="341"/>
      <c r="N455" s="828"/>
      <c r="O455" s="828"/>
      <c r="P455" s="828"/>
      <c r="Q455" s="828"/>
      <c r="BI455" s="829"/>
      <c r="BJ455" s="829"/>
      <c r="BK455" s="829"/>
      <c r="BL455" s="829"/>
    </row>
    <row r="456" spans="1:64" ht="14.1" customHeight="1">
      <c r="A456" s="888"/>
      <c r="B456" s="906"/>
      <c r="C456" s="907"/>
      <c r="D456" s="906"/>
      <c r="E456" s="340"/>
      <c r="F456" s="341"/>
      <c r="N456" s="828"/>
      <c r="O456" s="828"/>
      <c r="P456" s="828"/>
      <c r="Q456" s="828"/>
      <c r="BI456" s="829"/>
      <c r="BJ456" s="829"/>
      <c r="BK456" s="829"/>
      <c r="BL456" s="829"/>
    </row>
    <row r="457" spans="1:64" ht="14.1" customHeight="1">
      <c r="A457" s="888"/>
      <c r="B457" s="906"/>
      <c r="C457" s="907"/>
      <c r="D457" s="906"/>
      <c r="E457" s="340"/>
      <c r="F457" s="341"/>
      <c r="N457" s="828"/>
      <c r="O457" s="828"/>
      <c r="P457" s="828"/>
      <c r="Q457" s="828"/>
      <c r="BI457" s="829"/>
      <c r="BJ457" s="829"/>
      <c r="BK457" s="829"/>
      <c r="BL457" s="829"/>
    </row>
    <row r="458" spans="1:64" ht="14.1" customHeight="1">
      <c r="A458" s="888"/>
      <c r="B458" s="906"/>
      <c r="C458" s="907"/>
      <c r="D458" s="906"/>
      <c r="E458" s="340"/>
      <c r="F458" s="341"/>
      <c r="N458" s="828"/>
      <c r="O458" s="828"/>
      <c r="P458" s="828"/>
      <c r="Q458" s="828"/>
      <c r="BI458" s="829"/>
      <c r="BJ458" s="829"/>
      <c r="BK458" s="829"/>
      <c r="BL458" s="829"/>
    </row>
    <row r="459" spans="1:64" ht="14.1" customHeight="1">
      <c r="A459" s="888"/>
      <c r="B459" s="906"/>
      <c r="C459" s="907"/>
      <c r="D459" s="906"/>
      <c r="E459" s="340"/>
      <c r="F459" s="341"/>
      <c r="N459" s="828"/>
      <c r="O459" s="828"/>
      <c r="P459" s="828"/>
      <c r="Q459" s="828"/>
      <c r="BI459" s="829"/>
      <c r="BJ459" s="829"/>
      <c r="BK459" s="829"/>
      <c r="BL459" s="829"/>
    </row>
    <row r="460" spans="1:64" ht="14.1" customHeight="1">
      <c r="A460" s="888"/>
      <c r="B460" s="906"/>
      <c r="C460" s="907"/>
      <c r="D460" s="906"/>
      <c r="E460" s="340"/>
      <c r="F460" s="341"/>
      <c r="N460" s="828"/>
      <c r="O460" s="828"/>
      <c r="P460" s="828"/>
      <c r="Q460" s="828"/>
      <c r="BI460" s="829"/>
      <c r="BJ460" s="829"/>
      <c r="BK460" s="829"/>
      <c r="BL460" s="829"/>
    </row>
    <row r="461" spans="1:64" ht="14.1" customHeight="1">
      <c r="A461" s="888"/>
      <c r="B461" s="906"/>
      <c r="C461" s="907"/>
      <c r="D461" s="906"/>
      <c r="E461" s="340"/>
      <c r="F461" s="341"/>
      <c r="N461" s="828"/>
      <c r="O461" s="828"/>
      <c r="P461" s="828"/>
      <c r="Q461" s="828"/>
      <c r="BI461" s="829"/>
      <c r="BJ461" s="829"/>
      <c r="BK461" s="829"/>
      <c r="BL461" s="829"/>
    </row>
    <row r="462" spans="1:64" ht="14.1" customHeight="1">
      <c r="A462" s="888"/>
      <c r="B462" s="906"/>
      <c r="C462" s="907"/>
      <c r="D462" s="906"/>
      <c r="E462" s="340"/>
      <c r="F462" s="341"/>
      <c r="N462" s="828"/>
      <c r="O462" s="828"/>
      <c r="P462" s="828"/>
      <c r="Q462" s="828"/>
      <c r="BI462" s="829"/>
      <c r="BJ462" s="829"/>
      <c r="BK462" s="829"/>
      <c r="BL462" s="829"/>
    </row>
    <row r="463" spans="1:64" ht="14.1" customHeight="1">
      <c r="A463" s="888"/>
      <c r="B463" s="906"/>
      <c r="C463" s="907"/>
      <c r="D463" s="906"/>
      <c r="E463" s="340"/>
      <c r="F463" s="341"/>
      <c r="N463" s="828"/>
      <c r="O463" s="828"/>
      <c r="P463" s="828"/>
      <c r="Q463" s="828"/>
      <c r="BI463" s="829"/>
      <c r="BJ463" s="829"/>
      <c r="BK463" s="829"/>
      <c r="BL463" s="829"/>
    </row>
    <row r="464" spans="1:64" ht="14.1" customHeight="1">
      <c r="A464" s="888"/>
      <c r="B464" s="906"/>
      <c r="C464" s="907"/>
      <c r="D464" s="906"/>
      <c r="E464" s="340"/>
      <c r="F464" s="341"/>
      <c r="N464" s="828"/>
      <c r="O464" s="828"/>
      <c r="P464" s="828"/>
      <c r="Q464" s="828"/>
      <c r="BI464" s="829"/>
      <c r="BJ464" s="829"/>
      <c r="BK464" s="829"/>
      <c r="BL464" s="829"/>
    </row>
    <row r="465" spans="1:64" ht="14.1" customHeight="1">
      <c r="A465" s="908"/>
      <c r="B465" s="909"/>
      <c r="C465" s="910"/>
      <c r="D465" s="909"/>
      <c r="E465" s="345"/>
      <c r="F465" s="346"/>
      <c r="N465" s="828"/>
      <c r="O465" s="828"/>
      <c r="P465" s="828"/>
      <c r="Q465" s="828"/>
      <c r="BI465" s="829"/>
      <c r="BJ465" s="829"/>
      <c r="BK465" s="829"/>
      <c r="BL465" s="829"/>
    </row>
    <row r="466" spans="1:64" ht="15" customHeight="1">
      <c r="A466" s="922"/>
      <c r="B466" s="923"/>
      <c r="C466" s="924" t="s">
        <v>1925</v>
      </c>
      <c r="D466" s="925"/>
      <c r="E466" s="378"/>
      <c r="F466" s="379"/>
    </row>
    <row r="467" spans="1:64" ht="14.1" customHeight="1">
      <c r="A467" s="888"/>
      <c r="B467" s="919" t="s">
        <v>1926</v>
      </c>
      <c r="C467" s="914" t="s">
        <v>1927</v>
      </c>
      <c r="D467" s="906" t="s">
        <v>1681</v>
      </c>
      <c r="E467" s="380">
        <f>'[4]COSTO CDMX,QRO,GDL '!I467</f>
        <v>750</v>
      </c>
      <c r="F467" s="217" t="s">
        <v>1928</v>
      </c>
    </row>
    <row r="468" spans="1:64" ht="14.1" customHeight="1">
      <c r="A468" s="888"/>
      <c r="B468" s="919" t="s">
        <v>1929</v>
      </c>
      <c r="C468" s="915" t="s">
        <v>1930</v>
      </c>
      <c r="D468" s="906" t="s">
        <v>1691</v>
      </c>
      <c r="E468" s="380">
        <f>'[4]COSTO CDMX,QRO,GDL '!I468</f>
        <v>833.33333333333337</v>
      </c>
      <c r="F468" s="217" t="s">
        <v>1928</v>
      </c>
    </row>
    <row r="469" spans="1:64" ht="14.1" customHeight="1">
      <c r="A469" s="888"/>
      <c r="B469" s="874"/>
      <c r="C469" s="915"/>
      <c r="D469" s="906"/>
      <c r="E469" s="380"/>
      <c r="F469" s="284"/>
    </row>
    <row r="470" spans="1:64" ht="14.1" customHeight="1">
      <c r="A470" s="888"/>
      <c r="B470" s="874"/>
      <c r="C470" s="915"/>
      <c r="D470" s="906"/>
      <c r="E470" s="380"/>
      <c r="F470" s="284"/>
    </row>
    <row r="471" spans="1:64" ht="14.1" customHeight="1">
      <c r="A471" s="888"/>
      <c r="B471" s="874"/>
      <c r="C471" s="915"/>
      <c r="D471" s="906"/>
      <c r="E471" s="380"/>
      <c r="F471" s="284"/>
    </row>
    <row r="472" spans="1:64" ht="14.1" customHeight="1">
      <c r="A472" s="888"/>
      <c r="B472" s="874"/>
      <c r="C472" s="915"/>
      <c r="D472" s="906"/>
      <c r="E472" s="380"/>
      <c r="F472" s="284"/>
    </row>
    <row r="473" spans="1:64" ht="15" customHeight="1">
      <c r="A473" s="884"/>
      <c r="B473" s="885"/>
      <c r="C473" s="886" t="s">
        <v>1931</v>
      </c>
      <c r="D473" s="887"/>
      <c r="E473" s="887"/>
      <c r="F473" s="211"/>
    </row>
    <row r="474" spans="1:64" ht="14.1" customHeight="1">
      <c r="A474" s="888"/>
      <c r="B474" s="919" t="s">
        <v>1932</v>
      </c>
      <c r="C474" s="914" t="s">
        <v>1933</v>
      </c>
      <c r="D474" s="906" t="s">
        <v>1934</v>
      </c>
      <c r="E474" s="380" t="e">
        <f>'[4]COSTO CDMX,QRO,GDL '!#REF!</f>
        <v>#REF!</v>
      </c>
      <c r="F474" s="217" t="s">
        <v>1928</v>
      </c>
    </row>
    <row r="475" spans="1:64" ht="14.1" customHeight="1">
      <c r="A475" s="888"/>
      <c r="B475" s="874"/>
      <c r="C475" s="915" t="s">
        <v>1930</v>
      </c>
      <c r="D475" s="906"/>
      <c r="E475" s="380"/>
      <c r="F475" s="284"/>
    </row>
    <row r="476" spans="1:64" ht="14.1" customHeight="1">
      <c r="A476" s="888"/>
      <c r="B476" s="874"/>
      <c r="C476" s="920"/>
      <c r="D476" s="906"/>
      <c r="E476" s="381"/>
      <c r="F476" s="284"/>
    </row>
    <row r="477" spans="1:64" ht="14.1" customHeight="1">
      <c r="A477" s="888"/>
      <c r="B477" s="874"/>
      <c r="C477" s="920"/>
      <c r="D477" s="906"/>
      <c r="E477" s="382"/>
      <c r="F477" s="228"/>
    </row>
    <row r="478" spans="1:64" ht="14.1" customHeight="1">
      <c r="A478" s="888"/>
      <c r="B478" s="874"/>
      <c r="C478" s="926"/>
      <c r="D478" s="906"/>
      <c r="E478" s="382"/>
      <c r="F478" s="228"/>
    </row>
    <row r="479" spans="1:64" ht="15" customHeight="1">
      <c r="A479" s="884"/>
      <c r="B479" s="885"/>
      <c r="C479" s="886" t="s">
        <v>1935</v>
      </c>
      <c r="D479" s="887"/>
      <c r="E479" s="887"/>
      <c r="F479" s="887"/>
    </row>
    <row r="480" spans="1:64" ht="14.1" customHeight="1">
      <c r="A480" s="888"/>
      <c r="B480" s="889" t="s">
        <v>1936</v>
      </c>
      <c r="C480" s="1513" t="s">
        <v>1937</v>
      </c>
      <c r="D480" s="874" t="s">
        <v>1938</v>
      </c>
      <c r="E480" s="360">
        <f>'[4]COSTO CDMX,QRO,GDL '!I474</f>
        <v>347.60595766044685</v>
      </c>
      <c r="F480" s="217" t="s">
        <v>284</v>
      </c>
    </row>
    <row r="481" spans="1:6" ht="14.1" customHeight="1">
      <c r="A481" s="888"/>
      <c r="B481" s="889"/>
      <c r="C481" s="1513"/>
      <c r="D481" s="874"/>
      <c r="E481" s="360"/>
      <c r="F481" s="217"/>
    </row>
    <row r="482" spans="1:6" ht="14.1" customHeight="1">
      <c r="A482" s="888"/>
      <c r="B482" s="889"/>
      <c r="C482" s="920"/>
      <c r="D482" s="874"/>
      <c r="E482" s="360"/>
      <c r="F482" s="217"/>
    </row>
    <row r="483" spans="1:6" ht="14.1" customHeight="1">
      <c r="A483" s="888"/>
      <c r="B483" s="889"/>
      <c r="C483" s="920"/>
      <c r="D483" s="874"/>
      <c r="E483" s="360"/>
      <c r="F483" s="217"/>
    </row>
    <row r="484" spans="1:6" ht="14.1" customHeight="1">
      <c r="A484" s="888"/>
      <c r="B484" s="889" t="s">
        <v>1939</v>
      </c>
      <c r="C484" s="1513" t="s">
        <v>1940</v>
      </c>
      <c r="D484" s="874" t="s">
        <v>1941</v>
      </c>
      <c r="E484" s="360">
        <f>'[4]COSTO CDMX,QRO,GDL '!I478</f>
        <v>352.60595766044685</v>
      </c>
      <c r="F484" s="217" t="s">
        <v>284</v>
      </c>
    </row>
    <row r="485" spans="1:6" ht="14.1" customHeight="1">
      <c r="A485" s="888"/>
      <c r="B485" s="889"/>
      <c r="C485" s="1513"/>
      <c r="D485" s="874"/>
      <c r="E485" s="360"/>
      <c r="F485" s="217"/>
    </row>
    <row r="486" spans="1:6" ht="14.1" customHeight="1">
      <c r="A486" s="888"/>
      <c r="B486" s="889"/>
      <c r="C486" s="920"/>
      <c r="D486" s="874"/>
      <c r="E486" s="360"/>
      <c r="F486" s="217"/>
    </row>
    <row r="487" spans="1:6" ht="14.1" customHeight="1">
      <c r="A487" s="888"/>
      <c r="B487" s="889"/>
      <c r="C487" s="920"/>
      <c r="D487" s="874"/>
      <c r="E487" s="360"/>
      <c r="F487" s="217"/>
    </row>
    <row r="488" spans="1:6" ht="14.1" customHeight="1">
      <c r="A488" s="888"/>
      <c r="B488" s="889" t="s">
        <v>1942</v>
      </c>
      <c r="C488" s="1513" t="s">
        <v>1943</v>
      </c>
      <c r="D488" s="874" t="s">
        <v>1944</v>
      </c>
      <c r="E488" s="360">
        <f>'[4]COSTO CDMX,QRO,GDL '!I482</f>
        <v>360.87430340557285</v>
      </c>
      <c r="F488" s="217" t="s">
        <v>284</v>
      </c>
    </row>
    <row r="489" spans="1:6" ht="14.1" customHeight="1">
      <c r="A489" s="888"/>
      <c r="B489" s="889"/>
      <c r="C489" s="1513"/>
      <c r="D489" s="874"/>
      <c r="E489" s="360"/>
      <c r="F489" s="217"/>
    </row>
    <row r="490" spans="1:6" ht="14.1" customHeight="1">
      <c r="A490" s="888"/>
      <c r="B490" s="889"/>
      <c r="C490" s="920"/>
      <c r="D490" s="874"/>
      <c r="E490" s="360"/>
      <c r="F490" s="217"/>
    </row>
    <row r="491" spans="1:6" ht="14.1" customHeight="1">
      <c r="A491" s="888"/>
      <c r="B491" s="889"/>
      <c r="C491" s="920"/>
      <c r="D491" s="874"/>
      <c r="E491" s="360"/>
      <c r="F491" s="217"/>
    </row>
    <row r="492" spans="1:6" ht="14.1" customHeight="1">
      <c r="A492" s="888"/>
      <c r="B492" s="889" t="s">
        <v>1945</v>
      </c>
      <c r="C492" s="1513" t="s">
        <v>1946</v>
      </c>
      <c r="D492" s="874" t="s">
        <v>1947</v>
      </c>
      <c r="E492" s="360">
        <f>'[4]COSTO CDMX,QRO,GDL '!I486</f>
        <v>357.60595766044685</v>
      </c>
      <c r="F492" s="217" t="s">
        <v>284</v>
      </c>
    </row>
    <row r="493" spans="1:6" ht="14.1" customHeight="1">
      <c r="A493" s="888"/>
      <c r="B493" s="891"/>
      <c r="C493" s="1513"/>
      <c r="D493" s="874"/>
      <c r="E493" s="360"/>
      <c r="F493" s="280"/>
    </row>
    <row r="494" spans="1:6" ht="14.1" customHeight="1">
      <c r="A494" s="888"/>
      <c r="B494" s="891"/>
      <c r="C494" s="915"/>
      <c r="D494" s="874"/>
      <c r="E494" s="360"/>
      <c r="F494" s="280"/>
    </row>
    <row r="495" spans="1:6" ht="14.1" customHeight="1">
      <c r="A495" s="888"/>
      <c r="B495" s="891"/>
      <c r="C495" s="920"/>
      <c r="D495" s="874"/>
      <c r="E495" s="360"/>
      <c r="F495" s="284"/>
    </row>
    <row r="496" spans="1:6" ht="15" customHeight="1">
      <c r="A496" s="884"/>
      <c r="B496" s="885"/>
      <c r="C496" s="886" t="s">
        <v>1948</v>
      </c>
      <c r="D496" s="887"/>
      <c r="E496" s="887"/>
      <c r="F496" s="211"/>
    </row>
    <row r="497" spans="1:6" ht="14.1" customHeight="1">
      <c r="A497" s="888"/>
      <c r="B497" s="889" t="s">
        <v>1949</v>
      </c>
      <c r="C497" s="914" t="s">
        <v>1950</v>
      </c>
      <c r="D497" s="874" t="s">
        <v>1938</v>
      </c>
      <c r="E497" s="360">
        <f>'[4]COSTO CDMX,QRO,GDL '!I491</f>
        <v>330.78500000000008</v>
      </c>
      <c r="F497" s="217" t="s">
        <v>284</v>
      </c>
    </row>
    <row r="498" spans="1:6" ht="14.1" customHeight="1">
      <c r="A498" s="888"/>
      <c r="B498" s="891"/>
      <c r="C498" s="915" t="s">
        <v>1951</v>
      </c>
      <c r="D498" s="874"/>
      <c r="E498" s="360"/>
      <c r="F498" s="284"/>
    </row>
    <row r="499" spans="1:6" ht="14.1" customHeight="1">
      <c r="A499" s="888"/>
      <c r="B499" s="927"/>
      <c r="C499" s="928"/>
      <c r="D499" s="874"/>
      <c r="E499" s="360"/>
      <c r="F499" s="284"/>
    </row>
    <row r="500" spans="1:6" ht="14.1" customHeight="1">
      <c r="A500" s="888"/>
      <c r="B500" s="927"/>
      <c r="C500" s="928"/>
      <c r="D500" s="874"/>
      <c r="E500" s="360"/>
      <c r="F500" s="284"/>
    </row>
    <row r="501" spans="1:6" ht="14.1" customHeight="1">
      <c r="A501" s="888"/>
      <c r="B501" s="891"/>
      <c r="C501" s="920"/>
      <c r="D501" s="874"/>
      <c r="E501" s="360"/>
      <c r="F501" s="284"/>
    </row>
    <row r="502" spans="1:6" ht="14.1" customHeight="1">
      <c r="A502" s="862"/>
      <c r="B502" s="863"/>
      <c r="C502" s="864" t="s">
        <v>1952</v>
      </c>
      <c r="D502" s="865"/>
      <c r="E502" s="865"/>
      <c r="F502" s="249"/>
    </row>
    <row r="503" spans="1:6" ht="14.1" customHeight="1">
      <c r="A503" s="929"/>
      <c r="B503" s="930" t="str">
        <f>'[4]COSTO CDMX,QRO,GDL '!B497</f>
        <v>SCBR-0380</v>
      </c>
      <c r="C503" s="869" t="s">
        <v>1953</v>
      </c>
      <c r="D503" s="874"/>
      <c r="E503" s="360">
        <f>'[4]COSTO CDMX,QRO,GDL '!I497</f>
        <v>552.66666666666674</v>
      </c>
      <c r="F503" s="217" t="s">
        <v>1928</v>
      </c>
    </row>
    <row r="504" spans="1:6" ht="14.1" customHeight="1">
      <c r="A504" s="929"/>
      <c r="B504" s="891"/>
      <c r="C504" s="869" t="s">
        <v>1954</v>
      </c>
      <c r="D504" s="874"/>
      <c r="E504" s="360"/>
      <c r="F504" s="228"/>
    </row>
    <row r="505" spans="1:6" ht="14.1" customHeight="1">
      <c r="A505" s="929"/>
      <c r="B505" s="891"/>
      <c r="C505" s="869"/>
      <c r="D505" s="874"/>
      <c r="E505" s="360"/>
      <c r="F505" s="228"/>
    </row>
    <row r="506" spans="1:6" ht="14.1" customHeight="1">
      <c r="A506" s="929"/>
      <c r="B506" s="891"/>
      <c r="C506" s="931"/>
      <c r="D506" s="874"/>
      <c r="E506" s="360"/>
      <c r="F506" s="228"/>
    </row>
    <row r="507" spans="1:6" ht="14.1" customHeight="1">
      <c r="A507" s="929"/>
      <c r="B507" s="891"/>
      <c r="C507" s="931"/>
      <c r="D507" s="874"/>
      <c r="E507" s="360"/>
      <c r="F507" s="228"/>
    </row>
    <row r="508" spans="1:6" ht="14.1" customHeight="1">
      <c r="A508" s="932"/>
      <c r="B508" s="901"/>
      <c r="C508" s="879"/>
      <c r="D508" s="902"/>
      <c r="E508" s="360"/>
      <c r="F508" s="228"/>
    </row>
    <row r="509" spans="1:6" ht="14.1" customHeight="1">
      <c r="A509" s="862"/>
      <c r="B509" s="863"/>
      <c r="C509" s="864" t="s">
        <v>1952</v>
      </c>
      <c r="D509" s="865"/>
      <c r="E509" s="865"/>
      <c r="F509" s="249"/>
    </row>
    <row r="510" spans="1:6" ht="14.1" customHeight="1">
      <c r="A510" s="929"/>
      <c r="B510" s="889" t="s">
        <v>1955</v>
      </c>
      <c r="C510" s="869" t="s">
        <v>1956</v>
      </c>
      <c r="D510" s="874" t="s">
        <v>1957</v>
      </c>
      <c r="E510" s="360">
        <f>'[4]COSTO CDMX,QRO,GDL '!I506</f>
        <v>316.66666666666669</v>
      </c>
      <c r="F510" s="217" t="s">
        <v>1928</v>
      </c>
    </row>
    <row r="511" spans="1:6" ht="14.1" customHeight="1">
      <c r="A511" s="929"/>
      <c r="B511" s="891"/>
      <c r="C511" s="869" t="s">
        <v>1954</v>
      </c>
      <c r="D511" s="874"/>
      <c r="E511" s="360"/>
      <c r="F511" s="228"/>
    </row>
    <row r="512" spans="1:6" ht="14.1" customHeight="1">
      <c r="A512" s="929"/>
      <c r="B512" s="891"/>
      <c r="C512" s="869"/>
      <c r="D512" s="874"/>
      <c r="E512" s="360"/>
      <c r="F512" s="228"/>
    </row>
    <row r="513" spans="1:60" ht="14.1" customHeight="1">
      <c r="A513" s="929"/>
      <c r="B513" s="891"/>
      <c r="C513" s="931"/>
      <c r="D513" s="874"/>
      <c r="E513" s="360"/>
      <c r="F513" s="228"/>
    </row>
    <row r="514" spans="1:60" ht="14.1" customHeight="1">
      <c r="A514" s="929"/>
      <c r="B514" s="891"/>
      <c r="C514" s="931"/>
      <c r="D514" s="874"/>
      <c r="E514" s="360"/>
      <c r="F514" s="228"/>
    </row>
    <row r="515" spans="1:60" ht="14.1" customHeight="1">
      <c r="A515" s="932"/>
      <c r="B515" s="901"/>
      <c r="C515" s="879"/>
      <c r="D515" s="902"/>
      <c r="E515" s="360"/>
      <c r="F515" s="228"/>
    </row>
    <row r="516" spans="1:60" ht="15" customHeight="1">
      <c r="A516" s="884"/>
      <c r="B516" s="885"/>
      <c r="C516" s="886" t="s">
        <v>1958</v>
      </c>
      <c r="D516" s="887"/>
      <c r="E516" s="887"/>
      <c r="F516" s="211"/>
    </row>
    <row r="517" spans="1:60" ht="14.1" customHeight="1">
      <c r="A517" s="888"/>
      <c r="B517" s="889">
        <v>1</v>
      </c>
      <c r="C517" s="933" t="s">
        <v>1959</v>
      </c>
      <c r="D517" s="874" t="s">
        <v>1960</v>
      </c>
      <c r="E517" s="360">
        <f>'[4]COSTO CDMX,QRO,GDL '!I513</f>
        <v>833.33333333333337</v>
      </c>
      <c r="F517" s="217" t="s">
        <v>1928</v>
      </c>
    </row>
    <row r="518" spans="1:60" ht="14.1" customHeight="1">
      <c r="A518" s="888"/>
      <c r="B518" s="891"/>
      <c r="C518" s="869" t="s">
        <v>1961</v>
      </c>
      <c r="D518" s="874"/>
      <c r="E518" s="382"/>
      <c r="F518" s="228"/>
    </row>
    <row r="519" spans="1:60" ht="14.1" customHeight="1">
      <c r="A519" s="888"/>
      <c r="B519" s="891"/>
      <c r="C519" s="869"/>
      <c r="D519" s="874"/>
      <c r="E519" s="382"/>
      <c r="F519" s="228"/>
    </row>
    <row r="520" spans="1:60" ht="14.1" customHeight="1">
      <c r="A520" s="888"/>
      <c r="B520" s="891"/>
      <c r="C520" s="879"/>
      <c r="D520" s="874"/>
      <c r="E520" s="382"/>
      <c r="F520" s="228"/>
    </row>
    <row r="521" spans="1:60" ht="14.1" customHeight="1">
      <c r="A521" s="888"/>
      <c r="B521" s="891"/>
      <c r="C521" s="879"/>
      <c r="D521" s="874"/>
      <c r="E521" s="382"/>
      <c r="F521" s="228"/>
    </row>
    <row r="522" spans="1:60" ht="14.1" customHeight="1">
      <c r="A522" s="888"/>
      <c r="B522" s="891"/>
      <c r="C522" s="879"/>
      <c r="D522" s="874"/>
      <c r="E522" s="382"/>
      <c r="F522" s="228"/>
    </row>
    <row r="523" spans="1:60" ht="14.1" customHeight="1">
      <c r="A523" s="888"/>
      <c r="B523" s="891"/>
      <c r="C523" s="879"/>
      <c r="D523" s="874"/>
      <c r="E523" s="382"/>
      <c r="F523" s="228"/>
    </row>
    <row r="524" spans="1:60" ht="14.1" customHeight="1">
      <c r="A524" s="888"/>
      <c r="B524" s="891"/>
      <c r="C524" s="879"/>
      <c r="D524" s="874"/>
      <c r="E524" s="382"/>
      <c r="F524" s="228"/>
    </row>
    <row r="525" spans="1:60" ht="14.1" customHeight="1">
      <c r="A525" s="888"/>
      <c r="B525" s="891"/>
      <c r="C525" s="879"/>
      <c r="D525" s="874"/>
      <c r="E525" s="382"/>
      <c r="F525" s="228"/>
    </row>
    <row r="526" spans="1:60" s="841" customFormat="1" ht="15" customHeight="1">
      <c r="A526" s="842" t="s">
        <v>1667</v>
      </c>
      <c r="B526" s="843"/>
      <c r="C526" s="1511" t="s">
        <v>1962</v>
      </c>
      <c r="D526" s="842"/>
      <c r="E526" s="235"/>
      <c r="F526" s="481"/>
      <c r="G526" s="840"/>
      <c r="H526" s="840"/>
      <c r="I526" s="840"/>
      <c r="J526" s="840"/>
      <c r="K526" s="840"/>
      <c r="L526" s="840"/>
      <c r="M526" s="840"/>
      <c r="N526" s="848"/>
      <c r="O526" s="848"/>
      <c r="P526" s="848"/>
      <c r="Q526" s="848"/>
      <c r="R526" s="848"/>
      <c r="S526" s="848"/>
      <c r="T526" s="848"/>
      <c r="U526" s="848"/>
      <c r="V526" s="848"/>
      <c r="W526" s="848"/>
      <c r="X526" s="848"/>
      <c r="Y526" s="848"/>
      <c r="Z526" s="848"/>
      <c r="AA526" s="848"/>
      <c r="AB526" s="848"/>
      <c r="AC526" s="848"/>
      <c r="AD526" s="848"/>
      <c r="AE526" s="848"/>
      <c r="AF526" s="848"/>
      <c r="AG526" s="848"/>
      <c r="AH526" s="848"/>
      <c r="AI526" s="848"/>
      <c r="AJ526" s="848"/>
      <c r="AK526" s="848"/>
      <c r="AL526" s="848"/>
      <c r="AM526" s="848"/>
      <c r="AN526" s="848"/>
      <c r="AO526" s="848"/>
      <c r="AP526" s="848"/>
      <c r="AQ526" s="848"/>
      <c r="AR526" s="848"/>
      <c r="AS526" s="848"/>
      <c r="AT526" s="848"/>
      <c r="AU526" s="848"/>
      <c r="AV526" s="848"/>
      <c r="AW526" s="848"/>
      <c r="AX526" s="848"/>
      <c r="AY526" s="848"/>
      <c r="AZ526" s="848"/>
      <c r="BA526" s="848"/>
      <c r="BB526" s="848"/>
      <c r="BC526" s="848"/>
      <c r="BD526" s="848"/>
      <c r="BE526" s="848"/>
      <c r="BF526" s="848"/>
      <c r="BG526" s="848"/>
      <c r="BH526" s="848"/>
    </row>
    <row r="527" spans="1:60" s="857" customFormat="1" ht="15" customHeight="1">
      <c r="A527" s="849" t="s">
        <v>1963</v>
      </c>
      <c r="B527" s="850"/>
      <c r="C527" s="1512"/>
      <c r="D527" s="851"/>
      <c r="E527" s="286"/>
      <c r="F527" s="482"/>
      <c r="G527" s="855"/>
      <c r="H527" s="855"/>
      <c r="I527" s="855"/>
      <c r="J527" s="855"/>
      <c r="K527" s="855"/>
      <c r="L527" s="855"/>
      <c r="M527" s="855"/>
      <c r="N527" s="856"/>
      <c r="O527" s="856"/>
      <c r="P527" s="856"/>
      <c r="Q527" s="856"/>
      <c r="R527" s="856"/>
      <c r="S527" s="856"/>
      <c r="T527" s="856"/>
      <c r="U527" s="856"/>
      <c r="V527" s="856"/>
      <c r="W527" s="856"/>
      <c r="X527" s="856"/>
      <c r="Y527" s="856"/>
      <c r="Z527" s="856"/>
      <c r="AA527" s="856"/>
      <c r="AB527" s="856"/>
      <c r="AC527" s="856"/>
      <c r="AD527" s="856"/>
      <c r="AE527" s="856"/>
      <c r="AF527" s="856"/>
      <c r="AG527" s="856"/>
      <c r="AH527" s="856"/>
      <c r="AI527" s="856"/>
      <c r="AJ527" s="856"/>
      <c r="AK527" s="856"/>
      <c r="AL527" s="856"/>
      <c r="AM527" s="856"/>
      <c r="AN527" s="856"/>
      <c r="AO527" s="856"/>
      <c r="AP527" s="856"/>
      <c r="AQ527" s="856"/>
      <c r="AR527" s="856"/>
      <c r="AS527" s="856"/>
      <c r="AT527" s="856"/>
      <c r="AU527" s="856"/>
      <c r="AV527" s="856"/>
      <c r="AW527" s="856"/>
      <c r="AX527" s="856"/>
      <c r="AY527" s="856"/>
      <c r="AZ527" s="856"/>
      <c r="BA527" s="856"/>
      <c r="BB527" s="856"/>
      <c r="BC527" s="856"/>
      <c r="BD527" s="856"/>
      <c r="BE527" s="856"/>
      <c r="BF527" s="856"/>
      <c r="BG527" s="856"/>
      <c r="BH527" s="856"/>
    </row>
    <row r="528" spans="1:60" s="860" customFormat="1">
      <c r="A528" s="858" t="s">
        <v>512</v>
      </c>
      <c r="B528" s="859" t="s">
        <v>513</v>
      </c>
      <c r="C528" s="201" t="s">
        <v>514</v>
      </c>
      <c r="D528" s="858" t="s">
        <v>515</v>
      </c>
      <c r="E528" s="202" t="s">
        <v>516</v>
      </c>
      <c r="F528" s="203" t="s">
        <v>1670</v>
      </c>
      <c r="G528" s="841"/>
      <c r="N528" s="861"/>
      <c r="O528" s="861"/>
      <c r="P528" s="861"/>
      <c r="Q528" s="861"/>
      <c r="R528" s="861"/>
      <c r="S528" s="861"/>
      <c r="T528" s="861"/>
      <c r="U528" s="861"/>
      <c r="V528" s="861"/>
      <c r="W528" s="861"/>
      <c r="X528" s="861"/>
      <c r="Y528" s="861"/>
      <c r="Z528" s="861"/>
      <c r="AA528" s="861"/>
      <c r="AB528" s="861"/>
      <c r="AC528" s="861"/>
      <c r="AD528" s="861"/>
      <c r="AE528" s="861"/>
      <c r="AF528" s="861"/>
      <c r="AG528" s="861"/>
      <c r="AH528" s="861"/>
      <c r="AI528" s="861"/>
      <c r="AJ528" s="861"/>
      <c r="AK528" s="861"/>
      <c r="AL528" s="861"/>
      <c r="AM528" s="861"/>
      <c r="AN528" s="861"/>
      <c r="AO528" s="861"/>
      <c r="AP528" s="861"/>
      <c r="AQ528" s="861"/>
      <c r="AR528" s="861"/>
      <c r="AS528" s="861"/>
      <c r="AT528" s="861"/>
      <c r="AU528" s="861"/>
      <c r="AV528" s="861"/>
      <c r="AW528" s="861"/>
      <c r="AX528" s="861"/>
      <c r="AY528" s="861"/>
      <c r="AZ528" s="861"/>
      <c r="BA528" s="861"/>
      <c r="BB528" s="861"/>
      <c r="BC528" s="861"/>
      <c r="BD528" s="861"/>
      <c r="BE528" s="861"/>
      <c r="BF528" s="861"/>
      <c r="BG528" s="861"/>
      <c r="BH528" s="861"/>
    </row>
    <row r="529" spans="1:7" ht="14.1" customHeight="1">
      <c r="A529" s="862"/>
      <c r="B529" s="863"/>
      <c r="C529" s="864" t="s">
        <v>1964</v>
      </c>
      <c r="D529" s="865"/>
      <c r="E529" s="450"/>
      <c r="F529" s="483"/>
    </row>
    <row r="530" spans="1:7" ht="14.1" customHeight="1">
      <c r="A530" s="888"/>
      <c r="B530" s="889" t="s">
        <v>1965</v>
      </c>
      <c r="C530" s="933" t="s">
        <v>1966</v>
      </c>
      <c r="D530" s="874" t="s">
        <v>1967</v>
      </c>
      <c r="E530" s="360">
        <f>'[4]COSTO CDMX,QRO,GDL '!I526</f>
        <v>3333.3333333333335</v>
      </c>
      <c r="F530" s="217" t="s">
        <v>1968</v>
      </c>
      <c r="G530" s="934"/>
    </row>
    <row r="531" spans="1:7" ht="14.1" customHeight="1">
      <c r="A531" s="888"/>
      <c r="B531" s="889"/>
      <c r="C531" s="869" t="s">
        <v>1969</v>
      </c>
      <c r="D531" s="874"/>
      <c r="E531" s="360"/>
      <c r="F531" s="308"/>
    </row>
    <row r="532" spans="1:7" ht="14.1" customHeight="1">
      <c r="A532" s="888"/>
      <c r="B532" s="889"/>
      <c r="C532" s="869" t="s">
        <v>1970</v>
      </c>
      <c r="D532" s="874"/>
      <c r="E532" s="360"/>
      <c r="F532" s="308"/>
    </row>
    <row r="533" spans="1:7" ht="14.1" customHeight="1">
      <c r="A533" s="888"/>
      <c r="B533" s="889"/>
      <c r="C533" s="869" t="s">
        <v>1971</v>
      </c>
      <c r="D533" s="874"/>
      <c r="E533" s="360"/>
      <c r="F533" s="308"/>
    </row>
    <row r="534" spans="1:7" ht="14.1" customHeight="1">
      <c r="A534" s="888"/>
      <c r="B534" s="889"/>
      <c r="C534" s="869"/>
      <c r="D534" s="874"/>
      <c r="E534" s="360"/>
      <c r="F534" s="308"/>
      <c r="G534" s="934"/>
    </row>
    <row r="535" spans="1:7" ht="14.1" customHeight="1">
      <c r="A535" s="888"/>
      <c r="B535" s="889"/>
      <c r="C535" s="869"/>
      <c r="D535" s="874"/>
      <c r="E535" s="360"/>
      <c r="F535" s="308"/>
    </row>
    <row r="536" spans="1:7" ht="14.1" customHeight="1">
      <c r="A536" s="888"/>
      <c r="B536" s="889"/>
      <c r="C536" s="869"/>
      <c r="D536" s="874"/>
      <c r="E536" s="360"/>
      <c r="F536" s="308"/>
    </row>
    <row r="537" spans="1:7" ht="14.1" customHeight="1">
      <c r="A537" s="888"/>
      <c r="B537" s="889"/>
      <c r="C537" s="869"/>
      <c r="D537" s="874"/>
      <c r="E537" s="360"/>
      <c r="F537" s="308"/>
    </row>
    <row r="538" spans="1:7" ht="14.1" customHeight="1">
      <c r="A538" s="888"/>
      <c r="B538" s="889"/>
      <c r="C538" s="869"/>
      <c r="D538" s="874"/>
      <c r="E538" s="360"/>
      <c r="F538" s="308"/>
      <c r="G538" s="934"/>
    </row>
    <row r="539" spans="1:7" ht="14.1" customHeight="1">
      <c r="A539" s="888"/>
      <c r="B539" s="919"/>
      <c r="C539" s="935"/>
      <c r="D539" s="906"/>
      <c r="E539" s="360"/>
      <c r="F539" s="308"/>
    </row>
    <row r="540" spans="1:7" ht="14.1" customHeight="1">
      <c r="A540" s="888"/>
      <c r="B540" s="889" t="s">
        <v>1972</v>
      </c>
      <c r="C540" s="869" t="s">
        <v>1973</v>
      </c>
      <c r="D540" s="874" t="s">
        <v>1974</v>
      </c>
      <c r="E540" s="360">
        <f>'[4]COSTO CDMX,QRO,GDL '!I536</f>
        <v>3083.3333333333335</v>
      </c>
      <c r="F540" s="217" t="s">
        <v>1968</v>
      </c>
    </row>
    <row r="541" spans="1:7" ht="14.1" customHeight="1">
      <c r="A541" s="888"/>
      <c r="B541" s="889"/>
      <c r="C541" s="869" t="s">
        <v>1975</v>
      </c>
      <c r="D541" s="874"/>
      <c r="E541" s="360"/>
      <c r="F541" s="308"/>
    </row>
    <row r="542" spans="1:7" ht="14.1" customHeight="1">
      <c r="A542" s="888"/>
      <c r="B542" s="889"/>
      <c r="C542" s="869" t="s">
        <v>1970</v>
      </c>
      <c r="D542" s="874"/>
      <c r="E542" s="360"/>
      <c r="F542" s="308"/>
    </row>
    <row r="543" spans="1:7" ht="14.1" customHeight="1">
      <c r="A543" s="888"/>
      <c r="B543" s="889"/>
      <c r="C543" s="869" t="s">
        <v>1971</v>
      </c>
      <c r="D543" s="874"/>
      <c r="E543" s="360"/>
      <c r="F543" s="308"/>
    </row>
    <row r="544" spans="1:7" ht="14.1" customHeight="1">
      <c r="A544" s="888"/>
      <c r="B544" s="889"/>
      <c r="C544" s="869"/>
      <c r="D544" s="874"/>
      <c r="E544" s="360"/>
      <c r="F544" s="308"/>
    </row>
    <row r="545" spans="1:251" ht="14.1" customHeight="1">
      <c r="A545" s="888"/>
      <c r="B545" s="889"/>
      <c r="C545" s="869"/>
      <c r="D545" s="874"/>
      <c r="E545" s="360"/>
      <c r="F545" s="308"/>
    </row>
    <row r="546" spans="1:251" ht="14.1" customHeight="1">
      <c r="A546" s="888"/>
      <c r="B546" s="889"/>
      <c r="C546" s="869"/>
      <c r="D546" s="874"/>
      <c r="E546" s="360"/>
      <c r="F546" s="308"/>
    </row>
    <row r="547" spans="1:251" ht="14.1" customHeight="1">
      <c r="A547" s="888"/>
      <c r="B547" s="889"/>
      <c r="C547" s="869"/>
      <c r="D547" s="874"/>
      <c r="E547" s="360"/>
      <c r="F547" s="308"/>
    </row>
    <row r="548" spans="1:251" ht="14.1" customHeight="1">
      <c r="A548" s="888"/>
      <c r="B548" s="889"/>
      <c r="C548" s="869"/>
      <c r="D548" s="874"/>
      <c r="E548" s="360"/>
      <c r="F548" s="308"/>
    </row>
    <row r="549" spans="1:251" ht="14.1" customHeight="1">
      <c r="A549" s="888"/>
      <c r="B549" s="889"/>
      <c r="C549" s="869"/>
      <c r="D549" s="874"/>
      <c r="E549" s="360"/>
      <c r="F549" s="308"/>
    </row>
    <row r="550" spans="1:251" ht="14.1" customHeight="1">
      <c r="A550" s="888"/>
      <c r="B550" s="889"/>
      <c r="C550" s="879"/>
      <c r="D550" s="874"/>
      <c r="E550" s="360"/>
      <c r="F550" s="308"/>
    </row>
    <row r="551" spans="1:251" ht="14.1" customHeight="1">
      <c r="A551" s="888"/>
      <c r="B551" s="889" t="s">
        <v>1976</v>
      </c>
      <c r="C551" s="869" t="s">
        <v>1977</v>
      </c>
      <c r="D551" s="874" t="s">
        <v>1978</v>
      </c>
      <c r="E551" s="360">
        <f>'[4]COSTO CDMX,QRO,GDL '!I547</f>
        <v>3000</v>
      </c>
      <c r="F551" s="217" t="s">
        <v>1968</v>
      </c>
    </row>
    <row r="552" spans="1:251" ht="14.1" customHeight="1">
      <c r="A552" s="888"/>
      <c r="B552" s="889"/>
      <c r="C552" s="869" t="s">
        <v>1979</v>
      </c>
      <c r="D552" s="874"/>
      <c r="E552" s="360"/>
      <c r="F552" s="308"/>
    </row>
    <row r="553" spans="1:251" ht="14.1" customHeight="1">
      <c r="A553" s="888"/>
      <c r="B553" s="889"/>
      <c r="C553" s="869" t="s">
        <v>1980</v>
      </c>
      <c r="D553" s="874"/>
      <c r="E553" s="360"/>
      <c r="F553" s="308"/>
    </row>
    <row r="554" spans="1:251" ht="14.1" customHeight="1">
      <c r="A554" s="888"/>
      <c r="B554" s="889"/>
      <c r="C554" s="869" t="s">
        <v>1981</v>
      </c>
      <c r="D554" s="874"/>
      <c r="E554" s="360"/>
      <c r="F554" s="308"/>
    </row>
    <row r="555" spans="1:251" ht="14.1" customHeight="1">
      <c r="A555" s="888"/>
      <c r="B555" s="889"/>
      <c r="C555" s="879"/>
      <c r="D555" s="874"/>
      <c r="E555" s="360"/>
      <c r="F555" s="308"/>
    </row>
    <row r="556" spans="1:251" ht="14.1" customHeight="1">
      <c r="A556" s="888"/>
      <c r="B556" s="889"/>
      <c r="C556" s="879"/>
      <c r="D556" s="874"/>
      <c r="E556" s="360"/>
      <c r="F556" s="308"/>
    </row>
    <row r="557" spans="1:251" ht="14.1" customHeight="1">
      <c r="A557" s="888"/>
      <c r="B557" s="936"/>
      <c r="C557" s="937"/>
      <c r="D557" s="938"/>
      <c r="E557" s="360"/>
      <c r="F557" s="308"/>
    </row>
    <row r="558" spans="1:251" ht="14.1" customHeight="1">
      <c r="A558" s="888"/>
      <c r="B558" s="939"/>
      <c r="C558" s="940"/>
      <c r="D558" s="941"/>
      <c r="E558" s="360"/>
      <c r="F558" s="308"/>
    </row>
    <row r="559" spans="1:251" ht="14.1" customHeight="1">
      <c r="A559" s="888"/>
      <c r="B559" s="939"/>
      <c r="C559" s="940"/>
      <c r="D559" s="941"/>
      <c r="E559" s="360"/>
      <c r="F559" s="308"/>
    </row>
    <row r="560" spans="1:251" s="841" customFormat="1" ht="15" customHeight="1">
      <c r="A560" s="842" t="s">
        <v>1667</v>
      </c>
      <c r="B560" s="843"/>
      <c r="C560" s="844" t="s">
        <v>1982</v>
      </c>
      <c r="D560" s="842"/>
      <c r="E560" s="235"/>
      <c r="F560" s="481"/>
      <c r="G560" s="840"/>
      <c r="H560" s="840"/>
      <c r="I560" s="840"/>
      <c r="J560" s="840"/>
      <c r="K560" s="840"/>
      <c r="L560" s="840"/>
      <c r="M560" s="840"/>
      <c r="N560" s="848"/>
      <c r="O560" s="848"/>
      <c r="P560" s="848"/>
      <c r="Q560" s="848"/>
      <c r="R560" s="848"/>
      <c r="S560" s="848"/>
      <c r="T560" s="848"/>
      <c r="U560" s="848"/>
      <c r="V560" s="848"/>
      <c r="W560" s="848"/>
      <c r="X560" s="848"/>
      <c r="Y560" s="848"/>
      <c r="Z560" s="848"/>
      <c r="AA560" s="848"/>
      <c r="AB560" s="848"/>
      <c r="AC560" s="848"/>
      <c r="AD560" s="848"/>
      <c r="AE560" s="848"/>
      <c r="AF560" s="848"/>
      <c r="AG560" s="848"/>
      <c r="AH560" s="848"/>
      <c r="AI560" s="848"/>
      <c r="AJ560" s="848"/>
      <c r="AK560" s="848"/>
      <c r="AL560" s="848"/>
      <c r="AM560" s="848"/>
      <c r="AN560" s="848"/>
      <c r="AO560" s="848"/>
      <c r="AP560" s="848"/>
      <c r="AQ560" s="848"/>
      <c r="AR560" s="848"/>
      <c r="AS560" s="848"/>
      <c r="AT560" s="848"/>
      <c r="AU560" s="848"/>
      <c r="AV560" s="848"/>
      <c r="AW560" s="848"/>
      <c r="AX560" s="848"/>
      <c r="AY560" s="848"/>
      <c r="AZ560" s="848"/>
      <c r="BA560" s="848"/>
      <c r="BB560" s="848"/>
      <c r="BC560" s="848"/>
      <c r="BD560" s="848"/>
      <c r="BE560" s="848"/>
      <c r="BF560" s="848"/>
      <c r="BG560" s="848"/>
      <c r="BH560" s="848"/>
      <c r="BI560" s="848"/>
      <c r="BJ560" s="848"/>
      <c r="BK560" s="848"/>
      <c r="BL560" s="848"/>
      <c r="BM560" s="848"/>
      <c r="BN560" s="848"/>
      <c r="BO560" s="848"/>
      <c r="BP560" s="848"/>
      <c r="BQ560" s="848"/>
      <c r="BR560" s="848"/>
      <c r="BS560" s="848"/>
      <c r="BT560" s="848"/>
      <c r="BU560" s="848"/>
      <c r="BV560" s="848"/>
      <c r="BW560" s="848"/>
      <c r="BX560" s="848"/>
      <c r="BY560" s="848"/>
      <c r="BZ560" s="848"/>
      <c r="CA560" s="848"/>
      <c r="CB560" s="848"/>
      <c r="CC560" s="848"/>
      <c r="CD560" s="848"/>
      <c r="CE560" s="848"/>
      <c r="CF560" s="848"/>
      <c r="CG560" s="848"/>
      <c r="CH560" s="848"/>
      <c r="CI560" s="848"/>
      <c r="CJ560" s="848"/>
      <c r="CK560" s="848"/>
      <c r="CL560" s="848"/>
      <c r="CM560" s="848"/>
      <c r="CN560" s="848"/>
      <c r="CO560" s="848"/>
      <c r="CP560" s="848"/>
      <c r="CQ560" s="848"/>
      <c r="CR560" s="848"/>
      <c r="CS560" s="848"/>
      <c r="CT560" s="848"/>
      <c r="CU560" s="848"/>
      <c r="CV560" s="848"/>
      <c r="CW560" s="848"/>
      <c r="CX560" s="848"/>
      <c r="CY560" s="848"/>
      <c r="CZ560" s="848"/>
      <c r="DA560" s="848"/>
      <c r="DB560" s="848"/>
      <c r="DC560" s="848"/>
      <c r="DD560" s="848"/>
      <c r="DE560" s="848"/>
      <c r="DF560" s="848"/>
      <c r="DG560" s="848"/>
      <c r="DH560" s="848"/>
      <c r="DI560" s="848"/>
      <c r="DJ560" s="848"/>
      <c r="DK560" s="848"/>
      <c r="DL560" s="848"/>
      <c r="DM560" s="848"/>
      <c r="DN560" s="848"/>
      <c r="DO560" s="848"/>
      <c r="DP560" s="848"/>
      <c r="DQ560" s="848"/>
      <c r="DR560" s="848"/>
      <c r="DS560" s="848"/>
      <c r="DT560" s="848"/>
      <c r="DU560" s="848"/>
      <c r="DV560" s="848"/>
      <c r="DW560" s="848"/>
      <c r="DX560" s="848"/>
      <c r="DY560" s="848"/>
      <c r="DZ560" s="848"/>
      <c r="EA560" s="848"/>
      <c r="EB560" s="848"/>
      <c r="EC560" s="848"/>
      <c r="ED560" s="848"/>
      <c r="EE560" s="848"/>
      <c r="EF560" s="848"/>
      <c r="EG560" s="848"/>
      <c r="EH560" s="848"/>
      <c r="EI560" s="848"/>
      <c r="EJ560" s="848"/>
      <c r="EK560" s="848"/>
      <c r="EL560" s="848"/>
      <c r="EM560" s="848"/>
      <c r="EN560" s="848"/>
      <c r="EO560" s="848"/>
      <c r="EP560" s="848"/>
      <c r="EQ560" s="848"/>
      <c r="ER560" s="848"/>
      <c r="ES560" s="848"/>
      <c r="ET560" s="848"/>
      <c r="EU560" s="848"/>
      <c r="EV560" s="848"/>
      <c r="EW560" s="848"/>
      <c r="EX560" s="848"/>
      <c r="EY560" s="848"/>
      <c r="EZ560" s="848"/>
      <c r="FA560" s="848"/>
      <c r="FB560" s="848"/>
      <c r="FC560" s="848"/>
      <c r="FD560" s="848"/>
      <c r="FE560" s="848"/>
      <c r="FF560" s="848"/>
      <c r="FG560" s="848"/>
      <c r="FH560" s="848"/>
      <c r="FI560" s="848"/>
      <c r="FJ560" s="848"/>
      <c r="FK560" s="848"/>
      <c r="FL560" s="848"/>
      <c r="FM560" s="848"/>
      <c r="FN560" s="848"/>
      <c r="FO560" s="848"/>
      <c r="FP560" s="848"/>
      <c r="FQ560" s="848"/>
      <c r="FR560" s="848"/>
      <c r="FS560" s="848"/>
      <c r="FT560" s="848"/>
      <c r="FU560" s="848"/>
      <c r="FV560" s="848"/>
      <c r="FW560" s="848"/>
      <c r="FX560" s="848"/>
      <c r="FY560" s="848"/>
      <c r="FZ560" s="848"/>
      <c r="GA560" s="848"/>
      <c r="GB560" s="848"/>
      <c r="GC560" s="848"/>
      <c r="GD560" s="848"/>
      <c r="GE560" s="848"/>
      <c r="GF560" s="848"/>
      <c r="GG560" s="848"/>
      <c r="GH560" s="848"/>
      <c r="GI560" s="848"/>
      <c r="GJ560" s="848"/>
      <c r="GK560" s="848"/>
      <c r="GL560" s="848"/>
      <c r="GM560" s="848"/>
      <c r="GN560" s="848"/>
      <c r="GO560" s="848"/>
      <c r="GP560" s="848"/>
      <c r="GQ560" s="848"/>
      <c r="GR560" s="848"/>
      <c r="GS560" s="848"/>
      <c r="GT560" s="848"/>
      <c r="GU560" s="848"/>
      <c r="GV560" s="848"/>
      <c r="GW560" s="848"/>
      <c r="GX560" s="848"/>
      <c r="GY560" s="848"/>
      <c r="GZ560" s="848"/>
      <c r="HA560" s="848"/>
      <c r="HB560" s="848"/>
      <c r="HC560" s="848"/>
      <c r="HD560" s="848"/>
      <c r="HE560" s="848"/>
      <c r="HF560" s="848"/>
      <c r="HG560" s="848"/>
      <c r="HH560" s="848"/>
      <c r="HI560" s="848"/>
      <c r="HJ560" s="848"/>
      <c r="HK560" s="848"/>
      <c r="HL560" s="848"/>
      <c r="HM560" s="848"/>
      <c r="HN560" s="848"/>
      <c r="HO560" s="848"/>
      <c r="HP560" s="848"/>
      <c r="HQ560" s="848"/>
      <c r="HR560" s="848"/>
      <c r="HS560" s="848"/>
      <c r="HT560" s="848"/>
      <c r="HU560" s="848"/>
      <c r="HV560" s="848"/>
      <c r="HW560" s="848"/>
      <c r="HX560" s="848"/>
      <c r="HY560" s="848"/>
      <c r="HZ560" s="848"/>
      <c r="IA560" s="848"/>
      <c r="IB560" s="848"/>
      <c r="IC560" s="848"/>
      <c r="ID560" s="848"/>
      <c r="IE560" s="848"/>
      <c r="IF560" s="848"/>
      <c r="IG560" s="848"/>
      <c r="IH560" s="848"/>
      <c r="II560" s="848"/>
      <c r="IJ560" s="848"/>
      <c r="IK560" s="848"/>
      <c r="IL560" s="848"/>
      <c r="IM560" s="848"/>
      <c r="IN560" s="848"/>
      <c r="IO560" s="848"/>
      <c r="IP560" s="848"/>
      <c r="IQ560" s="848"/>
    </row>
    <row r="561" spans="1:251" s="857" customFormat="1" ht="15" customHeight="1">
      <c r="A561" s="849" t="s">
        <v>1963</v>
      </c>
      <c r="B561" s="850"/>
      <c r="C561" s="942"/>
      <c r="D561" s="851"/>
      <c r="E561" s="286"/>
      <c r="F561" s="482"/>
      <c r="G561" s="855"/>
      <c r="H561" s="855"/>
      <c r="I561" s="855"/>
      <c r="J561" s="855"/>
      <c r="K561" s="855"/>
      <c r="L561" s="855"/>
      <c r="M561" s="855"/>
      <c r="N561" s="856"/>
      <c r="O561" s="856"/>
      <c r="P561" s="856"/>
      <c r="Q561" s="856"/>
      <c r="R561" s="856"/>
      <c r="S561" s="856"/>
      <c r="T561" s="856"/>
      <c r="U561" s="856"/>
      <c r="V561" s="856"/>
      <c r="W561" s="856"/>
      <c r="X561" s="856"/>
      <c r="Y561" s="856"/>
      <c r="Z561" s="856"/>
      <c r="AA561" s="856"/>
      <c r="AB561" s="856"/>
      <c r="AC561" s="856"/>
      <c r="AD561" s="856"/>
      <c r="AE561" s="856"/>
      <c r="AF561" s="856"/>
      <c r="AG561" s="856"/>
      <c r="AH561" s="856"/>
      <c r="AI561" s="856"/>
      <c r="AJ561" s="856"/>
      <c r="AK561" s="856"/>
      <c r="AL561" s="856"/>
      <c r="AM561" s="856"/>
      <c r="AN561" s="856"/>
      <c r="AO561" s="856"/>
      <c r="AP561" s="856"/>
      <c r="AQ561" s="856"/>
      <c r="AR561" s="856"/>
      <c r="AS561" s="856"/>
      <c r="AT561" s="856"/>
      <c r="AU561" s="856"/>
      <c r="AV561" s="856"/>
      <c r="AW561" s="856"/>
      <c r="AX561" s="856"/>
      <c r="AY561" s="856"/>
      <c r="AZ561" s="856"/>
      <c r="BA561" s="856"/>
      <c r="BB561" s="856"/>
      <c r="BC561" s="856"/>
      <c r="BD561" s="856"/>
      <c r="BE561" s="856"/>
      <c r="BF561" s="856"/>
      <c r="BG561" s="856"/>
      <c r="BH561" s="856"/>
      <c r="BI561" s="856"/>
      <c r="BJ561" s="856"/>
      <c r="BK561" s="856"/>
      <c r="BL561" s="856"/>
      <c r="BM561" s="856"/>
      <c r="BN561" s="856"/>
      <c r="BO561" s="856"/>
      <c r="BP561" s="856"/>
      <c r="BQ561" s="856"/>
      <c r="BR561" s="856"/>
      <c r="BS561" s="856"/>
      <c r="BT561" s="856"/>
      <c r="BU561" s="856"/>
      <c r="BV561" s="856"/>
      <c r="BW561" s="856"/>
      <c r="BX561" s="856"/>
      <c r="BY561" s="856"/>
      <c r="BZ561" s="856"/>
      <c r="CA561" s="856"/>
      <c r="CB561" s="856"/>
      <c r="CC561" s="856"/>
      <c r="CD561" s="856"/>
      <c r="CE561" s="856"/>
      <c r="CF561" s="856"/>
      <c r="CG561" s="856"/>
      <c r="CH561" s="856"/>
      <c r="CI561" s="856"/>
      <c r="CJ561" s="856"/>
      <c r="CK561" s="856"/>
      <c r="CL561" s="856"/>
      <c r="CM561" s="856"/>
      <c r="CN561" s="856"/>
      <c r="CO561" s="856"/>
      <c r="CP561" s="856"/>
      <c r="CQ561" s="856"/>
      <c r="CR561" s="856"/>
      <c r="CS561" s="856"/>
      <c r="CT561" s="856"/>
      <c r="CU561" s="856"/>
      <c r="CV561" s="856"/>
      <c r="CW561" s="856"/>
      <c r="CX561" s="856"/>
      <c r="CY561" s="856"/>
      <c r="CZ561" s="856"/>
      <c r="DA561" s="856"/>
      <c r="DB561" s="856"/>
      <c r="DC561" s="856"/>
      <c r="DD561" s="856"/>
      <c r="DE561" s="856"/>
      <c r="DF561" s="856"/>
      <c r="DG561" s="856"/>
      <c r="DH561" s="856"/>
      <c r="DI561" s="856"/>
      <c r="DJ561" s="856"/>
      <c r="DK561" s="856"/>
      <c r="DL561" s="856"/>
      <c r="DM561" s="856"/>
      <c r="DN561" s="856"/>
      <c r="DO561" s="856"/>
      <c r="DP561" s="856"/>
      <c r="DQ561" s="856"/>
      <c r="DR561" s="856"/>
      <c r="DS561" s="856"/>
      <c r="DT561" s="856"/>
      <c r="DU561" s="856"/>
      <c r="DV561" s="856"/>
      <c r="DW561" s="856"/>
      <c r="DX561" s="856"/>
      <c r="DY561" s="856"/>
      <c r="DZ561" s="856"/>
      <c r="EA561" s="856"/>
      <c r="EB561" s="856"/>
      <c r="EC561" s="856"/>
      <c r="ED561" s="856"/>
      <c r="EE561" s="856"/>
      <c r="EF561" s="856"/>
      <c r="EG561" s="856"/>
      <c r="EH561" s="856"/>
      <c r="EI561" s="856"/>
      <c r="EJ561" s="856"/>
      <c r="EK561" s="856"/>
      <c r="EL561" s="856"/>
      <c r="EM561" s="856"/>
      <c r="EN561" s="856"/>
      <c r="EO561" s="856"/>
      <c r="EP561" s="856"/>
      <c r="EQ561" s="856"/>
      <c r="ER561" s="856"/>
      <c r="ES561" s="856"/>
      <c r="ET561" s="856"/>
      <c r="EU561" s="856"/>
      <c r="EV561" s="856"/>
      <c r="EW561" s="856"/>
      <c r="EX561" s="856"/>
      <c r="EY561" s="856"/>
      <c r="EZ561" s="856"/>
      <c r="FA561" s="856"/>
      <c r="FB561" s="856"/>
      <c r="FC561" s="856"/>
      <c r="FD561" s="856"/>
      <c r="FE561" s="856"/>
      <c r="FF561" s="856"/>
      <c r="FG561" s="856"/>
      <c r="FH561" s="856"/>
      <c r="FI561" s="856"/>
      <c r="FJ561" s="856"/>
      <c r="FK561" s="856"/>
      <c r="FL561" s="856"/>
      <c r="FM561" s="856"/>
      <c r="FN561" s="856"/>
      <c r="FO561" s="856"/>
      <c r="FP561" s="856"/>
      <c r="FQ561" s="856"/>
      <c r="FR561" s="856"/>
      <c r="FS561" s="856"/>
      <c r="FT561" s="856"/>
      <c r="FU561" s="856"/>
      <c r="FV561" s="856"/>
      <c r="FW561" s="856"/>
      <c r="FX561" s="856"/>
      <c r="FY561" s="856"/>
      <c r="FZ561" s="856"/>
      <c r="GA561" s="856"/>
      <c r="GB561" s="856"/>
      <c r="GC561" s="856"/>
      <c r="GD561" s="856"/>
      <c r="GE561" s="856"/>
      <c r="GF561" s="856"/>
      <c r="GG561" s="856"/>
      <c r="GH561" s="856"/>
      <c r="GI561" s="856"/>
      <c r="GJ561" s="856"/>
      <c r="GK561" s="856"/>
      <c r="GL561" s="856"/>
      <c r="GM561" s="856"/>
      <c r="GN561" s="856"/>
      <c r="GO561" s="856"/>
      <c r="GP561" s="856"/>
      <c r="GQ561" s="856"/>
      <c r="GR561" s="856"/>
      <c r="GS561" s="856"/>
      <c r="GT561" s="856"/>
      <c r="GU561" s="856"/>
      <c r="GV561" s="856"/>
      <c r="GW561" s="856"/>
      <c r="GX561" s="856"/>
      <c r="GY561" s="856"/>
      <c r="GZ561" s="856"/>
      <c r="HA561" s="856"/>
      <c r="HB561" s="856"/>
      <c r="HC561" s="856"/>
      <c r="HD561" s="856"/>
      <c r="HE561" s="856"/>
      <c r="HF561" s="856"/>
      <c r="HG561" s="856"/>
      <c r="HH561" s="856"/>
      <c r="HI561" s="856"/>
      <c r="HJ561" s="856"/>
      <c r="HK561" s="856"/>
      <c r="HL561" s="856"/>
      <c r="HM561" s="856"/>
      <c r="HN561" s="856"/>
      <c r="HO561" s="856"/>
      <c r="HP561" s="856"/>
      <c r="HQ561" s="856"/>
      <c r="HR561" s="856"/>
      <c r="HS561" s="856"/>
      <c r="HT561" s="856"/>
      <c r="HU561" s="856"/>
      <c r="HV561" s="856"/>
      <c r="HW561" s="856"/>
      <c r="HX561" s="856"/>
      <c r="HY561" s="856"/>
      <c r="HZ561" s="856"/>
      <c r="IA561" s="856"/>
      <c r="IB561" s="856"/>
      <c r="IC561" s="856"/>
      <c r="ID561" s="856"/>
      <c r="IE561" s="856"/>
      <c r="IF561" s="856"/>
      <c r="IG561" s="856"/>
      <c r="IH561" s="856"/>
      <c r="II561" s="856"/>
      <c r="IJ561" s="856"/>
      <c r="IK561" s="856"/>
      <c r="IL561" s="856"/>
      <c r="IM561" s="856"/>
      <c r="IN561" s="856"/>
      <c r="IO561" s="856"/>
      <c r="IP561" s="856"/>
      <c r="IQ561" s="856"/>
    </row>
    <row r="562" spans="1:251" s="860" customFormat="1">
      <c r="A562" s="858" t="s">
        <v>512</v>
      </c>
      <c r="B562" s="859" t="s">
        <v>513</v>
      </c>
      <c r="C562" s="201" t="s">
        <v>514</v>
      </c>
      <c r="D562" s="858" t="s">
        <v>515</v>
      </c>
      <c r="E562" s="202" t="s">
        <v>516</v>
      </c>
      <c r="F562" s="203" t="s">
        <v>1670</v>
      </c>
      <c r="G562" s="841"/>
      <c r="N562" s="861"/>
      <c r="O562" s="861"/>
      <c r="P562" s="861"/>
      <c r="Q562" s="861"/>
      <c r="R562" s="861"/>
      <c r="S562" s="861"/>
      <c r="T562" s="861"/>
      <c r="U562" s="861"/>
      <c r="V562" s="861"/>
      <c r="W562" s="861"/>
      <c r="X562" s="861"/>
      <c r="Y562" s="861"/>
      <c r="Z562" s="861"/>
      <c r="AA562" s="861"/>
      <c r="AB562" s="861"/>
      <c r="AC562" s="861"/>
      <c r="AD562" s="861"/>
      <c r="AE562" s="861"/>
      <c r="AF562" s="861"/>
      <c r="AG562" s="861"/>
      <c r="AH562" s="861"/>
      <c r="AI562" s="861"/>
      <c r="AJ562" s="861"/>
      <c r="AK562" s="861"/>
      <c r="AL562" s="861"/>
      <c r="AM562" s="861"/>
      <c r="AN562" s="861"/>
      <c r="AO562" s="861"/>
      <c r="AP562" s="861"/>
      <c r="AQ562" s="861"/>
      <c r="AR562" s="861"/>
      <c r="AS562" s="861"/>
      <c r="AT562" s="861"/>
      <c r="AU562" s="861"/>
      <c r="AV562" s="861"/>
      <c r="AW562" s="861"/>
      <c r="AX562" s="861"/>
      <c r="AY562" s="861"/>
      <c r="AZ562" s="861"/>
      <c r="BA562" s="861"/>
      <c r="BB562" s="861"/>
      <c r="BC562" s="861"/>
      <c r="BD562" s="861"/>
      <c r="BE562" s="861"/>
      <c r="BF562" s="861"/>
      <c r="BG562" s="861"/>
      <c r="BH562" s="861"/>
    </row>
    <row r="563" spans="1:251" ht="14.1" customHeight="1">
      <c r="A563" s="862"/>
      <c r="B563" s="863"/>
      <c r="C563" s="864" t="s">
        <v>1983</v>
      </c>
      <c r="D563" s="865"/>
      <c r="E563" s="450"/>
      <c r="F563" s="483"/>
      <c r="BI563" s="829"/>
      <c r="BJ563" s="829"/>
      <c r="BK563" s="829"/>
      <c r="BL563" s="829"/>
      <c r="BM563" s="829"/>
      <c r="BN563" s="829"/>
      <c r="BO563" s="829"/>
      <c r="BP563" s="829"/>
      <c r="BQ563" s="829"/>
      <c r="BR563" s="829"/>
      <c r="BS563" s="829"/>
      <c r="BT563" s="829"/>
      <c r="BU563" s="829"/>
      <c r="BV563" s="829"/>
      <c r="BW563" s="829"/>
      <c r="BX563" s="829"/>
      <c r="BY563" s="829"/>
      <c r="BZ563" s="829"/>
      <c r="CA563" s="829"/>
      <c r="CB563" s="829"/>
      <c r="CC563" s="829"/>
      <c r="CD563" s="829"/>
      <c r="CE563" s="829"/>
      <c r="CF563" s="829"/>
      <c r="CG563" s="829"/>
      <c r="CH563" s="829"/>
      <c r="CI563" s="829"/>
      <c r="CJ563" s="829"/>
      <c r="CK563" s="829"/>
      <c r="CL563" s="829"/>
      <c r="CM563" s="829"/>
      <c r="CN563" s="829"/>
      <c r="CO563" s="829"/>
      <c r="CP563" s="829"/>
      <c r="CQ563" s="829"/>
      <c r="CR563" s="829"/>
      <c r="CS563" s="829"/>
      <c r="CT563" s="829"/>
      <c r="CU563" s="829"/>
      <c r="CV563" s="829"/>
      <c r="CW563" s="829"/>
      <c r="CX563" s="829"/>
      <c r="CY563" s="829"/>
      <c r="CZ563" s="829"/>
      <c r="DA563" s="829"/>
      <c r="DB563" s="829"/>
      <c r="DC563" s="829"/>
      <c r="DD563" s="829"/>
      <c r="DE563" s="829"/>
      <c r="DF563" s="829"/>
      <c r="DG563" s="829"/>
      <c r="DH563" s="829"/>
      <c r="DI563" s="829"/>
      <c r="DJ563" s="829"/>
      <c r="DK563" s="829"/>
      <c r="DL563" s="829"/>
      <c r="DM563" s="829"/>
      <c r="DN563" s="829"/>
      <c r="DO563" s="829"/>
      <c r="DP563" s="829"/>
      <c r="DQ563" s="829"/>
      <c r="DR563" s="829"/>
      <c r="DS563" s="829"/>
      <c r="DT563" s="829"/>
      <c r="DU563" s="829"/>
      <c r="DV563" s="829"/>
      <c r="DW563" s="829"/>
      <c r="DX563" s="829"/>
      <c r="DY563" s="829"/>
      <c r="DZ563" s="829"/>
      <c r="EA563" s="829"/>
      <c r="EB563" s="829"/>
      <c r="EC563" s="829"/>
      <c r="ED563" s="829"/>
      <c r="EE563" s="829"/>
      <c r="EF563" s="829"/>
      <c r="EG563" s="829"/>
      <c r="EH563" s="829"/>
      <c r="EI563" s="829"/>
      <c r="EJ563" s="829"/>
      <c r="EK563" s="829"/>
      <c r="EL563" s="829"/>
      <c r="EM563" s="829"/>
      <c r="EN563" s="829"/>
      <c r="EO563" s="829"/>
      <c r="EP563" s="829"/>
      <c r="EQ563" s="829"/>
      <c r="ER563" s="829"/>
      <c r="ES563" s="829"/>
      <c r="ET563" s="829"/>
      <c r="EU563" s="829"/>
      <c r="EV563" s="829"/>
      <c r="EW563" s="829"/>
      <c r="EX563" s="829"/>
      <c r="EY563" s="829"/>
      <c r="EZ563" s="829"/>
      <c r="FA563" s="829"/>
      <c r="FB563" s="829"/>
      <c r="FC563" s="829"/>
      <c r="FD563" s="829"/>
      <c r="FE563" s="829"/>
      <c r="FF563" s="829"/>
      <c r="FG563" s="829"/>
      <c r="FH563" s="829"/>
      <c r="FI563" s="829"/>
      <c r="FJ563" s="829"/>
      <c r="FK563" s="829"/>
      <c r="FL563" s="829"/>
      <c r="FM563" s="829"/>
      <c r="FN563" s="829"/>
      <c r="FO563" s="829"/>
      <c r="FP563" s="829"/>
      <c r="FQ563" s="829"/>
      <c r="FR563" s="829"/>
      <c r="FS563" s="829"/>
      <c r="FT563" s="829"/>
      <c r="FU563" s="829"/>
      <c r="FV563" s="829"/>
      <c r="FW563" s="829"/>
      <c r="FX563" s="829"/>
      <c r="FY563" s="829"/>
      <c r="FZ563" s="829"/>
      <c r="GA563" s="829"/>
      <c r="GB563" s="829"/>
      <c r="GC563" s="829"/>
      <c r="GD563" s="829"/>
      <c r="GE563" s="829"/>
      <c r="GF563" s="829"/>
      <c r="GG563" s="829"/>
      <c r="GH563" s="829"/>
      <c r="GI563" s="829"/>
      <c r="GJ563" s="829"/>
      <c r="GK563" s="829"/>
      <c r="GL563" s="829"/>
      <c r="GM563" s="829"/>
      <c r="GN563" s="829"/>
      <c r="GO563" s="829"/>
      <c r="GP563" s="829"/>
      <c r="GQ563" s="829"/>
      <c r="GR563" s="829"/>
      <c r="GS563" s="829"/>
      <c r="GT563" s="829"/>
      <c r="GU563" s="829"/>
      <c r="GV563" s="829"/>
      <c r="GW563" s="829"/>
      <c r="GX563" s="829"/>
      <c r="GY563" s="829"/>
      <c r="GZ563" s="829"/>
      <c r="HA563" s="829"/>
      <c r="HB563" s="829"/>
      <c r="HC563" s="829"/>
      <c r="HD563" s="829"/>
      <c r="HE563" s="829"/>
      <c r="HF563" s="829"/>
      <c r="HG563" s="829"/>
      <c r="HH563" s="829"/>
      <c r="HI563" s="829"/>
      <c r="HJ563" s="829"/>
      <c r="HK563" s="829"/>
      <c r="HL563" s="829"/>
      <c r="HM563" s="829"/>
      <c r="HN563" s="829"/>
      <c r="HO563" s="829"/>
      <c r="HP563" s="829"/>
      <c r="HQ563" s="829"/>
      <c r="HR563" s="829"/>
      <c r="HS563" s="829"/>
      <c r="HT563" s="829"/>
      <c r="HU563" s="829"/>
      <c r="HV563" s="829"/>
      <c r="HW563" s="829"/>
      <c r="HX563" s="829"/>
      <c r="HY563" s="829"/>
      <c r="HZ563" s="829"/>
      <c r="IA563" s="829"/>
      <c r="IB563" s="829"/>
      <c r="IC563" s="829"/>
      <c r="ID563" s="829"/>
      <c r="IE563" s="829"/>
      <c r="IF563" s="829"/>
      <c r="IG563" s="829"/>
      <c r="IH563" s="829"/>
      <c r="II563" s="829"/>
      <c r="IJ563" s="829"/>
      <c r="IK563" s="829"/>
      <c r="IL563" s="829"/>
      <c r="IM563" s="829"/>
      <c r="IN563" s="829"/>
      <c r="IO563" s="829"/>
      <c r="IP563" s="829"/>
      <c r="IQ563" s="829"/>
    </row>
    <row r="564" spans="1:251" ht="14.1" customHeight="1">
      <c r="A564" s="888"/>
      <c r="B564" s="943" t="s">
        <v>1984</v>
      </c>
      <c r="C564" s="944" t="s">
        <v>1985</v>
      </c>
      <c r="D564" s="945" t="s">
        <v>1986</v>
      </c>
      <c r="E564" s="360">
        <f>'[4]COSTO CDMX,QRO,GDL '!I560</f>
        <v>5700</v>
      </c>
      <c r="F564" s="217" t="s">
        <v>1968</v>
      </c>
      <c r="H564" s="934"/>
      <c r="BI564" s="829"/>
      <c r="BJ564" s="829"/>
      <c r="BK564" s="829"/>
      <c r="BL564" s="829"/>
      <c r="BM564" s="829"/>
      <c r="BN564" s="829"/>
      <c r="BO564" s="829"/>
      <c r="BP564" s="829"/>
      <c r="BQ564" s="829"/>
      <c r="BR564" s="829"/>
      <c r="BS564" s="829"/>
      <c r="BT564" s="829"/>
      <c r="BU564" s="829"/>
      <c r="BV564" s="829"/>
      <c r="BW564" s="829"/>
      <c r="BX564" s="829"/>
      <c r="BY564" s="829"/>
      <c r="BZ564" s="829"/>
      <c r="CA564" s="829"/>
      <c r="CB564" s="829"/>
      <c r="CC564" s="829"/>
      <c r="CD564" s="829"/>
      <c r="CE564" s="829"/>
      <c r="CF564" s="829"/>
      <c r="CG564" s="829"/>
      <c r="CH564" s="829"/>
      <c r="CI564" s="829"/>
      <c r="CJ564" s="829"/>
      <c r="CK564" s="829"/>
      <c r="CL564" s="829"/>
      <c r="CM564" s="829"/>
      <c r="CN564" s="829"/>
      <c r="CO564" s="829"/>
      <c r="CP564" s="829"/>
      <c r="CQ564" s="829"/>
      <c r="CR564" s="829"/>
      <c r="CS564" s="829"/>
      <c r="CT564" s="829"/>
      <c r="CU564" s="829"/>
      <c r="CV564" s="829"/>
      <c r="CW564" s="829"/>
      <c r="CX564" s="829"/>
      <c r="CY564" s="829"/>
      <c r="CZ564" s="829"/>
      <c r="DA564" s="829"/>
      <c r="DB564" s="829"/>
      <c r="DC564" s="829"/>
      <c r="DD564" s="829"/>
      <c r="DE564" s="829"/>
      <c r="DF564" s="829"/>
      <c r="DG564" s="829"/>
      <c r="DH564" s="829"/>
      <c r="DI564" s="829"/>
      <c r="DJ564" s="829"/>
      <c r="DK564" s="829"/>
      <c r="DL564" s="829"/>
      <c r="DM564" s="829"/>
      <c r="DN564" s="829"/>
      <c r="DO564" s="829"/>
      <c r="DP564" s="829"/>
      <c r="DQ564" s="829"/>
      <c r="DR564" s="829"/>
      <c r="DS564" s="829"/>
      <c r="DT564" s="829"/>
      <c r="DU564" s="829"/>
      <c r="DV564" s="829"/>
      <c r="DW564" s="829"/>
      <c r="DX564" s="829"/>
      <c r="DY564" s="829"/>
      <c r="DZ564" s="829"/>
      <c r="EA564" s="829"/>
      <c r="EB564" s="829"/>
      <c r="EC564" s="829"/>
      <c r="ED564" s="829"/>
      <c r="EE564" s="829"/>
      <c r="EF564" s="829"/>
      <c r="EG564" s="829"/>
      <c r="EH564" s="829"/>
      <c r="EI564" s="829"/>
      <c r="EJ564" s="829"/>
      <c r="EK564" s="829"/>
      <c r="EL564" s="829"/>
      <c r="EM564" s="829"/>
      <c r="EN564" s="829"/>
      <c r="EO564" s="829"/>
      <c r="EP564" s="829"/>
      <c r="EQ564" s="829"/>
      <c r="ER564" s="829"/>
      <c r="ES564" s="829"/>
      <c r="ET564" s="829"/>
      <c r="EU564" s="829"/>
      <c r="EV564" s="829"/>
      <c r="EW564" s="829"/>
      <c r="EX564" s="829"/>
      <c r="EY564" s="829"/>
      <c r="EZ564" s="829"/>
      <c r="FA564" s="829"/>
      <c r="FB564" s="829"/>
      <c r="FC564" s="829"/>
      <c r="FD564" s="829"/>
      <c r="FE564" s="829"/>
      <c r="FF564" s="829"/>
      <c r="FG564" s="829"/>
      <c r="FH564" s="829"/>
      <c r="FI564" s="829"/>
      <c r="FJ564" s="829"/>
      <c r="FK564" s="829"/>
      <c r="FL564" s="829"/>
      <c r="FM564" s="829"/>
      <c r="FN564" s="829"/>
      <c r="FO564" s="829"/>
      <c r="FP564" s="829"/>
      <c r="FQ564" s="829"/>
      <c r="FR564" s="829"/>
      <c r="FS564" s="829"/>
      <c r="FT564" s="829"/>
      <c r="FU564" s="829"/>
      <c r="FV564" s="829"/>
      <c r="FW564" s="829"/>
      <c r="FX564" s="829"/>
      <c r="FY564" s="829"/>
      <c r="FZ564" s="829"/>
      <c r="GA564" s="829"/>
      <c r="GB564" s="829"/>
      <c r="GC564" s="829"/>
      <c r="GD564" s="829"/>
      <c r="GE564" s="829"/>
      <c r="GF564" s="829"/>
      <c r="GG564" s="829"/>
      <c r="GH564" s="829"/>
      <c r="GI564" s="829"/>
      <c r="GJ564" s="829"/>
      <c r="GK564" s="829"/>
      <c r="GL564" s="829"/>
      <c r="GM564" s="829"/>
      <c r="GN564" s="829"/>
      <c r="GO564" s="829"/>
      <c r="GP564" s="829"/>
      <c r="GQ564" s="829"/>
      <c r="GR564" s="829"/>
      <c r="GS564" s="829"/>
      <c r="GT564" s="829"/>
      <c r="GU564" s="829"/>
      <c r="GV564" s="829"/>
      <c r="GW564" s="829"/>
      <c r="GX564" s="829"/>
      <c r="GY564" s="829"/>
      <c r="GZ564" s="829"/>
      <c r="HA564" s="829"/>
      <c r="HB564" s="829"/>
      <c r="HC564" s="829"/>
      <c r="HD564" s="829"/>
      <c r="HE564" s="829"/>
      <c r="HF564" s="829"/>
      <c r="HG564" s="829"/>
      <c r="HH564" s="829"/>
      <c r="HI564" s="829"/>
      <c r="HJ564" s="829"/>
      <c r="HK564" s="829"/>
      <c r="HL564" s="829"/>
      <c r="HM564" s="829"/>
      <c r="HN564" s="829"/>
      <c r="HO564" s="829"/>
      <c r="HP564" s="829"/>
      <c r="HQ564" s="829"/>
      <c r="HR564" s="829"/>
      <c r="HS564" s="829"/>
      <c r="HT564" s="829"/>
      <c r="HU564" s="829"/>
      <c r="HV564" s="829"/>
      <c r="HW564" s="829"/>
      <c r="HX564" s="829"/>
      <c r="HY564" s="829"/>
      <c r="HZ564" s="829"/>
      <c r="IA564" s="829"/>
      <c r="IB564" s="829"/>
      <c r="IC564" s="829"/>
      <c r="ID564" s="829"/>
      <c r="IE564" s="829"/>
      <c r="IF564" s="829"/>
      <c r="IG564" s="829"/>
      <c r="IH564" s="829"/>
      <c r="II564" s="829"/>
      <c r="IJ564" s="829"/>
      <c r="IK564" s="829"/>
      <c r="IL564" s="829"/>
      <c r="IM564" s="829"/>
      <c r="IN564" s="829"/>
      <c r="IO564" s="829"/>
      <c r="IP564" s="829"/>
      <c r="IQ564" s="829"/>
    </row>
    <row r="565" spans="1:251" ht="14.1" customHeight="1">
      <c r="A565" s="888"/>
      <c r="B565" s="946"/>
      <c r="C565" s="944" t="s">
        <v>1987</v>
      </c>
      <c r="D565" s="945"/>
      <c r="E565" s="360"/>
      <c r="F565" s="308"/>
      <c r="BI565" s="829"/>
      <c r="BJ565" s="829"/>
      <c r="BK565" s="829"/>
      <c r="BL565" s="829"/>
      <c r="BM565" s="829"/>
      <c r="BN565" s="829"/>
      <c r="BO565" s="829"/>
      <c r="BP565" s="829"/>
      <c r="BQ565" s="829"/>
      <c r="BR565" s="829"/>
      <c r="BS565" s="829"/>
      <c r="BT565" s="829"/>
      <c r="BU565" s="829"/>
      <c r="BV565" s="829"/>
      <c r="BW565" s="829"/>
      <c r="BX565" s="829"/>
      <c r="BY565" s="829"/>
      <c r="BZ565" s="829"/>
      <c r="CA565" s="829"/>
      <c r="CB565" s="829"/>
      <c r="CC565" s="829"/>
      <c r="CD565" s="829"/>
      <c r="CE565" s="829"/>
      <c r="CF565" s="829"/>
      <c r="CG565" s="829"/>
      <c r="CH565" s="829"/>
      <c r="CI565" s="829"/>
      <c r="CJ565" s="829"/>
      <c r="CK565" s="829"/>
      <c r="CL565" s="829"/>
      <c r="CM565" s="829"/>
      <c r="CN565" s="829"/>
      <c r="CO565" s="829"/>
      <c r="CP565" s="829"/>
      <c r="CQ565" s="829"/>
      <c r="CR565" s="829"/>
      <c r="CS565" s="829"/>
      <c r="CT565" s="829"/>
      <c r="CU565" s="829"/>
      <c r="CV565" s="829"/>
      <c r="CW565" s="829"/>
      <c r="CX565" s="829"/>
      <c r="CY565" s="829"/>
      <c r="CZ565" s="829"/>
      <c r="DA565" s="829"/>
      <c r="DB565" s="829"/>
      <c r="DC565" s="829"/>
      <c r="DD565" s="829"/>
      <c r="DE565" s="829"/>
      <c r="DF565" s="829"/>
      <c r="DG565" s="829"/>
      <c r="DH565" s="829"/>
      <c r="DI565" s="829"/>
      <c r="DJ565" s="829"/>
      <c r="DK565" s="829"/>
      <c r="DL565" s="829"/>
      <c r="DM565" s="829"/>
      <c r="DN565" s="829"/>
      <c r="DO565" s="829"/>
      <c r="DP565" s="829"/>
      <c r="DQ565" s="829"/>
      <c r="DR565" s="829"/>
      <c r="DS565" s="829"/>
      <c r="DT565" s="829"/>
      <c r="DU565" s="829"/>
      <c r="DV565" s="829"/>
      <c r="DW565" s="829"/>
      <c r="DX565" s="829"/>
      <c r="DY565" s="829"/>
      <c r="DZ565" s="829"/>
      <c r="EA565" s="829"/>
      <c r="EB565" s="829"/>
      <c r="EC565" s="829"/>
      <c r="ED565" s="829"/>
      <c r="EE565" s="829"/>
      <c r="EF565" s="829"/>
      <c r="EG565" s="829"/>
      <c r="EH565" s="829"/>
      <c r="EI565" s="829"/>
      <c r="EJ565" s="829"/>
      <c r="EK565" s="829"/>
      <c r="EL565" s="829"/>
      <c r="EM565" s="829"/>
      <c r="EN565" s="829"/>
      <c r="EO565" s="829"/>
      <c r="EP565" s="829"/>
      <c r="EQ565" s="829"/>
      <c r="ER565" s="829"/>
      <c r="ES565" s="829"/>
      <c r="ET565" s="829"/>
      <c r="EU565" s="829"/>
      <c r="EV565" s="829"/>
      <c r="EW565" s="829"/>
      <c r="EX565" s="829"/>
      <c r="EY565" s="829"/>
      <c r="EZ565" s="829"/>
      <c r="FA565" s="829"/>
      <c r="FB565" s="829"/>
      <c r="FC565" s="829"/>
      <c r="FD565" s="829"/>
      <c r="FE565" s="829"/>
      <c r="FF565" s="829"/>
      <c r="FG565" s="829"/>
      <c r="FH565" s="829"/>
      <c r="FI565" s="829"/>
      <c r="FJ565" s="829"/>
      <c r="FK565" s="829"/>
      <c r="FL565" s="829"/>
      <c r="FM565" s="829"/>
      <c r="FN565" s="829"/>
      <c r="FO565" s="829"/>
      <c r="FP565" s="829"/>
      <c r="FQ565" s="829"/>
      <c r="FR565" s="829"/>
      <c r="FS565" s="829"/>
      <c r="FT565" s="829"/>
      <c r="FU565" s="829"/>
      <c r="FV565" s="829"/>
      <c r="FW565" s="829"/>
      <c r="FX565" s="829"/>
      <c r="FY565" s="829"/>
      <c r="FZ565" s="829"/>
      <c r="GA565" s="829"/>
      <c r="GB565" s="829"/>
      <c r="GC565" s="829"/>
      <c r="GD565" s="829"/>
      <c r="GE565" s="829"/>
      <c r="GF565" s="829"/>
      <c r="GG565" s="829"/>
      <c r="GH565" s="829"/>
      <c r="GI565" s="829"/>
      <c r="GJ565" s="829"/>
      <c r="GK565" s="829"/>
      <c r="GL565" s="829"/>
      <c r="GM565" s="829"/>
      <c r="GN565" s="829"/>
      <c r="GO565" s="829"/>
      <c r="GP565" s="829"/>
      <c r="GQ565" s="829"/>
      <c r="GR565" s="829"/>
      <c r="GS565" s="829"/>
      <c r="GT565" s="829"/>
      <c r="GU565" s="829"/>
      <c r="GV565" s="829"/>
      <c r="GW565" s="829"/>
      <c r="GX565" s="829"/>
      <c r="GY565" s="829"/>
      <c r="GZ565" s="829"/>
      <c r="HA565" s="829"/>
      <c r="HB565" s="829"/>
      <c r="HC565" s="829"/>
      <c r="HD565" s="829"/>
      <c r="HE565" s="829"/>
      <c r="HF565" s="829"/>
      <c r="HG565" s="829"/>
      <c r="HH565" s="829"/>
      <c r="HI565" s="829"/>
      <c r="HJ565" s="829"/>
      <c r="HK565" s="829"/>
      <c r="HL565" s="829"/>
      <c r="HM565" s="829"/>
      <c r="HN565" s="829"/>
      <c r="HO565" s="829"/>
      <c r="HP565" s="829"/>
      <c r="HQ565" s="829"/>
      <c r="HR565" s="829"/>
      <c r="HS565" s="829"/>
      <c r="HT565" s="829"/>
      <c r="HU565" s="829"/>
      <c r="HV565" s="829"/>
      <c r="HW565" s="829"/>
      <c r="HX565" s="829"/>
      <c r="HY565" s="829"/>
      <c r="HZ565" s="829"/>
      <c r="IA565" s="829"/>
      <c r="IB565" s="829"/>
      <c r="IC565" s="829"/>
      <c r="ID565" s="829"/>
      <c r="IE565" s="829"/>
      <c r="IF565" s="829"/>
      <c r="IG565" s="829"/>
      <c r="IH565" s="829"/>
      <c r="II565" s="829"/>
      <c r="IJ565" s="829"/>
      <c r="IK565" s="829"/>
      <c r="IL565" s="829"/>
      <c r="IM565" s="829"/>
      <c r="IN565" s="829"/>
      <c r="IO565" s="829"/>
      <c r="IP565" s="829"/>
      <c r="IQ565" s="829"/>
    </row>
    <row r="566" spans="1:251" ht="14.1" customHeight="1">
      <c r="A566" s="888"/>
      <c r="B566" s="946"/>
      <c r="C566" s="944" t="s">
        <v>1988</v>
      </c>
      <c r="D566" s="945"/>
      <c r="E566" s="360"/>
      <c r="F566" s="308"/>
      <c r="BI566" s="829"/>
      <c r="BJ566" s="829"/>
      <c r="BK566" s="829"/>
      <c r="BL566" s="829"/>
      <c r="BM566" s="829"/>
      <c r="BN566" s="829"/>
      <c r="BO566" s="829"/>
      <c r="BP566" s="829"/>
      <c r="BQ566" s="829"/>
      <c r="BR566" s="829"/>
      <c r="BS566" s="829"/>
      <c r="BT566" s="829"/>
      <c r="BU566" s="829"/>
      <c r="BV566" s="829"/>
      <c r="BW566" s="829"/>
      <c r="BX566" s="829"/>
      <c r="BY566" s="829"/>
      <c r="BZ566" s="829"/>
      <c r="CA566" s="829"/>
      <c r="CB566" s="829"/>
      <c r="CC566" s="829"/>
      <c r="CD566" s="829"/>
      <c r="CE566" s="829"/>
      <c r="CF566" s="829"/>
      <c r="CG566" s="829"/>
      <c r="CH566" s="829"/>
      <c r="CI566" s="829"/>
      <c r="CJ566" s="829"/>
      <c r="CK566" s="829"/>
      <c r="CL566" s="829"/>
      <c r="CM566" s="829"/>
      <c r="CN566" s="829"/>
      <c r="CO566" s="829"/>
      <c r="CP566" s="829"/>
      <c r="CQ566" s="829"/>
      <c r="CR566" s="829"/>
      <c r="CS566" s="829"/>
      <c r="CT566" s="829"/>
      <c r="CU566" s="829"/>
      <c r="CV566" s="829"/>
      <c r="CW566" s="829"/>
      <c r="CX566" s="829"/>
      <c r="CY566" s="829"/>
      <c r="CZ566" s="829"/>
      <c r="DA566" s="829"/>
      <c r="DB566" s="829"/>
      <c r="DC566" s="829"/>
      <c r="DD566" s="829"/>
      <c r="DE566" s="829"/>
      <c r="DF566" s="829"/>
      <c r="DG566" s="829"/>
      <c r="DH566" s="829"/>
      <c r="DI566" s="829"/>
      <c r="DJ566" s="829"/>
      <c r="DK566" s="829"/>
      <c r="DL566" s="829"/>
      <c r="DM566" s="829"/>
      <c r="DN566" s="829"/>
      <c r="DO566" s="829"/>
      <c r="DP566" s="829"/>
      <c r="DQ566" s="829"/>
      <c r="DR566" s="829"/>
      <c r="DS566" s="829"/>
      <c r="DT566" s="829"/>
      <c r="DU566" s="829"/>
      <c r="DV566" s="829"/>
      <c r="DW566" s="829"/>
      <c r="DX566" s="829"/>
      <c r="DY566" s="829"/>
      <c r="DZ566" s="829"/>
      <c r="EA566" s="829"/>
      <c r="EB566" s="829"/>
      <c r="EC566" s="829"/>
      <c r="ED566" s="829"/>
      <c r="EE566" s="829"/>
      <c r="EF566" s="829"/>
      <c r="EG566" s="829"/>
      <c r="EH566" s="829"/>
      <c r="EI566" s="829"/>
      <c r="EJ566" s="829"/>
      <c r="EK566" s="829"/>
      <c r="EL566" s="829"/>
      <c r="EM566" s="829"/>
      <c r="EN566" s="829"/>
      <c r="EO566" s="829"/>
      <c r="EP566" s="829"/>
      <c r="EQ566" s="829"/>
      <c r="ER566" s="829"/>
      <c r="ES566" s="829"/>
      <c r="ET566" s="829"/>
      <c r="EU566" s="829"/>
      <c r="EV566" s="829"/>
      <c r="EW566" s="829"/>
      <c r="EX566" s="829"/>
      <c r="EY566" s="829"/>
      <c r="EZ566" s="829"/>
      <c r="FA566" s="829"/>
      <c r="FB566" s="829"/>
      <c r="FC566" s="829"/>
      <c r="FD566" s="829"/>
      <c r="FE566" s="829"/>
      <c r="FF566" s="829"/>
      <c r="FG566" s="829"/>
      <c r="FH566" s="829"/>
      <c r="FI566" s="829"/>
      <c r="FJ566" s="829"/>
      <c r="FK566" s="829"/>
      <c r="FL566" s="829"/>
      <c r="FM566" s="829"/>
      <c r="FN566" s="829"/>
      <c r="FO566" s="829"/>
      <c r="FP566" s="829"/>
      <c r="FQ566" s="829"/>
      <c r="FR566" s="829"/>
      <c r="FS566" s="829"/>
      <c r="FT566" s="829"/>
      <c r="FU566" s="829"/>
      <c r="FV566" s="829"/>
      <c r="FW566" s="829"/>
      <c r="FX566" s="829"/>
      <c r="FY566" s="829"/>
      <c r="FZ566" s="829"/>
      <c r="GA566" s="829"/>
      <c r="GB566" s="829"/>
      <c r="GC566" s="829"/>
      <c r="GD566" s="829"/>
      <c r="GE566" s="829"/>
      <c r="GF566" s="829"/>
      <c r="GG566" s="829"/>
      <c r="GH566" s="829"/>
      <c r="GI566" s="829"/>
      <c r="GJ566" s="829"/>
      <c r="GK566" s="829"/>
      <c r="GL566" s="829"/>
      <c r="GM566" s="829"/>
      <c r="GN566" s="829"/>
      <c r="GO566" s="829"/>
      <c r="GP566" s="829"/>
      <c r="GQ566" s="829"/>
      <c r="GR566" s="829"/>
      <c r="GS566" s="829"/>
      <c r="GT566" s="829"/>
      <c r="GU566" s="829"/>
      <c r="GV566" s="829"/>
      <c r="GW566" s="829"/>
      <c r="GX566" s="829"/>
      <c r="GY566" s="829"/>
      <c r="GZ566" s="829"/>
      <c r="HA566" s="829"/>
      <c r="HB566" s="829"/>
      <c r="HC566" s="829"/>
      <c r="HD566" s="829"/>
      <c r="HE566" s="829"/>
      <c r="HF566" s="829"/>
      <c r="HG566" s="829"/>
      <c r="HH566" s="829"/>
      <c r="HI566" s="829"/>
      <c r="HJ566" s="829"/>
      <c r="HK566" s="829"/>
      <c r="HL566" s="829"/>
      <c r="HM566" s="829"/>
      <c r="HN566" s="829"/>
      <c r="HO566" s="829"/>
      <c r="HP566" s="829"/>
      <c r="HQ566" s="829"/>
      <c r="HR566" s="829"/>
      <c r="HS566" s="829"/>
      <c r="HT566" s="829"/>
      <c r="HU566" s="829"/>
      <c r="HV566" s="829"/>
      <c r="HW566" s="829"/>
      <c r="HX566" s="829"/>
      <c r="HY566" s="829"/>
      <c r="HZ566" s="829"/>
      <c r="IA566" s="829"/>
      <c r="IB566" s="829"/>
      <c r="IC566" s="829"/>
      <c r="ID566" s="829"/>
      <c r="IE566" s="829"/>
      <c r="IF566" s="829"/>
      <c r="IG566" s="829"/>
      <c r="IH566" s="829"/>
      <c r="II566" s="829"/>
      <c r="IJ566" s="829"/>
      <c r="IK566" s="829"/>
      <c r="IL566" s="829"/>
      <c r="IM566" s="829"/>
      <c r="IN566" s="829"/>
      <c r="IO566" s="829"/>
      <c r="IP566" s="829"/>
      <c r="IQ566" s="829"/>
    </row>
    <row r="567" spans="1:251" ht="14.1" customHeight="1">
      <c r="A567" s="888"/>
      <c r="B567" s="946"/>
      <c r="C567" s="944" t="s">
        <v>1989</v>
      </c>
      <c r="D567" s="945"/>
      <c r="E567" s="360"/>
      <c r="F567" s="308"/>
      <c r="BI567" s="829"/>
      <c r="BJ567" s="829"/>
      <c r="BK567" s="829"/>
      <c r="BL567" s="829"/>
      <c r="BM567" s="829"/>
      <c r="BN567" s="829"/>
      <c r="BO567" s="829"/>
      <c r="BP567" s="829"/>
      <c r="BQ567" s="829"/>
      <c r="BR567" s="829"/>
      <c r="BS567" s="829"/>
      <c r="BT567" s="829"/>
      <c r="BU567" s="829"/>
      <c r="BV567" s="829"/>
      <c r="BW567" s="829"/>
      <c r="BX567" s="829"/>
      <c r="BY567" s="829"/>
      <c r="BZ567" s="829"/>
      <c r="CA567" s="829"/>
      <c r="CB567" s="829"/>
      <c r="CC567" s="829"/>
      <c r="CD567" s="829"/>
      <c r="CE567" s="829"/>
      <c r="CF567" s="829"/>
      <c r="CG567" s="829"/>
      <c r="CH567" s="829"/>
      <c r="CI567" s="829"/>
      <c r="CJ567" s="829"/>
      <c r="CK567" s="829"/>
      <c r="CL567" s="829"/>
      <c r="CM567" s="829"/>
      <c r="CN567" s="829"/>
      <c r="CO567" s="829"/>
      <c r="CP567" s="829"/>
      <c r="CQ567" s="829"/>
      <c r="CR567" s="829"/>
      <c r="CS567" s="829"/>
      <c r="CT567" s="829"/>
      <c r="CU567" s="829"/>
      <c r="CV567" s="829"/>
      <c r="CW567" s="829"/>
      <c r="CX567" s="829"/>
      <c r="CY567" s="829"/>
      <c r="CZ567" s="829"/>
      <c r="DA567" s="829"/>
      <c r="DB567" s="829"/>
      <c r="DC567" s="829"/>
      <c r="DD567" s="829"/>
      <c r="DE567" s="829"/>
      <c r="DF567" s="829"/>
      <c r="DG567" s="829"/>
      <c r="DH567" s="829"/>
      <c r="DI567" s="829"/>
      <c r="DJ567" s="829"/>
      <c r="DK567" s="829"/>
      <c r="DL567" s="829"/>
      <c r="DM567" s="829"/>
      <c r="DN567" s="829"/>
      <c r="DO567" s="829"/>
      <c r="DP567" s="829"/>
      <c r="DQ567" s="829"/>
      <c r="DR567" s="829"/>
      <c r="DS567" s="829"/>
      <c r="DT567" s="829"/>
      <c r="DU567" s="829"/>
      <c r="DV567" s="829"/>
      <c r="DW567" s="829"/>
      <c r="DX567" s="829"/>
      <c r="DY567" s="829"/>
      <c r="DZ567" s="829"/>
      <c r="EA567" s="829"/>
      <c r="EB567" s="829"/>
      <c r="EC567" s="829"/>
      <c r="ED567" s="829"/>
      <c r="EE567" s="829"/>
      <c r="EF567" s="829"/>
      <c r="EG567" s="829"/>
      <c r="EH567" s="829"/>
      <c r="EI567" s="829"/>
      <c r="EJ567" s="829"/>
      <c r="EK567" s="829"/>
      <c r="EL567" s="829"/>
      <c r="EM567" s="829"/>
      <c r="EN567" s="829"/>
      <c r="EO567" s="829"/>
      <c r="EP567" s="829"/>
      <c r="EQ567" s="829"/>
      <c r="ER567" s="829"/>
      <c r="ES567" s="829"/>
      <c r="ET567" s="829"/>
      <c r="EU567" s="829"/>
      <c r="EV567" s="829"/>
      <c r="EW567" s="829"/>
      <c r="EX567" s="829"/>
      <c r="EY567" s="829"/>
      <c r="EZ567" s="829"/>
      <c r="FA567" s="829"/>
      <c r="FB567" s="829"/>
      <c r="FC567" s="829"/>
      <c r="FD567" s="829"/>
      <c r="FE567" s="829"/>
      <c r="FF567" s="829"/>
      <c r="FG567" s="829"/>
      <c r="FH567" s="829"/>
      <c r="FI567" s="829"/>
      <c r="FJ567" s="829"/>
      <c r="FK567" s="829"/>
      <c r="FL567" s="829"/>
      <c r="FM567" s="829"/>
      <c r="FN567" s="829"/>
      <c r="FO567" s="829"/>
      <c r="FP567" s="829"/>
      <c r="FQ567" s="829"/>
      <c r="FR567" s="829"/>
      <c r="FS567" s="829"/>
      <c r="FT567" s="829"/>
      <c r="FU567" s="829"/>
      <c r="FV567" s="829"/>
      <c r="FW567" s="829"/>
      <c r="FX567" s="829"/>
      <c r="FY567" s="829"/>
      <c r="FZ567" s="829"/>
      <c r="GA567" s="829"/>
      <c r="GB567" s="829"/>
      <c r="GC567" s="829"/>
      <c r="GD567" s="829"/>
      <c r="GE567" s="829"/>
      <c r="GF567" s="829"/>
      <c r="GG567" s="829"/>
      <c r="GH567" s="829"/>
      <c r="GI567" s="829"/>
      <c r="GJ567" s="829"/>
      <c r="GK567" s="829"/>
      <c r="GL567" s="829"/>
      <c r="GM567" s="829"/>
      <c r="GN567" s="829"/>
      <c r="GO567" s="829"/>
      <c r="GP567" s="829"/>
      <c r="GQ567" s="829"/>
      <c r="GR567" s="829"/>
      <c r="GS567" s="829"/>
      <c r="GT567" s="829"/>
      <c r="GU567" s="829"/>
      <c r="GV567" s="829"/>
      <c r="GW567" s="829"/>
      <c r="GX567" s="829"/>
      <c r="GY567" s="829"/>
      <c r="GZ567" s="829"/>
      <c r="HA567" s="829"/>
      <c r="HB567" s="829"/>
      <c r="HC567" s="829"/>
      <c r="HD567" s="829"/>
      <c r="HE567" s="829"/>
      <c r="HF567" s="829"/>
      <c r="HG567" s="829"/>
      <c r="HH567" s="829"/>
      <c r="HI567" s="829"/>
      <c r="HJ567" s="829"/>
      <c r="HK567" s="829"/>
      <c r="HL567" s="829"/>
      <c r="HM567" s="829"/>
      <c r="HN567" s="829"/>
      <c r="HO567" s="829"/>
      <c r="HP567" s="829"/>
      <c r="HQ567" s="829"/>
      <c r="HR567" s="829"/>
      <c r="HS567" s="829"/>
      <c r="HT567" s="829"/>
      <c r="HU567" s="829"/>
      <c r="HV567" s="829"/>
      <c r="HW567" s="829"/>
      <c r="HX567" s="829"/>
      <c r="HY567" s="829"/>
      <c r="HZ567" s="829"/>
      <c r="IA567" s="829"/>
      <c r="IB567" s="829"/>
      <c r="IC567" s="829"/>
      <c r="ID567" s="829"/>
      <c r="IE567" s="829"/>
      <c r="IF567" s="829"/>
      <c r="IG567" s="829"/>
      <c r="IH567" s="829"/>
      <c r="II567" s="829"/>
      <c r="IJ567" s="829"/>
      <c r="IK567" s="829"/>
      <c r="IL567" s="829"/>
      <c r="IM567" s="829"/>
      <c r="IN567" s="829"/>
      <c r="IO567" s="829"/>
      <c r="IP567" s="829"/>
      <c r="IQ567" s="829"/>
    </row>
    <row r="568" spans="1:251" ht="14.1" customHeight="1">
      <c r="A568" s="888"/>
      <c r="B568" s="891"/>
      <c r="C568" s="869"/>
      <c r="D568" s="874"/>
      <c r="E568" s="360"/>
      <c r="F568" s="308"/>
      <c r="BI568" s="829"/>
      <c r="BJ568" s="829"/>
      <c r="BK568" s="829"/>
      <c r="BL568" s="829"/>
      <c r="BM568" s="829"/>
      <c r="BN568" s="829"/>
      <c r="BO568" s="829"/>
      <c r="BP568" s="829"/>
      <c r="BQ568" s="829"/>
      <c r="BR568" s="829"/>
      <c r="BS568" s="829"/>
      <c r="BT568" s="829"/>
      <c r="BU568" s="829"/>
      <c r="BV568" s="829"/>
      <c r="BW568" s="829"/>
      <c r="BX568" s="829"/>
      <c r="BY568" s="829"/>
      <c r="BZ568" s="829"/>
      <c r="CA568" s="829"/>
      <c r="CB568" s="829"/>
      <c r="CC568" s="829"/>
      <c r="CD568" s="829"/>
      <c r="CE568" s="829"/>
      <c r="CF568" s="829"/>
      <c r="CG568" s="829"/>
      <c r="CH568" s="829"/>
      <c r="CI568" s="829"/>
      <c r="CJ568" s="829"/>
      <c r="CK568" s="829"/>
      <c r="CL568" s="829"/>
      <c r="CM568" s="829"/>
      <c r="CN568" s="829"/>
      <c r="CO568" s="829"/>
      <c r="CP568" s="829"/>
      <c r="CQ568" s="829"/>
      <c r="CR568" s="829"/>
      <c r="CS568" s="829"/>
      <c r="CT568" s="829"/>
      <c r="CU568" s="829"/>
      <c r="CV568" s="829"/>
      <c r="CW568" s="829"/>
      <c r="CX568" s="829"/>
      <c r="CY568" s="829"/>
      <c r="CZ568" s="829"/>
      <c r="DA568" s="829"/>
      <c r="DB568" s="829"/>
      <c r="DC568" s="829"/>
      <c r="DD568" s="829"/>
      <c r="DE568" s="829"/>
      <c r="DF568" s="829"/>
      <c r="DG568" s="829"/>
      <c r="DH568" s="829"/>
      <c r="DI568" s="829"/>
      <c r="DJ568" s="829"/>
      <c r="DK568" s="829"/>
      <c r="DL568" s="829"/>
      <c r="DM568" s="829"/>
      <c r="DN568" s="829"/>
      <c r="DO568" s="829"/>
      <c r="DP568" s="829"/>
      <c r="DQ568" s="829"/>
      <c r="DR568" s="829"/>
      <c r="DS568" s="829"/>
      <c r="DT568" s="829"/>
      <c r="DU568" s="829"/>
      <c r="DV568" s="829"/>
      <c r="DW568" s="829"/>
      <c r="DX568" s="829"/>
      <c r="DY568" s="829"/>
      <c r="DZ568" s="829"/>
      <c r="EA568" s="829"/>
      <c r="EB568" s="829"/>
      <c r="EC568" s="829"/>
      <c r="ED568" s="829"/>
      <c r="EE568" s="829"/>
      <c r="EF568" s="829"/>
      <c r="EG568" s="829"/>
      <c r="EH568" s="829"/>
      <c r="EI568" s="829"/>
      <c r="EJ568" s="829"/>
      <c r="EK568" s="829"/>
      <c r="EL568" s="829"/>
      <c r="EM568" s="829"/>
      <c r="EN568" s="829"/>
      <c r="EO568" s="829"/>
      <c r="EP568" s="829"/>
      <c r="EQ568" s="829"/>
      <c r="ER568" s="829"/>
      <c r="ES568" s="829"/>
      <c r="ET568" s="829"/>
      <c r="EU568" s="829"/>
      <c r="EV568" s="829"/>
      <c r="EW568" s="829"/>
      <c r="EX568" s="829"/>
      <c r="EY568" s="829"/>
      <c r="EZ568" s="829"/>
      <c r="FA568" s="829"/>
      <c r="FB568" s="829"/>
      <c r="FC568" s="829"/>
      <c r="FD568" s="829"/>
      <c r="FE568" s="829"/>
      <c r="FF568" s="829"/>
      <c r="FG568" s="829"/>
      <c r="FH568" s="829"/>
      <c r="FI568" s="829"/>
      <c r="FJ568" s="829"/>
      <c r="FK568" s="829"/>
      <c r="FL568" s="829"/>
      <c r="FM568" s="829"/>
      <c r="FN568" s="829"/>
      <c r="FO568" s="829"/>
      <c r="FP568" s="829"/>
      <c r="FQ568" s="829"/>
      <c r="FR568" s="829"/>
      <c r="FS568" s="829"/>
      <c r="FT568" s="829"/>
      <c r="FU568" s="829"/>
      <c r="FV568" s="829"/>
      <c r="FW568" s="829"/>
      <c r="FX568" s="829"/>
      <c r="FY568" s="829"/>
      <c r="FZ568" s="829"/>
      <c r="GA568" s="829"/>
      <c r="GB568" s="829"/>
      <c r="GC568" s="829"/>
      <c r="GD568" s="829"/>
      <c r="GE568" s="829"/>
      <c r="GF568" s="829"/>
      <c r="GG568" s="829"/>
      <c r="GH568" s="829"/>
      <c r="GI568" s="829"/>
      <c r="GJ568" s="829"/>
      <c r="GK568" s="829"/>
      <c r="GL568" s="829"/>
      <c r="GM568" s="829"/>
      <c r="GN568" s="829"/>
      <c r="GO568" s="829"/>
      <c r="GP568" s="829"/>
      <c r="GQ568" s="829"/>
      <c r="GR568" s="829"/>
      <c r="GS568" s="829"/>
      <c r="GT568" s="829"/>
      <c r="GU568" s="829"/>
      <c r="GV568" s="829"/>
      <c r="GW568" s="829"/>
      <c r="GX568" s="829"/>
      <c r="GY568" s="829"/>
      <c r="GZ568" s="829"/>
      <c r="HA568" s="829"/>
      <c r="HB568" s="829"/>
      <c r="HC568" s="829"/>
      <c r="HD568" s="829"/>
      <c r="HE568" s="829"/>
      <c r="HF568" s="829"/>
      <c r="HG568" s="829"/>
      <c r="HH568" s="829"/>
      <c r="HI568" s="829"/>
      <c r="HJ568" s="829"/>
      <c r="HK568" s="829"/>
      <c r="HL568" s="829"/>
      <c r="HM568" s="829"/>
      <c r="HN568" s="829"/>
      <c r="HO568" s="829"/>
      <c r="HP568" s="829"/>
      <c r="HQ568" s="829"/>
      <c r="HR568" s="829"/>
      <c r="HS568" s="829"/>
      <c r="HT568" s="829"/>
      <c r="HU568" s="829"/>
      <c r="HV568" s="829"/>
      <c r="HW568" s="829"/>
      <c r="HX568" s="829"/>
      <c r="HY568" s="829"/>
      <c r="HZ568" s="829"/>
      <c r="IA568" s="829"/>
      <c r="IB568" s="829"/>
      <c r="IC568" s="829"/>
      <c r="ID568" s="829"/>
      <c r="IE568" s="829"/>
      <c r="IF568" s="829"/>
      <c r="IG568" s="829"/>
      <c r="IH568" s="829"/>
      <c r="II568" s="829"/>
      <c r="IJ568" s="829"/>
      <c r="IK568" s="829"/>
      <c r="IL568" s="829"/>
      <c r="IM568" s="829"/>
      <c r="IN568" s="829"/>
      <c r="IO568" s="829"/>
      <c r="IP568" s="829"/>
      <c r="IQ568" s="829"/>
    </row>
    <row r="569" spans="1:251" ht="14.1" customHeight="1">
      <c r="A569" s="888"/>
      <c r="B569" s="891"/>
      <c r="C569" s="869"/>
      <c r="D569" s="874"/>
      <c r="E569" s="360"/>
      <c r="F569" s="308"/>
      <c r="BI569" s="829"/>
      <c r="BJ569" s="829"/>
      <c r="BK569" s="829"/>
      <c r="BL569" s="829"/>
      <c r="BM569" s="829"/>
      <c r="BN569" s="829"/>
      <c r="BO569" s="829"/>
      <c r="BP569" s="829"/>
      <c r="BQ569" s="829"/>
      <c r="BR569" s="829"/>
      <c r="BS569" s="829"/>
      <c r="BT569" s="829"/>
      <c r="BU569" s="829"/>
      <c r="BV569" s="829"/>
      <c r="BW569" s="829"/>
      <c r="BX569" s="829"/>
      <c r="BY569" s="829"/>
      <c r="BZ569" s="829"/>
      <c r="CA569" s="829"/>
      <c r="CB569" s="829"/>
      <c r="CC569" s="829"/>
      <c r="CD569" s="829"/>
      <c r="CE569" s="829"/>
      <c r="CF569" s="829"/>
      <c r="CG569" s="829"/>
      <c r="CH569" s="829"/>
      <c r="CI569" s="829"/>
      <c r="CJ569" s="829"/>
      <c r="CK569" s="829"/>
      <c r="CL569" s="829"/>
      <c r="CM569" s="829"/>
      <c r="CN569" s="829"/>
      <c r="CO569" s="829"/>
      <c r="CP569" s="829"/>
      <c r="CQ569" s="829"/>
      <c r="CR569" s="829"/>
      <c r="CS569" s="829"/>
      <c r="CT569" s="829"/>
      <c r="CU569" s="829"/>
      <c r="CV569" s="829"/>
      <c r="CW569" s="829"/>
      <c r="CX569" s="829"/>
      <c r="CY569" s="829"/>
      <c r="CZ569" s="829"/>
      <c r="DA569" s="829"/>
      <c r="DB569" s="829"/>
      <c r="DC569" s="829"/>
      <c r="DD569" s="829"/>
      <c r="DE569" s="829"/>
      <c r="DF569" s="829"/>
      <c r="DG569" s="829"/>
      <c r="DH569" s="829"/>
      <c r="DI569" s="829"/>
      <c r="DJ569" s="829"/>
      <c r="DK569" s="829"/>
      <c r="DL569" s="829"/>
      <c r="DM569" s="829"/>
      <c r="DN569" s="829"/>
      <c r="DO569" s="829"/>
      <c r="DP569" s="829"/>
      <c r="DQ569" s="829"/>
      <c r="DR569" s="829"/>
      <c r="DS569" s="829"/>
      <c r="DT569" s="829"/>
      <c r="DU569" s="829"/>
      <c r="DV569" s="829"/>
      <c r="DW569" s="829"/>
      <c r="DX569" s="829"/>
      <c r="DY569" s="829"/>
      <c r="DZ569" s="829"/>
      <c r="EA569" s="829"/>
      <c r="EB569" s="829"/>
      <c r="EC569" s="829"/>
      <c r="ED569" s="829"/>
      <c r="EE569" s="829"/>
      <c r="EF569" s="829"/>
      <c r="EG569" s="829"/>
      <c r="EH569" s="829"/>
      <c r="EI569" s="829"/>
      <c r="EJ569" s="829"/>
      <c r="EK569" s="829"/>
      <c r="EL569" s="829"/>
      <c r="EM569" s="829"/>
      <c r="EN569" s="829"/>
      <c r="EO569" s="829"/>
      <c r="EP569" s="829"/>
      <c r="EQ569" s="829"/>
      <c r="ER569" s="829"/>
      <c r="ES569" s="829"/>
      <c r="ET569" s="829"/>
      <c r="EU569" s="829"/>
      <c r="EV569" s="829"/>
      <c r="EW569" s="829"/>
      <c r="EX569" s="829"/>
      <c r="EY569" s="829"/>
      <c r="EZ569" s="829"/>
      <c r="FA569" s="829"/>
      <c r="FB569" s="829"/>
      <c r="FC569" s="829"/>
      <c r="FD569" s="829"/>
      <c r="FE569" s="829"/>
      <c r="FF569" s="829"/>
      <c r="FG569" s="829"/>
      <c r="FH569" s="829"/>
      <c r="FI569" s="829"/>
      <c r="FJ569" s="829"/>
      <c r="FK569" s="829"/>
      <c r="FL569" s="829"/>
      <c r="FM569" s="829"/>
      <c r="FN569" s="829"/>
      <c r="FO569" s="829"/>
      <c r="FP569" s="829"/>
      <c r="FQ569" s="829"/>
      <c r="FR569" s="829"/>
      <c r="FS569" s="829"/>
      <c r="FT569" s="829"/>
      <c r="FU569" s="829"/>
      <c r="FV569" s="829"/>
      <c r="FW569" s="829"/>
      <c r="FX569" s="829"/>
      <c r="FY569" s="829"/>
      <c r="FZ569" s="829"/>
      <c r="GA569" s="829"/>
      <c r="GB569" s="829"/>
      <c r="GC569" s="829"/>
      <c r="GD569" s="829"/>
      <c r="GE569" s="829"/>
      <c r="GF569" s="829"/>
      <c r="GG569" s="829"/>
      <c r="GH569" s="829"/>
      <c r="GI569" s="829"/>
      <c r="GJ569" s="829"/>
      <c r="GK569" s="829"/>
      <c r="GL569" s="829"/>
      <c r="GM569" s="829"/>
      <c r="GN569" s="829"/>
      <c r="GO569" s="829"/>
      <c r="GP569" s="829"/>
      <c r="GQ569" s="829"/>
      <c r="GR569" s="829"/>
      <c r="GS569" s="829"/>
      <c r="GT569" s="829"/>
      <c r="GU569" s="829"/>
      <c r="GV569" s="829"/>
      <c r="GW569" s="829"/>
      <c r="GX569" s="829"/>
      <c r="GY569" s="829"/>
      <c r="GZ569" s="829"/>
      <c r="HA569" s="829"/>
      <c r="HB569" s="829"/>
      <c r="HC569" s="829"/>
      <c r="HD569" s="829"/>
      <c r="HE569" s="829"/>
      <c r="HF569" s="829"/>
      <c r="HG569" s="829"/>
      <c r="HH569" s="829"/>
      <c r="HI569" s="829"/>
      <c r="HJ569" s="829"/>
      <c r="HK569" s="829"/>
      <c r="HL569" s="829"/>
      <c r="HM569" s="829"/>
      <c r="HN569" s="829"/>
      <c r="HO569" s="829"/>
      <c r="HP569" s="829"/>
      <c r="HQ569" s="829"/>
      <c r="HR569" s="829"/>
      <c r="HS569" s="829"/>
      <c r="HT569" s="829"/>
      <c r="HU569" s="829"/>
      <c r="HV569" s="829"/>
      <c r="HW569" s="829"/>
      <c r="HX569" s="829"/>
      <c r="HY569" s="829"/>
      <c r="HZ569" s="829"/>
      <c r="IA569" s="829"/>
      <c r="IB569" s="829"/>
      <c r="IC569" s="829"/>
      <c r="ID569" s="829"/>
      <c r="IE569" s="829"/>
      <c r="IF569" s="829"/>
      <c r="IG569" s="829"/>
      <c r="IH569" s="829"/>
      <c r="II569" s="829"/>
      <c r="IJ569" s="829"/>
      <c r="IK569" s="829"/>
      <c r="IL569" s="829"/>
      <c r="IM569" s="829"/>
      <c r="IN569" s="829"/>
      <c r="IO569" s="829"/>
      <c r="IP569" s="829"/>
      <c r="IQ569" s="829"/>
    </row>
    <row r="570" spans="1:251" ht="14.1" customHeight="1">
      <c r="A570" s="888"/>
      <c r="B570" s="891"/>
      <c r="C570" s="869"/>
      <c r="D570" s="874"/>
      <c r="E570" s="360"/>
      <c r="F570" s="308"/>
      <c r="BI570" s="829"/>
      <c r="BJ570" s="829"/>
      <c r="BK570" s="829"/>
      <c r="BL570" s="829"/>
      <c r="BM570" s="829"/>
      <c r="BN570" s="829"/>
      <c r="BO570" s="829"/>
      <c r="BP570" s="829"/>
      <c r="BQ570" s="829"/>
      <c r="BR570" s="829"/>
      <c r="BS570" s="829"/>
      <c r="BT570" s="829"/>
      <c r="BU570" s="829"/>
      <c r="BV570" s="829"/>
      <c r="BW570" s="829"/>
      <c r="BX570" s="829"/>
      <c r="BY570" s="829"/>
      <c r="BZ570" s="829"/>
      <c r="CA570" s="829"/>
      <c r="CB570" s="829"/>
      <c r="CC570" s="829"/>
      <c r="CD570" s="829"/>
      <c r="CE570" s="829"/>
      <c r="CF570" s="829"/>
      <c r="CG570" s="829"/>
      <c r="CH570" s="829"/>
      <c r="CI570" s="829"/>
      <c r="CJ570" s="829"/>
      <c r="CK570" s="829"/>
      <c r="CL570" s="829"/>
      <c r="CM570" s="829"/>
      <c r="CN570" s="829"/>
      <c r="CO570" s="829"/>
      <c r="CP570" s="829"/>
      <c r="CQ570" s="829"/>
      <c r="CR570" s="829"/>
      <c r="CS570" s="829"/>
      <c r="CT570" s="829"/>
      <c r="CU570" s="829"/>
      <c r="CV570" s="829"/>
      <c r="CW570" s="829"/>
      <c r="CX570" s="829"/>
      <c r="CY570" s="829"/>
      <c r="CZ570" s="829"/>
      <c r="DA570" s="829"/>
      <c r="DB570" s="829"/>
      <c r="DC570" s="829"/>
      <c r="DD570" s="829"/>
      <c r="DE570" s="829"/>
      <c r="DF570" s="829"/>
      <c r="DG570" s="829"/>
      <c r="DH570" s="829"/>
      <c r="DI570" s="829"/>
      <c r="DJ570" s="829"/>
      <c r="DK570" s="829"/>
      <c r="DL570" s="829"/>
      <c r="DM570" s="829"/>
      <c r="DN570" s="829"/>
      <c r="DO570" s="829"/>
      <c r="DP570" s="829"/>
      <c r="DQ570" s="829"/>
      <c r="DR570" s="829"/>
      <c r="DS570" s="829"/>
      <c r="DT570" s="829"/>
      <c r="DU570" s="829"/>
      <c r="DV570" s="829"/>
      <c r="DW570" s="829"/>
      <c r="DX570" s="829"/>
      <c r="DY570" s="829"/>
      <c r="DZ570" s="829"/>
      <c r="EA570" s="829"/>
      <c r="EB570" s="829"/>
      <c r="EC570" s="829"/>
      <c r="ED570" s="829"/>
      <c r="EE570" s="829"/>
      <c r="EF570" s="829"/>
      <c r="EG570" s="829"/>
      <c r="EH570" s="829"/>
      <c r="EI570" s="829"/>
      <c r="EJ570" s="829"/>
      <c r="EK570" s="829"/>
      <c r="EL570" s="829"/>
      <c r="EM570" s="829"/>
      <c r="EN570" s="829"/>
      <c r="EO570" s="829"/>
      <c r="EP570" s="829"/>
      <c r="EQ570" s="829"/>
      <c r="ER570" s="829"/>
      <c r="ES570" s="829"/>
      <c r="ET570" s="829"/>
      <c r="EU570" s="829"/>
      <c r="EV570" s="829"/>
      <c r="EW570" s="829"/>
      <c r="EX570" s="829"/>
      <c r="EY570" s="829"/>
      <c r="EZ570" s="829"/>
      <c r="FA570" s="829"/>
      <c r="FB570" s="829"/>
      <c r="FC570" s="829"/>
      <c r="FD570" s="829"/>
      <c r="FE570" s="829"/>
      <c r="FF570" s="829"/>
      <c r="FG570" s="829"/>
      <c r="FH570" s="829"/>
      <c r="FI570" s="829"/>
      <c r="FJ570" s="829"/>
      <c r="FK570" s="829"/>
      <c r="FL570" s="829"/>
      <c r="FM570" s="829"/>
      <c r="FN570" s="829"/>
      <c r="FO570" s="829"/>
      <c r="FP570" s="829"/>
      <c r="FQ570" s="829"/>
      <c r="FR570" s="829"/>
      <c r="FS570" s="829"/>
      <c r="FT570" s="829"/>
      <c r="FU570" s="829"/>
      <c r="FV570" s="829"/>
      <c r="FW570" s="829"/>
      <c r="FX570" s="829"/>
      <c r="FY570" s="829"/>
      <c r="FZ570" s="829"/>
      <c r="GA570" s="829"/>
      <c r="GB570" s="829"/>
      <c r="GC570" s="829"/>
      <c r="GD570" s="829"/>
      <c r="GE570" s="829"/>
      <c r="GF570" s="829"/>
      <c r="GG570" s="829"/>
      <c r="GH570" s="829"/>
      <c r="GI570" s="829"/>
      <c r="GJ570" s="829"/>
      <c r="GK570" s="829"/>
      <c r="GL570" s="829"/>
      <c r="GM570" s="829"/>
      <c r="GN570" s="829"/>
      <c r="GO570" s="829"/>
      <c r="GP570" s="829"/>
      <c r="GQ570" s="829"/>
      <c r="GR570" s="829"/>
      <c r="GS570" s="829"/>
      <c r="GT570" s="829"/>
      <c r="GU570" s="829"/>
      <c r="GV570" s="829"/>
      <c r="GW570" s="829"/>
      <c r="GX570" s="829"/>
      <c r="GY570" s="829"/>
      <c r="GZ570" s="829"/>
      <c r="HA570" s="829"/>
      <c r="HB570" s="829"/>
      <c r="HC570" s="829"/>
      <c r="HD570" s="829"/>
      <c r="HE570" s="829"/>
      <c r="HF570" s="829"/>
      <c r="HG570" s="829"/>
      <c r="HH570" s="829"/>
      <c r="HI570" s="829"/>
      <c r="HJ570" s="829"/>
      <c r="HK570" s="829"/>
      <c r="HL570" s="829"/>
      <c r="HM570" s="829"/>
      <c r="HN570" s="829"/>
      <c r="HO570" s="829"/>
      <c r="HP570" s="829"/>
      <c r="HQ570" s="829"/>
      <c r="HR570" s="829"/>
      <c r="HS570" s="829"/>
      <c r="HT570" s="829"/>
      <c r="HU570" s="829"/>
      <c r="HV570" s="829"/>
      <c r="HW570" s="829"/>
      <c r="HX570" s="829"/>
      <c r="HY570" s="829"/>
      <c r="HZ570" s="829"/>
      <c r="IA570" s="829"/>
      <c r="IB570" s="829"/>
      <c r="IC570" s="829"/>
      <c r="ID570" s="829"/>
      <c r="IE570" s="829"/>
      <c r="IF570" s="829"/>
      <c r="IG570" s="829"/>
      <c r="IH570" s="829"/>
      <c r="II570" s="829"/>
      <c r="IJ570" s="829"/>
      <c r="IK570" s="829"/>
      <c r="IL570" s="829"/>
      <c r="IM570" s="829"/>
      <c r="IN570" s="829"/>
      <c r="IO570" s="829"/>
      <c r="IP570" s="829"/>
      <c r="IQ570" s="829"/>
    </row>
    <row r="571" spans="1:251" ht="14.1" customHeight="1">
      <c r="A571" s="888"/>
      <c r="B571" s="891"/>
      <c r="C571" s="869"/>
      <c r="D571" s="874"/>
      <c r="E571" s="360"/>
      <c r="F571" s="308"/>
      <c r="BI571" s="829"/>
      <c r="BJ571" s="829"/>
      <c r="BK571" s="829"/>
      <c r="BL571" s="829"/>
      <c r="BM571" s="829"/>
      <c r="BN571" s="829"/>
      <c r="BO571" s="829"/>
      <c r="BP571" s="829"/>
      <c r="BQ571" s="829"/>
      <c r="BR571" s="829"/>
      <c r="BS571" s="829"/>
      <c r="BT571" s="829"/>
      <c r="BU571" s="829"/>
      <c r="BV571" s="829"/>
      <c r="BW571" s="829"/>
      <c r="BX571" s="829"/>
      <c r="BY571" s="829"/>
      <c r="BZ571" s="829"/>
      <c r="CA571" s="829"/>
      <c r="CB571" s="829"/>
      <c r="CC571" s="829"/>
      <c r="CD571" s="829"/>
      <c r="CE571" s="829"/>
      <c r="CF571" s="829"/>
      <c r="CG571" s="829"/>
      <c r="CH571" s="829"/>
      <c r="CI571" s="829"/>
      <c r="CJ571" s="829"/>
      <c r="CK571" s="829"/>
      <c r="CL571" s="829"/>
      <c r="CM571" s="829"/>
      <c r="CN571" s="829"/>
      <c r="CO571" s="829"/>
      <c r="CP571" s="829"/>
      <c r="CQ571" s="829"/>
      <c r="CR571" s="829"/>
      <c r="CS571" s="829"/>
      <c r="CT571" s="829"/>
      <c r="CU571" s="829"/>
      <c r="CV571" s="829"/>
      <c r="CW571" s="829"/>
      <c r="CX571" s="829"/>
      <c r="CY571" s="829"/>
      <c r="CZ571" s="829"/>
      <c r="DA571" s="829"/>
      <c r="DB571" s="829"/>
      <c r="DC571" s="829"/>
      <c r="DD571" s="829"/>
      <c r="DE571" s="829"/>
      <c r="DF571" s="829"/>
      <c r="DG571" s="829"/>
      <c r="DH571" s="829"/>
      <c r="DI571" s="829"/>
      <c r="DJ571" s="829"/>
      <c r="DK571" s="829"/>
      <c r="DL571" s="829"/>
      <c r="DM571" s="829"/>
      <c r="DN571" s="829"/>
      <c r="DO571" s="829"/>
      <c r="DP571" s="829"/>
      <c r="DQ571" s="829"/>
      <c r="DR571" s="829"/>
      <c r="DS571" s="829"/>
      <c r="DT571" s="829"/>
      <c r="DU571" s="829"/>
      <c r="DV571" s="829"/>
      <c r="DW571" s="829"/>
      <c r="DX571" s="829"/>
      <c r="DY571" s="829"/>
      <c r="DZ571" s="829"/>
      <c r="EA571" s="829"/>
      <c r="EB571" s="829"/>
      <c r="EC571" s="829"/>
      <c r="ED571" s="829"/>
      <c r="EE571" s="829"/>
      <c r="EF571" s="829"/>
      <c r="EG571" s="829"/>
      <c r="EH571" s="829"/>
      <c r="EI571" s="829"/>
      <c r="EJ571" s="829"/>
      <c r="EK571" s="829"/>
      <c r="EL571" s="829"/>
      <c r="EM571" s="829"/>
      <c r="EN571" s="829"/>
      <c r="EO571" s="829"/>
      <c r="EP571" s="829"/>
      <c r="EQ571" s="829"/>
      <c r="ER571" s="829"/>
      <c r="ES571" s="829"/>
      <c r="ET571" s="829"/>
      <c r="EU571" s="829"/>
      <c r="EV571" s="829"/>
      <c r="EW571" s="829"/>
      <c r="EX571" s="829"/>
      <c r="EY571" s="829"/>
      <c r="EZ571" s="829"/>
      <c r="FA571" s="829"/>
      <c r="FB571" s="829"/>
      <c r="FC571" s="829"/>
      <c r="FD571" s="829"/>
      <c r="FE571" s="829"/>
      <c r="FF571" s="829"/>
      <c r="FG571" s="829"/>
      <c r="FH571" s="829"/>
      <c r="FI571" s="829"/>
      <c r="FJ571" s="829"/>
      <c r="FK571" s="829"/>
      <c r="FL571" s="829"/>
      <c r="FM571" s="829"/>
      <c r="FN571" s="829"/>
      <c r="FO571" s="829"/>
      <c r="FP571" s="829"/>
      <c r="FQ571" s="829"/>
      <c r="FR571" s="829"/>
      <c r="FS571" s="829"/>
      <c r="FT571" s="829"/>
      <c r="FU571" s="829"/>
      <c r="FV571" s="829"/>
      <c r="FW571" s="829"/>
      <c r="FX571" s="829"/>
      <c r="FY571" s="829"/>
      <c r="FZ571" s="829"/>
      <c r="GA571" s="829"/>
      <c r="GB571" s="829"/>
      <c r="GC571" s="829"/>
      <c r="GD571" s="829"/>
      <c r="GE571" s="829"/>
      <c r="GF571" s="829"/>
      <c r="GG571" s="829"/>
      <c r="GH571" s="829"/>
      <c r="GI571" s="829"/>
      <c r="GJ571" s="829"/>
      <c r="GK571" s="829"/>
      <c r="GL571" s="829"/>
      <c r="GM571" s="829"/>
      <c r="GN571" s="829"/>
      <c r="GO571" s="829"/>
      <c r="GP571" s="829"/>
      <c r="GQ571" s="829"/>
      <c r="GR571" s="829"/>
      <c r="GS571" s="829"/>
      <c r="GT571" s="829"/>
      <c r="GU571" s="829"/>
      <c r="GV571" s="829"/>
      <c r="GW571" s="829"/>
      <c r="GX571" s="829"/>
      <c r="GY571" s="829"/>
      <c r="GZ571" s="829"/>
      <c r="HA571" s="829"/>
      <c r="HB571" s="829"/>
      <c r="HC571" s="829"/>
      <c r="HD571" s="829"/>
      <c r="HE571" s="829"/>
      <c r="HF571" s="829"/>
      <c r="HG571" s="829"/>
      <c r="HH571" s="829"/>
      <c r="HI571" s="829"/>
      <c r="HJ571" s="829"/>
      <c r="HK571" s="829"/>
      <c r="HL571" s="829"/>
      <c r="HM571" s="829"/>
      <c r="HN571" s="829"/>
      <c r="HO571" s="829"/>
      <c r="HP571" s="829"/>
      <c r="HQ571" s="829"/>
      <c r="HR571" s="829"/>
      <c r="HS571" s="829"/>
      <c r="HT571" s="829"/>
      <c r="HU571" s="829"/>
      <c r="HV571" s="829"/>
      <c r="HW571" s="829"/>
      <c r="HX571" s="829"/>
      <c r="HY571" s="829"/>
      <c r="HZ571" s="829"/>
      <c r="IA571" s="829"/>
      <c r="IB571" s="829"/>
      <c r="IC571" s="829"/>
      <c r="ID571" s="829"/>
      <c r="IE571" s="829"/>
      <c r="IF571" s="829"/>
      <c r="IG571" s="829"/>
      <c r="IH571" s="829"/>
      <c r="II571" s="829"/>
      <c r="IJ571" s="829"/>
      <c r="IK571" s="829"/>
      <c r="IL571" s="829"/>
      <c r="IM571" s="829"/>
      <c r="IN571" s="829"/>
      <c r="IO571" s="829"/>
      <c r="IP571" s="829"/>
      <c r="IQ571" s="829"/>
    </row>
    <row r="572" spans="1:251" ht="14.1" customHeight="1">
      <c r="A572" s="888"/>
      <c r="B572" s="891"/>
      <c r="C572" s="869"/>
      <c r="D572" s="874"/>
      <c r="E572" s="360"/>
      <c r="F572" s="308"/>
      <c r="BI572" s="829"/>
      <c r="BJ572" s="829"/>
      <c r="BK572" s="829"/>
      <c r="BL572" s="829"/>
      <c r="BM572" s="829"/>
      <c r="BN572" s="829"/>
      <c r="BO572" s="829"/>
      <c r="BP572" s="829"/>
      <c r="BQ572" s="829"/>
      <c r="BR572" s="829"/>
      <c r="BS572" s="829"/>
      <c r="BT572" s="829"/>
      <c r="BU572" s="829"/>
      <c r="BV572" s="829"/>
      <c r="BW572" s="829"/>
      <c r="BX572" s="829"/>
      <c r="BY572" s="829"/>
      <c r="BZ572" s="829"/>
      <c r="CA572" s="829"/>
      <c r="CB572" s="829"/>
      <c r="CC572" s="829"/>
      <c r="CD572" s="829"/>
      <c r="CE572" s="829"/>
      <c r="CF572" s="829"/>
      <c r="CG572" s="829"/>
      <c r="CH572" s="829"/>
      <c r="CI572" s="829"/>
      <c r="CJ572" s="829"/>
      <c r="CK572" s="829"/>
      <c r="CL572" s="829"/>
      <c r="CM572" s="829"/>
      <c r="CN572" s="829"/>
      <c r="CO572" s="829"/>
      <c r="CP572" s="829"/>
      <c r="CQ572" s="829"/>
      <c r="CR572" s="829"/>
      <c r="CS572" s="829"/>
      <c r="CT572" s="829"/>
      <c r="CU572" s="829"/>
      <c r="CV572" s="829"/>
      <c r="CW572" s="829"/>
      <c r="CX572" s="829"/>
      <c r="CY572" s="829"/>
      <c r="CZ572" s="829"/>
      <c r="DA572" s="829"/>
      <c r="DB572" s="829"/>
      <c r="DC572" s="829"/>
      <c r="DD572" s="829"/>
      <c r="DE572" s="829"/>
      <c r="DF572" s="829"/>
      <c r="DG572" s="829"/>
      <c r="DH572" s="829"/>
      <c r="DI572" s="829"/>
      <c r="DJ572" s="829"/>
      <c r="DK572" s="829"/>
      <c r="DL572" s="829"/>
      <c r="DM572" s="829"/>
      <c r="DN572" s="829"/>
      <c r="DO572" s="829"/>
      <c r="DP572" s="829"/>
      <c r="DQ572" s="829"/>
      <c r="DR572" s="829"/>
      <c r="DS572" s="829"/>
      <c r="DT572" s="829"/>
      <c r="DU572" s="829"/>
      <c r="DV572" s="829"/>
      <c r="DW572" s="829"/>
      <c r="DX572" s="829"/>
      <c r="DY572" s="829"/>
      <c r="DZ572" s="829"/>
      <c r="EA572" s="829"/>
      <c r="EB572" s="829"/>
      <c r="EC572" s="829"/>
      <c r="ED572" s="829"/>
      <c r="EE572" s="829"/>
      <c r="EF572" s="829"/>
      <c r="EG572" s="829"/>
      <c r="EH572" s="829"/>
      <c r="EI572" s="829"/>
      <c r="EJ572" s="829"/>
      <c r="EK572" s="829"/>
      <c r="EL572" s="829"/>
      <c r="EM572" s="829"/>
      <c r="EN572" s="829"/>
      <c r="EO572" s="829"/>
      <c r="EP572" s="829"/>
      <c r="EQ572" s="829"/>
      <c r="ER572" s="829"/>
      <c r="ES572" s="829"/>
      <c r="ET572" s="829"/>
      <c r="EU572" s="829"/>
      <c r="EV572" s="829"/>
      <c r="EW572" s="829"/>
      <c r="EX572" s="829"/>
      <c r="EY572" s="829"/>
      <c r="EZ572" s="829"/>
      <c r="FA572" s="829"/>
      <c r="FB572" s="829"/>
      <c r="FC572" s="829"/>
      <c r="FD572" s="829"/>
      <c r="FE572" s="829"/>
      <c r="FF572" s="829"/>
      <c r="FG572" s="829"/>
      <c r="FH572" s="829"/>
      <c r="FI572" s="829"/>
      <c r="FJ572" s="829"/>
      <c r="FK572" s="829"/>
      <c r="FL572" s="829"/>
      <c r="FM572" s="829"/>
      <c r="FN572" s="829"/>
      <c r="FO572" s="829"/>
      <c r="FP572" s="829"/>
      <c r="FQ572" s="829"/>
      <c r="FR572" s="829"/>
      <c r="FS572" s="829"/>
      <c r="FT572" s="829"/>
      <c r="FU572" s="829"/>
      <c r="FV572" s="829"/>
      <c r="FW572" s="829"/>
      <c r="FX572" s="829"/>
      <c r="FY572" s="829"/>
      <c r="FZ572" s="829"/>
      <c r="GA572" s="829"/>
      <c r="GB572" s="829"/>
      <c r="GC572" s="829"/>
      <c r="GD572" s="829"/>
      <c r="GE572" s="829"/>
      <c r="GF572" s="829"/>
      <c r="GG572" s="829"/>
      <c r="GH572" s="829"/>
      <c r="GI572" s="829"/>
      <c r="GJ572" s="829"/>
      <c r="GK572" s="829"/>
      <c r="GL572" s="829"/>
      <c r="GM572" s="829"/>
      <c r="GN572" s="829"/>
      <c r="GO572" s="829"/>
      <c r="GP572" s="829"/>
      <c r="GQ572" s="829"/>
      <c r="GR572" s="829"/>
      <c r="GS572" s="829"/>
      <c r="GT572" s="829"/>
      <c r="GU572" s="829"/>
      <c r="GV572" s="829"/>
      <c r="GW572" s="829"/>
      <c r="GX572" s="829"/>
      <c r="GY572" s="829"/>
      <c r="GZ572" s="829"/>
      <c r="HA572" s="829"/>
      <c r="HB572" s="829"/>
      <c r="HC572" s="829"/>
      <c r="HD572" s="829"/>
      <c r="HE572" s="829"/>
      <c r="HF572" s="829"/>
      <c r="HG572" s="829"/>
      <c r="HH572" s="829"/>
      <c r="HI572" s="829"/>
      <c r="HJ572" s="829"/>
      <c r="HK572" s="829"/>
      <c r="HL572" s="829"/>
      <c r="HM572" s="829"/>
      <c r="HN572" s="829"/>
      <c r="HO572" s="829"/>
      <c r="HP572" s="829"/>
      <c r="HQ572" s="829"/>
      <c r="HR572" s="829"/>
      <c r="HS572" s="829"/>
      <c r="HT572" s="829"/>
      <c r="HU572" s="829"/>
      <c r="HV572" s="829"/>
      <c r="HW572" s="829"/>
      <c r="HX572" s="829"/>
      <c r="HY572" s="829"/>
      <c r="HZ572" s="829"/>
      <c r="IA572" s="829"/>
      <c r="IB572" s="829"/>
      <c r="IC572" s="829"/>
      <c r="ID572" s="829"/>
      <c r="IE572" s="829"/>
      <c r="IF572" s="829"/>
      <c r="IG572" s="829"/>
      <c r="IH572" s="829"/>
      <c r="II572" s="829"/>
      <c r="IJ572" s="829"/>
      <c r="IK572" s="829"/>
      <c r="IL572" s="829"/>
      <c r="IM572" s="829"/>
      <c r="IN572" s="829"/>
      <c r="IO572" s="829"/>
      <c r="IP572" s="829"/>
      <c r="IQ572" s="829"/>
    </row>
    <row r="573" spans="1:251" ht="14.1" customHeight="1">
      <c r="A573" s="888"/>
      <c r="B573" s="874"/>
      <c r="C573" s="935"/>
      <c r="D573" s="906"/>
      <c r="E573" s="360"/>
      <c r="F573" s="308"/>
      <c r="BI573" s="829"/>
      <c r="BJ573" s="829"/>
      <c r="BK573" s="829"/>
      <c r="BL573" s="829"/>
      <c r="BM573" s="829"/>
      <c r="BN573" s="829"/>
      <c r="BO573" s="829"/>
      <c r="BP573" s="829"/>
      <c r="BQ573" s="829"/>
      <c r="BR573" s="829"/>
      <c r="BS573" s="829"/>
      <c r="BT573" s="829"/>
      <c r="BU573" s="829"/>
      <c r="BV573" s="829"/>
      <c r="BW573" s="829"/>
      <c r="BX573" s="829"/>
      <c r="BY573" s="829"/>
      <c r="BZ573" s="829"/>
      <c r="CA573" s="829"/>
      <c r="CB573" s="829"/>
      <c r="CC573" s="829"/>
      <c r="CD573" s="829"/>
      <c r="CE573" s="829"/>
      <c r="CF573" s="829"/>
      <c r="CG573" s="829"/>
      <c r="CH573" s="829"/>
      <c r="CI573" s="829"/>
      <c r="CJ573" s="829"/>
      <c r="CK573" s="829"/>
      <c r="CL573" s="829"/>
      <c r="CM573" s="829"/>
      <c r="CN573" s="829"/>
      <c r="CO573" s="829"/>
      <c r="CP573" s="829"/>
      <c r="CQ573" s="829"/>
      <c r="CR573" s="829"/>
      <c r="CS573" s="829"/>
      <c r="CT573" s="829"/>
      <c r="CU573" s="829"/>
      <c r="CV573" s="829"/>
      <c r="CW573" s="829"/>
      <c r="CX573" s="829"/>
      <c r="CY573" s="829"/>
      <c r="CZ573" s="829"/>
      <c r="DA573" s="829"/>
      <c r="DB573" s="829"/>
      <c r="DC573" s="829"/>
      <c r="DD573" s="829"/>
      <c r="DE573" s="829"/>
      <c r="DF573" s="829"/>
      <c r="DG573" s="829"/>
      <c r="DH573" s="829"/>
      <c r="DI573" s="829"/>
      <c r="DJ573" s="829"/>
      <c r="DK573" s="829"/>
      <c r="DL573" s="829"/>
      <c r="DM573" s="829"/>
      <c r="DN573" s="829"/>
      <c r="DO573" s="829"/>
      <c r="DP573" s="829"/>
      <c r="DQ573" s="829"/>
      <c r="DR573" s="829"/>
      <c r="DS573" s="829"/>
      <c r="DT573" s="829"/>
      <c r="DU573" s="829"/>
      <c r="DV573" s="829"/>
      <c r="DW573" s="829"/>
      <c r="DX573" s="829"/>
      <c r="DY573" s="829"/>
      <c r="DZ573" s="829"/>
      <c r="EA573" s="829"/>
      <c r="EB573" s="829"/>
      <c r="EC573" s="829"/>
      <c r="ED573" s="829"/>
      <c r="EE573" s="829"/>
      <c r="EF573" s="829"/>
      <c r="EG573" s="829"/>
      <c r="EH573" s="829"/>
      <c r="EI573" s="829"/>
      <c r="EJ573" s="829"/>
      <c r="EK573" s="829"/>
      <c r="EL573" s="829"/>
      <c r="EM573" s="829"/>
      <c r="EN573" s="829"/>
      <c r="EO573" s="829"/>
      <c r="EP573" s="829"/>
      <c r="EQ573" s="829"/>
      <c r="ER573" s="829"/>
      <c r="ES573" s="829"/>
      <c r="ET573" s="829"/>
      <c r="EU573" s="829"/>
      <c r="EV573" s="829"/>
      <c r="EW573" s="829"/>
      <c r="EX573" s="829"/>
      <c r="EY573" s="829"/>
      <c r="EZ573" s="829"/>
      <c r="FA573" s="829"/>
      <c r="FB573" s="829"/>
      <c r="FC573" s="829"/>
      <c r="FD573" s="829"/>
      <c r="FE573" s="829"/>
      <c r="FF573" s="829"/>
      <c r="FG573" s="829"/>
      <c r="FH573" s="829"/>
      <c r="FI573" s="829"/>
      <c r="FJ573" s="829"/>
      <c r="FK573" s="829"/>
      <c r="FL573" s="829"/>
      <c r="FM573" s="829"/>
      <c r="FN573" s="829"/>
      <c r="FO573" s="829"/>
      <c r="FP573" s="829"/>
      <c r="FQ573" s="829"/>
      <c r="FR573" s="829"/>
      <c r="FS573" s="829"/>
      <c r="FT573" s="829"/>
      <c r="FU573" s="829"/>
      <c r="FV573" s="829"/>
      <c r="FW573" s="829"/>
      <c r="FX573" s="829"/>
      <c r="FY573" s="829"/>
      <c r="FZ573" s="829"/>
      <c r="GA573" s="829"/>
      <c r="GB573" s="829"/>
      <c r="GC573" s="829"/>
      <c r="GD573" s="829"/>
      <c r="GE573" s="829"/>
      <c r="GF573" s="829"/>
      <c r="GG573" s="829"/>
      <c r="GH573" s="829"/>
      <c r="GI573" s="829"/>
      <c r="GJ573" s="829"/>
      <c r="GK573" s="829"/>
      <c r="GL573" s="829"/>
      <c r="GM573" s="829"/>
      <c r="GN573" s="829"/>
      <c r="GO573" s="829"/>
      <c r="GP573" s="829"/>
      <c r="GQ573" s="829"/>
      <c r="GR573" s="829"/>
      <c r="GS573" s="829"/>
      <c r="GT573" s="829"/>
      <c r="GU573" s="829"/>
      <c r="GV573" s="829"/>
      <c r="GW573" s="829"/>
      <c r="GX573" s="829"/>
      <c r="GY573" s="829"/>
      <c r="GZ573" s="829"/>
      <c r="HA573" s="829"/>
      <c r="HB573" s="829"/>
      <c r="HC573" s="829"/>
      <c r="HD573" s="829"/>
      <c r="HE573" s="829"/>
      <c r="HF573" s="829"/>
      <c r="HG573" s="829"/>
      <c r="HH573" s="829"/>
      <c r="HI573" s="829"/>
      <c r="HJ573" s="829"/>
      <c r="HK573" s="829"/>
      <c r="HL573" s="829"/>
      <c r="HM573" s="829"/>
      <c r="HN573" s="829"/>
      <c r="HO573" s="829"/>
      <c r="HP573" s="829"/>
      <c r="HQ573" s="829"/>
      <c r="HR573" s="829"/>
      <c r="HS573" s="829"/>
      <c r="HT573" s="829"/>
      <c r="HU573" s="829"/>
      <c r="HV573" s="829"/>
      <c r="HW573" s="829"/>
      <c r="HX573" s="829"/>
      <c r="HY573" s="829"/>
      <c r="HZ573" s="829"/>
      <c r="IA573" s="829"/>
      <c r="IB573" s="829"/>
      <c r="IC573" s="829"/>
      <c r="ID573" s="829"/>
      <c r="IE573" s="829"/>
      <c r="IF573" s="829"/>
      <c r="IG573" s="829"/>
      <c r="IH573" s="829"/>
      <c r="II573" s="829"/>
      <c r="IJ573" s="829"/>
      <c r="IK573" s="829"/>
      <c r="IL573" s="829"/>
      <c r="IM573" s="829"/>
      <c r="IN573" s="829"/>
      <c r="IO573" s="829"/>
      <c r="IP573" s="829"/>
      <c r="IQ573" s="829"/>
    </row>
    <row r="574" spans="1:251" ht="14.1" customHeight="1">
      <c r="A574" s="888"/>
      <c r="B574" s="946" t="s">
        <v>1990</v>
      </c>
      <c r="C574" s="947" t="s">
        <v>1991</v>
      </c>
      <c r="D574" s="948" t="s">
        <v>1992</v>
      </c>
      <c r="E574" s="360">
        <f>'[4]COSTO CDMX,QRO,GDL '!I570</f>
        <v>7800</v>
      </c>
      <c r="F574" s="217" t="s">
        <v>284</v>
      </c>
      <c r="BI574" s="829"/>
      <c r="BJ574" s="829"/>
      <c r="BK574" s="829"/>
      <c r="BL574" s="829"/>
      <c r="BM574" s="829"/>
      <c r="BN574" s="829"/>
      <c r="BO574" s="829"/>
      <c r="BP574" s="829"/>
      <c r="BQ574" s="829"/>
      <c r="BR574" s="829"/>
      <c r="BS574" s="829"/>
      <c r="BT574" s="829"/>
      <c r="BU574" s="829"/>
      <c r="BV574" s="829"/>
      <c r="BW574" s="829"/>
      <c r="BX574" s="829"/>
      <c r="BY574" s="829"/>
      <c r="BZ574" s="829"/>
      <c r="CA574" s="829"/>
      <c r="CB574" s="829"/>
      <c r="CC574" s="829"/>
      <c r="CD574" s="829"/>
      <c r="CE574" s="829"/>
      <c r="CF574" s="829"/>
      <c r="CG574" s="829"/>
      <c r="CH574" s="829"/>
      <c r="CI574" s="829"/>
      <c r="CJ574" s="829"/>
      <c r="CK574" s="829"/>
      <c r="CL574" s="829"/>
      <c r="CM574" s="829"/>
      <c r="CN574" s="829"/>
      <c r="CO574" s="829"/>
      <c r="CP574" s="829"/>
      <c r="CQ574" s="829"/>
      <c r="CR574" s="829"/>
      <c r="CS574" s="829"/>
      <c r="CT574" s="829"/>
      <c r="CU574" s="829"/>
      <c r="CV574" s="829"/>
      <c r="CW574" s="829"/>
      <c r="CX574" s="829"/>
      <c r="CY574" s="829"/>
      <c r="CZ574" s="829"/>
      <c r="DA574" s="829"/>
      <c r="DB574" s="829"/>
      <c r="DC574" s="829"/>
      <c r="DD574" s="829"/>
      <c r="DE574" s="829"/>
      <c r="DF574" s="829"/>
      <c r="DG574" s="829"/>
      <c r="DH574" s="829"/>
      <c r="DI574" s="829"/>
      <c r="DJ574" s="829"/>
      <c r="DK574" s="829"/>
      <c r="DL574" s="829"/>
      <c r="DM574" s="829"/>
      <c r="DN574" s="829"/>
      <c r="DO574" s="829"/>
      <c r="DP574" s="829"/>
      <c r="DQ574" s="829"/>
      <c r="DR574" s="829"/>
      <c r="DS574" s="829"/>
      <c r="DT574" s="829"/>
      <c r="DU574" s="829"/>
      <c r="DV574" s="829"/>
      <c r="DW574" s="829"/>
      <c r="DX574" s="829"/>
      <c r="DY574" s="829"/>
      <c r="DZ574" s="829"/>
      <c r="EA574" s="829"/>
      <c r="EB574" s="829"/>
      <c r="EC574" s="829"/>
      <c r="ED574" s="829"/>
      <c r="EE574" s="829"/>
      <c r="EF574" s="829"/>
      <c r="EG574" s="829"/>
      <c r="EH574" s="829"/>
      <c r="EI574" s="829"/>
      <c r="EJ574" s="829"/>
      <c r="EK574" s="829"/>
      <c r="EL574" s="829"/>
      <c r="EM574" s="829"/>
      <c r="EN574" s="829"/>
      <c r="EO574" s="829"/>
      <c r="EP574" s="829"/>
      <c r="EQ574" s="829"/>
      <c r="ER574" s="829"/>
      <c r="ES574" s="829"/>
      <c r="ET574" s="829"/>
      <c r="EU574" s="829"/>
      <c r="EV574" s="829"/>
      <c r="EW574" s="829"/>
      <c r="EX574" s="829"/>
      <c r="EY574" s="829"/>
      <c r="EZ574" s="829"/>
      <c r="FA574" s="829"/>
      <c r="FB574" s="829"/>
      <c r="FC574" s="829"/>
      <c r="FD574" s="829"/>
      <c r="FE574" s="829"/>
      <c r="FF574" s="829"/>
      <c r="FG574" s="829"/>
      <c r="FH574" s="829"/>
      <c r="FI574" s="829"/>
      <c r="FJ574" s="829"/>
      <c r="FK574" s="829"/>
      <c r="FL574" s="829"/>
      <c r="FM574" s="829"/>
      <c r="FN574" s="829"/>
      <c r="FO574" s="829"/>
      <c r="FP574" s="829"/>
      <c r="FQ574" s="829"/>
      <c r="FR574" s="829"/>
      <c r="FS574" s="829"/>
      <c r="FT574" s="829"/>
      <c r="FU574" s="829"/>
      <c r="FV574" s="829"/>
      <c r="FW574" s="829"/>
      <c r="FX574" s="829"/>
      <c r="FY574" s="829"/>
      <c r="FZ574" s="829"/>
      <c r="GA574" s="829"/>
      <c r="GB574" s="829"/>
      <c r="GC574" s="829"/>
      <c r="GD574" s="829"/>
      <c r="GE574" s="829"/>
      <c r="GF574" s="829"/>
      <c r="GG574" s="829"/>
      <c r="GH574" s="829"/>
      <c r="GI574" s="829"/>
      <c r="GJ574" s="829"/>
      <c r="GK574" s="829"/>
      <c r="GL574" s="829"/>
      <c r="GM574" s="829"/>
      <c r="GN574" s="829"/>
      <c r="GO574" s="829"/>
      <c r="GP574" s="829"/>
      <c r="GQ574" s="829"/>
      <c r="GR574" s="829"/>
      <c r="GS574" s="829"/>
      <c r="GT574" s="829"/>
      <c r="GU574" s="829"/>
      <c r="GV574" s="829"/>
      <c r="GW574" s="829"/>
      <c r="GX574" s="829"/>
      <c r="GY574" s="829"/>
      <c r="GZ574" s="829"/>
      <c r="HA574" s="829"/>
      <c r="HB574" s="829"/>
      <c r="HC574" s="829"/>
      <c r="HD574" s="829"/>
      <c r="HE574" s="829"/>
      <c r="HF574" s="829"/>
      <c r="HG574" s="829"/>
      <c r="HH574" s="829"/>
      <c r="HI574" s="829"/>
      <c r="HJ574" s="829"/>
      <c r="HK574" s="829"/>
      <c r="HL574" s="829"/>
      <c r="HM574" s="829"/>
      <c r="HN574" s="829"/>
      <c r="HO574" s="829"/>
      <c r="HP574" s="829"/>
      <c r="HQ574" s="829"/>
      <c r="HR574" s="829"/>
      <c r="HS574" s="829"/>
      <c r="HT574" s="829"/>
      <c r="HU574" s="829"/>
      <c r="HV574" s="829"/>
      <c r="HW574" s="829"/>
      <c r="HX574" s="829"/>
      <c r="HY574" s="829"/>
      <c r="HZ574" s="829"/>
      <c r="IA574" s="829"/>
      <c r="IB574" s="829"/>
      <c r="IC574" s="829"/>
      <c r="ID574" s="829"/>
      <c r="IE574" s="829"/>
      <c r="IF574" s="829"/>
      <c r="IG574" s="829"/>
      <c r="IH574" s="829"/>
      <c r="II574" s="829"/>
      <c r="IJ574" s="829"/>
      <c r="IK574" s="829"/>
      <c r="IL574" s="829"/>
      <c r="IM574" s="829"/>
      <c r="IN574" s="829"/>
      <c r="IO574" s="829"/>
      <c r="IP574" s="829"/>
      <c r="IQ574" s="829"/>
    </row>
    <row r="575" spans="1:251" ht="14.1" customHeight="1">
      <c r="A575" s="888"/>
      <c r="B575" s="949"/>
      <c r="C575" s="947" t="s">
        <v>1993</v>
      </c>
      <c r="D575" s="948"/>
      <c r="E575" s="360"/>
      <c r="F575" s="296"/>
      <c r="H575" s="499"/>
      <c r="BI575" s="829"/>
      <c r="BJ575" s="829"/>
      <c r="BK575" s="829"/>
      <c r="BL575" s="829"/>
      <c r="BM575" s="829"/>
      <c r="BN575" s="829"/>
      <c r="BO575" s="829"/>
      <c r="BP575" s="829"/>
      <c r="BQ575" s="829"/>
      <c r="BR575" s="829"/>
      <c r="BS575" s="829"/>
      <c r="BT575" s="829"/>
      <c r="BU575" s="829"/>
      <c r="BV575" s="829"/>
      <c r="BW575" s="829"/>
      <c r="BX575" s="829"/>
      <c r="BY575" s="829"/>
      <c r="BZ575" s="829"/>
      <c r="CA575" s="829"/>
      <c r="CB575" s="829"/>
      <c r="CC575" s="829"/>
      <c r="CD575" s="829"/>
      <c r="CE575" s="829"/>
      <c r="CF575" s="829"/>
      <c r="CG575" s="829"/>
      <c r="CH575" s="829"/>
      <c r="CI575" s="829"/>
      <c r="CJ575" s="829"/>
      <c r="CK575" s="829"/>
      <c r="CL575" s="829"/>
      <c r="CM575" s="829"/>
      <c r="CN575" s="829"/>
      <c r="CO575" s="829"/>
      <c r="CP575" s="829"/>
      <c r="CQ575" s="829"/>
      <c r="CR575" s="829"/>
      <c r="CS575" s="829"/>
      <c r="CT575" s="829"/>
      <c r="CU575" s="829"/>
      <c r="CV575" s="829"/>
      <c r="CW575" s="829"/>
      <c r="CX575" s="829"/>
      <c r="CY575" s="829"/>
      <c r="CZ575" s="829"/>
      <c r="DA575" s="829"/>
      <c r="DB575" s="829"/>
      <c r="DC575" s="829"/>
      <c r="DD575" s="829"/>
      <c r="DE575" s="829"/>
      <c r="DF575" s="829"/>
      <c r="DG575" s="829"/>
      <c r="DH575" s="829"/>
      <c r="DI575" s="829"/>
      <c r="DJ575" s="829"/>
      <c r="DK575" s="829"/>
      <c r="DL575" s="829"/>
      <c r="DM575" s="829"/>
      <c r="DN575" s="829"/>
      <c r="DO575" s="829"/>
      <c r="DP575" s="829"/>
      <c r="DQ575" s="829"/>
      <c r="DR575" s="829"/>
      <c r="DS575" s="829"/>
      <c r="DT575" s="829"/>
      <c r="DU575" s="829"/>
      <c r="DV575" s="829"/>
      <c r="DW575" s="829"/>
      <c r="DX575" s="829"/>
      <c r="DY575" s="829"/>
      <c r="DZ575" s="829"/>
      <c r="EA575" s="829"/>
      <c r="EB575" s="829"/>
      <c r="EC575" s="829"/>
      <c r="ED575" s="829"/>
      <c r="EE575" s="829"/>
      <c r="EF575" s="829"/>
      <c r="EG575" s="829"/>
      <c r="EH575" s="829"/>
      <c r="EI575" s="829"/>
      <c r="EJ575" s="829"/>
      <c r="EK575" s="829"/>
      <c r="EL575" s="829"/>
      <c r="EM575" s="829"/>
      <c r="EN575" s="829"/>
      <c r="EO575" s="829"/>
      <c r="EP575" s="829"/>
      <c r="EQ575" s="829"/>
      <c r="ER575" s="829"/>
      <c r="ES575" s="829"/>
      <c r="ET575" s="829"/>
      <c r="EU575" s="829"/>
      <c r="EV575" s="829"/>
      <c r="EW575" s="829"/>
      <c r="EX575" s="829"/>
      <c r="EY575" s="829"/>
      <c r="EZ575" s="829"/>
      <c r="FA575" s="829"/>
      <c r="FB575" s="829"/>
      <c r="FC575" s="829"/>
      <c r="FD575" s="829"/>
      <c r="FE575" s="829"/>
      <c r="FF575" s="829"/>
      <c r="FG575" s="829"/>
      <c r="FH575" s="829"/>
      <c r="FI575" s="829"/>
      <c r="FJ575" s="829"/>
      <c r="FK575" s="829"/>
      <c r="FL575" s="829"/>
      <c r="FM575" s="829"/>
      <c r="FN575" s="829"/>
      <c r="FO575" s="829"/>
      <c r="FP575" s="829"/>
      <c r="FQ575" s="829"/>
      <c r="FR575" s="829"/>
      <c r="FS575" s="829"/>
      <c r="FT575" s="829"/>
      <c r="FU575" s="829"/>
      <c r="FV575" s="829"/>
      <c r="FW575" s="829"/>
      <c r="FX575" s="829"/>
      <c r="FY575" s="829"/>
      <c r="FZ575" s="829"/>
      <c r="GA575" s="829"/>
      <c r="GB575" s="829"/>
      <c r="GC575" s="829"/>
      <c r="GD575" s="829"/>
      <c r="GE575" s="829"/>
      <c r="GF575" s="829"/>
      <c r="GG575" s="829"/>
      <c r="GH575" s="829"/>
      <c r="GI575" s="829"/>
      <c r="GJ575" s="829"/>
      <c r="GK575" s="829"/>
      <c r="GL575" s="829"/>
      <c r="GM575" s="829"/>
      <c r="GN575" s="829"/>
      <c r="GO575" s="829"/>
      <c r="GP575" s="829"/>
      <c r="GQ575" s="829"/>
      <c r="GR575" s="829"/>
      <c r="GS575" s="829"/>
      <c r="GT575" s="829"/>
      <c r="GU575" s="829"/>
      <c r="GV575" s="829"/>
      <c r="GW575" s="829"/>
      <c r="GX575" s="829"/>
      <c r="GY575" s="829"/>
      <c r="GZ575" s="829"/>
      <c r="HA575" s="829"/>
      <c r="HB575" s="829"/>
      <c r="HC575" s="829"/>
      <c r="HD575" s="829"/>
      <c r="HE575" s="829"/>
      <c r="HF575" s="829"/>
      <c r="HG575" s="829"/>
      <c r="HH575" s="829"/>
      <c r="HI575" s="829"/>
      <c r="HJ575" s="829"/>
      <c r="HK575" s="829"/>
      <c r="HL575" s="829"/>
      <c r="HM575" s="829"/>
      <c r="HN575" s="829"/>
      <c r="HO575" s="829"/>
      <c r="HP575" s="829"/>
      <c r="HQ575" s="829"/>
      <c r="HR575" s="829"/>
      <c r="HS575" s="829"/>
      <c r="HT575" s="829"/>
      <c r="HU575" s="829"/>
      <c r="HV575" s="829"/>
      <c r="HW575" s="829"/>
      <c r="HX575" s="829"/>
      <c r="HY575" s="829"/>
      <c r="HZ575" s="829"/>
      <c r="IA575" s="829"/>
      <c r="IB575" s="829"/>
      <c r="IC575" s="829"/>
      <c r="ID575" s="829"/>
      <c r="IE575" s="829"/>
      <c r="IF575" s="829"/>
      <c r="IG575" s="829"/>
      <c r="IH575" s="829"/>
      <c r="II575" s="829"/>
      <c r="IJ575" s="829"/>
      <c r="IK575" s="829"/>
      <c r="IL575" s="829"/>
      <c r="IM575" s="829"/>
      <c r="IN575" s="829"/>
      <c r="IO575" s="829"/>
      <c r="IP575" s="829"/>
      <c r="IQ575" s="829"/>
    </row>
    <row r="576" spans="1:251" ht="14.1" customHeight="1">
      <c r="A576" s="888"/>
      <c r="B576" s="949"/>
      <c r="C576" s="947" t="s">
        <v>1994</v>
      </c>
      <c r="D576" s="948"/>
      <c r="E576" s="360"/>
      <c r="F576" s="296"/>
      <c r="H576" s="499"/>
      <c r="BI576" s="829"/>
      <c r="BJ576" s="829"/>
      <c r="BK576" s="829"/>
      <c r="BL576" s="829"/>
      <c r="BM576" s="829"/>
      <c r="BN576" s="829"/>
      <c r="BO576" s="829"/>
      <c r="BP576" s="829"/>
      <c r="BQ576" s="829"/>
      <c r="BR576" s="829"/>
      <c r="BS576" s="829"/>
      <c r="BT576" s="829"/>
      <c r="BU576" s="829"/>
      <c r="BV576" s="829"/>
      <c r="BW576" s="829"/>
      <c r="BX576" s="829"/>
      <c r="BY576" s="829"/>
      <c r="BZ576" s="829"/>
      <c r="CA576" s="829"/>
      <c r="CB576" s="829"/>
      <c r="CC576" s="829"/>
      <c r="CD576" s="829"/>
      <c r="CE576" s="829"/>
      <c r="CF576" s="829"/>
      <c r="CG576" s="829"/>
      <c r="CH576" s="829"/>
      <c r="CI576" s="829"/>
      <c r="CJ576" s="829"/>
      <c r="CK576" s="829"/>
      <c r="CL576" s="829"/>
      <c r="CM576" s="829"/>
      <c r="CN576" s="829"/>
      <c r="CO576" s="829"/>
      <c r="CP576" s="829"/>
      <c r="CQ576" s="829"/>
      <c r="CR576" s="829"/>
      <c r="CS576" s="829"/>
      <c r="CT576" s="829"/>
      <c r="CU576" s="829"/>
      <c r="CV576" s="829"/>
      <c r="CW576" s="829"/>
      <c r="CX576" s="829"/>
      <c r="CY576" s="829"/>
      <c r="CZ576" s="829"/>
      <c r="DA576" s="829"/>
      <c r="DB576" s="829"/>
      <c r="DC576" s="829"/>
      <c r="DD576" s="829"/>
      <c r="DE576" s="829"/>
      <c r="DF576" s="829"/>
      <c r="DG576" s="829"/>
      <c r="DH576" s="829"/>
      <c r="DI576" s="829"/>
      <c r="DJ576" s="829"/>
      <c r="DK576" s="829"/>
      <c r="DL576" s="829"/>
      <c r="DM576" s="829"/>
      <c r="DN576" s="829"/>
      <c r="DO576" s="829"/>
      <c r="DP576" s="829"/>
      <c r="DQ576" s="829"/>
      <c r="DR576" s="829"/>
      <c r="DS576" s="829"/>
      <c r="DT576" s="829"/>
      <c r="DU576" s="829"/>
      <c r="DV576" s="829"/>
      <c r="DW576" s="829"/>
      <c r="DX576" s="829"/>
      <c r="DY576" s="829"/>
      <c r="DZ576" s="829"/>
      <c r="EA576" s="829"/>
      <c r="EB576" s="829"/>
      <c r="EC576" s="829"/>
      <c r="ED576" s="829"/>
      <c r="EE576" s="829"/>
      <c r="EF576" s="829"/>
      <c r="EG576" s="829"/>
      <c r="EH576" s="829"/>
      <c r="EI576" s="829"/>
      <c r="EJ576" s="829"/>
      <c r="EK576" s="829"/>
      <c r="EL576" s="829"/>
      <c r="EM576" s="829"/>
      <c r="EN576" s="829"/>
      <c r="EO576" s="829"/>
      <c r="EP576" s="829"/>
      <c r="EQ576" s="829"/>
      <c r="ER576" s="829"/>
      <c r="ES576" s="829"/>
      <c r="ET576" s="829"/>
      <c r="EU576" s="829"/>
      <c r="EV576" s="829"/>
      <c r="EW576" s="829"/>
      <c r="EX576" s="829"/>
      <c r="EY576" s="829"/>
      <c r="EZ576" s="829"/>
      <c r="FA576" s="829"/>
      <c r="FB576" s="829"/>
      <c r="FC576" s="829"/>
      <c r="FD576" s="829"/>
      <c r="FE576" s="829"/>
      <c r="FF576" s="829"/>
      <c r="FG576" s="829"/>
      <c r="FH576" s="829"/>
      <c r="FI576" s="829"/>
      <c r="FJ576" s="829"/>
      <c r="FK576" s="829"/>
      <c r="FL576" s="829"/>
      <c r="FM576" s="829"/>
      <c r="FN576" s="829"/>
      <c r="FO576" s="829"/>
      <c r="FP576" s="829"/>
      <c r="FQ576" s="829"/>
      <c r="FR576" s="829"/>
      <c r="FS576" s="829"/>
      <c r="FT576" s="829"/>
      <c r="FU576" s="829"/>
      <c r="FV576" s="829"/>
      <c r="FW576" s="829"/>
      <c r="FX576" s="829"/>
      <c r="FY576" s="829"/>
      <c r="FZ576" s="829"/>
      <c r="GA576" s="829"/>
      <c r="GB576" s="829"/>
      <c r="GC576" s="829"/>
      <c r="GD576" s="829"/>
      <c r="GE576" s="829"/>
      <c r="GF576" s="829"/>
      <c r="GG576" s="829"/>
      <c r="GH576" s="829"/>
      <c r="GI576" s="829"/>
      <c r="GJ576" s="829"/>
      <c r="GK576" s="829"/>
      <c r="GL576" s="829"/>
      <c r="GM576" s="829"/>
      <c r="GN576" s="829"/>
      <c r="GO576" s="829"/>
      <c r="GP576" s="829"/>
      <c r="GQ576" s="829"/>
      <c r="GR576" s="829"/>
      <c r="GS576" s="829"/>
      <c r="GT576" s="829"/>
      <c r="GU576" s="829"/>
      <c r="GV576" s="829"/>
      <c r="GW576" s="829"/>
      <c r="GX576" s="829"/>
      <c r="GY576" s="829"/>
      <c r="GZ576" s="829"/>
      <c r="HA576" s="829"/>
      <c r="HB576" s="829"/>
      <c r="HC576" s="829"/>
      <c r="HD576" s="829"/>
      <c r="HE576" s="829"/>
      <c r="HF576" s="829"/>
      <c r="HG576" s="829"/>
      <c r="HH576" s="829"/>
      <c r="HI576" s="829"/>
      <c r="HJ576" s="829"/>
      <c r="HK576" s="829"/>
      <c r="HL576" s="829"/>
      <c r="HM576" s="829"/>
      <c r="HN576" s="829"/>
      <c r="HO576" s="829"/>
      <c r="HP576" s="829"/>
      <c r="HQ576" s="829"/>
      <c r="HR576" s="829"/>
      <c r="HS576" s="829"/>
      <c r="HT576" s="829"/>
      <c r="HU576" s="829"/>
      <c r="HV576" s="829"/>
      <c r="HW576" s="829"/>
      <c r="HX576" s="829"/>
      <c r="HY576" s="829"/>
      <c r="HZ576" s="829"/>
      <c r="IA576" s="829"/>
      <c r="IB576" s="829"/>
      <c r="IC576" s="829"/>
      <c r="ID576" s="829"/>
      <c r="IE576" s="829"/>
      <c r="IF576" s="829"/>
      <c r="IG576" s="829"/>
      <c r="IH576" s="829"/>
      <c r="II576" s="829"/>
      <c r="IJ576" s="829"/>
      <c r="IK576" s="829"/>
      <c r="IL576" s="829"/>
      <c r="IM576" s="829"/>
      <c r="IN576" s="829"/>
      <c r="IO576" s="829"/>
      <c r="IP576" s="829"/>
      <c r="IQ576" s="829"/>
    </row>
    <row r="577" spans="1:251" ht="14.1" customHeight="1">
      <c r="A577" s="888"/>
      <c r="B577" s="949"/>
      <c r="C577" s="947" t="s">
        <v>1995</v>
      </c>
      <c r="D577" s="948"/>
      <c r="E577" s="360"/>
      <c r="F577" s="296"/>
      <c r="BI577" s="829"/>
      <c r="BJ577" s="829"/>
      <c r="BK577" s="829"/>
      <c r="BL577" s="829"/>
      <c r="BM577" s="829"/>
      <c r="BN577" s="829"/>
      <c r="BO577" s="829"/>
      <c r="BP577" s="829"/>
      <c r="BQ577" s="829"/>
      <c r="BR577" s="829"/>
      <c r="BS577" s="829"/>
      <c r="BT577" s="829"/>
      <c r="BU577" s="829"/>
      <c r="BV577" s="829"/>
      <c r="BW577" s="829"/>
      <c r="BX577" s="829"/>
      <c r="BY577" s="829"/>
      <c r="BZ577" s="829"/>
      <c r="CA577" s="829"/>
      <c r="CB577" s="829"/>
      <c r="CC577" s="829"/>
      <c r="CD577" s="829"/>
      <c r="CE577" s="829"/>
      <c r="CF577" s="829"/>
      <c r="CG577" s="829"/>
      <c r="CH577" s="829"/>
      <c r="CI577" s="829"/>
      <c r="CJ577" s="829"/>
      <c r="CK577" s="829"/>
      <c r="CL577" s="829"/>
      <c r="CM577" s="829"/>
      <c r="CN577" s="829"/>
      <c r="CO577" s="829"/>
      <c r="CP577" s="829"/>
      <c r="CQ577" s="829"/>
      <c r="CR577" s="829"/>
      <c r="CS577" s="829"/>
      <c r="CT577" s="829"/>
      <c r="CU577" s="829"/>
      <c r="CV577" s="829"/>
      <c r="CW577" s="829"/>
      <c r="CX577" s="829"/>
      <c r="CY577" s="829"/>
      <c r="CZ577" s="829"/>
      <c r="DA577" s="829"/>
      <c r="DB577" s="829"/>
      <c r="DC577" s="829"/>
      <c r="DD577" s="829"/>
      <c r="DE577" s="829"/>
      <c r="DF577" s="829"/>
      <c r="DG577" s="829"/>
      <c r="DH577" s="829"/>
      <c r="DI577" s="829"/>
      <c r="DJ577" s="829"/>
      <c r="DK577" s="829"/>
      <c r="DL577" s="829"/>
      <c r="DM577" s="829"/>
      <c r="DN577" s="829"/>
      <c r="DO577" s="829"/>
      <c r="DP577" s="829"/>
      <c r="DQ577" s="829"/>
      <c r="DR577" s="829"/>
      <c r="DS577" s="829"/>
      <c r="DT577" s="829"/>
      <c r="DU577" s="829"/>
      <c r="DV577" s="829"/>
      <c r="DW577" s="829"/>
      <c r="DX577" s="829"/>
      <c r="DY577" s="829"/>
      <c r="DZ577" s="829"/>
      <c r="EA577" s="829"/>
      <c r="EB577" s="829"/>
      <c r="EC577" s="829"/>
      <c r="ED577" s="829"/>
      <c r="EE577" s="829"/>
      <c r="EF577" s="829"/>
      <c r="EG577" s="829"/>
      <c r="EH577" s="829"/>
      <c r="EI577" s="829"/>
      <c r="EJ577" s="829"/>
      <c r="EK577" s="829"/>
      <c r="EL577" s="829"/>
      <c r="EM577" s="829"/>
      <c r="EN577" s="829"/>
      <c r="EO577" s="829"/>
      <c r="EP577" s="829"/>
      <c r="EQ577" s="829"/>
      <c r="ER577" s="829"/>
      <c r="ES577" s="829"/>
      <c r="ET577" s="829"/>
      <c r="EU577" s="829"/>
      <c r="EV577" s="829"/>
      <c r="EW577" s="829"/>
      <c r="EX577" s="829"/>
      <c r="EY577" s="829"/>
      <c r="EZ577" s="829"/>
      <c r="FA577" s="829"/>
      <c r="FB577" s="829"/>
      <c r="FC577" s="829"/>
      <c r="FD577" s="829"/>
      <c r="FE577" s="829"/>
      <c r="FF577" s="829"/>
      <c r="FG577" s="829"/>
      <c r="FH577" s="829"/>
      <c r="FI577" s="829"/>
      <c r="FJ577" s="829"/>
      <c r="FK577" s="829"/>
      <c r="FL577" s="829"/>
      <c r="FM577" s="829"/>
      <c r="FN577" s="829"/>
      <c r="FO577" s="829"/>
      <c r="FP577" s="829"/>
      <c r="FQ577" s="829"/>
      <c r="FR577" s="829"/>
      <c r="FS577" s="829"/>
      <c r="FT577" s="829"/>
      <c r="FU577" s="829"/>
      <c r="FV577" s="829"/>
      <c r="FW577" s="829"/>
      <c r="FX577" s="829"/>
      <c r="FY577" s="829"/>
      <c r="FZ577" s="829"/>
      <c r="GA577" s="829"/>
      <c r="GB577" s="829"/>
      <c r="GC577" s="829"/>
      <c r="GD577" s="829"/>
      <c r="GE577" s="829"/>
      <c r="GF577" s="829"/>
      <c r="GG577" s="829"/>
      <c r="GH577" s="829"/>
      <c r="GI577" s="829"/>
      <c r="GJ577" s="829"/>
      <c r="GK577" s="829"/>
      <c r="GL577" s="829"/>
      <c r="GM577" s="829"/>
      <c r="GN577" s="829"/>
      <c r="GO577" s="829"/>
      <c r="GP577" s="829"/>
      <c r="GQ577" s="829"/>
      <c r="GR577" s="829"/>
      <c r="GS577" s="829"/>
      <c r="GT577" s="829"/>
      <c r="GU577" s="829"/>
      <c r="GV577" s="829"/>
      <c r="GW577" s="829"/>
      <c r="GX577" s="829"/>
      <c r="GY577" s="829"/>
      <c r="GZ577" s="829"/>
      <c r="HA577" s="829"/>
      <c r="HB577" s="829"/>
      <c r="HC577" s="829"/>
      <c r="HD577" s="829"/>
      <c r="HE577" s="829"/>
      <c r="HF577" s="829"/>
      <c r="HG577" s="829"/>
      <c r="HH577" s="829"/>
      <c r="HI577" s="829"/>
      <c r="HJ577" s="829"/>
      <c r="HK577" s="829"/>
      <c r="HL577" s="829"/>
      <c r="HM577" s="829"/>
      <c r="HN577" s="829"/>
      <c r="HO577" s="829"/>
      <c r="HP577" s="829"/>
      <c r="HQ577" s="829"/>
      <c r="HR577" s="829"/>
      <c r="HS577" s="829"/>
      <c r="HT577" s="829"/>
      <c r="HU577" s="829"/>
      <c r="HV577" s="829"/>
      <c r="HW577" s="829"/>
      <c r="HX577" s="829"/>
      <c r="HY577" s="829"/>
      <c r="HZ577" s="829"/>
      <c r="IA577" s="829"/>
      <c r="IB577" s="829"/>
      <c r="IC577" s="829"/>
      <c r="ID577" s="829"/>
      <c r="IE577" s="829"/>
      <c r="IF577" s="829"/>
      <c r="IG577" s="829"/>
      <c r="IH577" s="829"/>
      <c r="II577" s="829"/>
      <c r="IJ577" s="829"/>
      <c r="IK577" s="829"/>
      <c r="IL577" s="829"/>
      <c r="IM577" s="829"/>
      <c r="IN577" s="829"/>
      <c r="IO577" s="829"/>
      <c r="IP577" s="829"/>
      <c r="IQ577" s="829"/>
    </row>
    <row r="578" spans="1:251" ht="14.1" customHeight="1">
      <c r="A578" s="888"/>
      <c r="B578" s="949"/>
      <c r="C578" s="947"/>
      <c r="D578" s="948"/>
      <c r="E578" s="360"/>
      <c r="F578" s="296"/>
      <c r="BI578" s="829"/>
      <c r="BJ578" s="829"/>
      <c r="BK578" s="829"/>
      <c r="BL578" s="829"/>
      <c r="BM578" s="829"/>
      <c r="BN578" s="829"/>
      <c r="BO578" s="829"/>
      <c r="BP578" s="829"/>
      <c r="BQ578" s="829"/>
      <c r="BR578" s="829"/>
      <c r="BS578" s="829"/>
      <c r="BT578" s="829"/>
      <c r="BU578" s="829"/>
      <c r="BV578" s="829"/>
      <c r="BW578" s="829"/>
      <c r="BX578" s="829"/>
      <c r="BY578" s="829"/>
      <c r="BZ578" s="829"/>
      <c r="CA578" s="829"/>
      <c r="CB578" s="829"/>
      <c r="CC578" s="829"/>
      <c r="CD578" s="829"/>
      <c r="CE578" s="829"/>
      <c r="CF578" s="829"/>
      <c r="CG578" s="829"/>
      <c r="CH578" s="829"/>
      <c r="CI578" s="829"/>
      <c r="CJ578" s="829"/>
      <c r="CK578" s="829"/>
      <c r="CL578" s="829"/>
      <c r="CM578" s="829"/>
      <c r="CN578" s="829"/>
      <c r="CO578" s="829"/>
      <c r="CP578" s="829"/>
      <c r="CQ578" s="829"/>
      <c r="CR578" s="829"/>
      <c r="CS578" s="829"/>
      <c r="CT578" s="829"/>
      <c r="CU578" s="829"/>
      <c r="CV578" s="829"/>
      <c r="CW578" s="829"/>
      <c r="CX578" s="829"/>
      <c r="CY578" s="829"/>
      <c r="CZ578" s="829"/>
      <c r="DA578" s="829"/>
      <c r="DB578" s="829"/>
      <c r="DC578" s="829"/>
      <c r="DD578" s="829"/>
      <c r="DE578" s="829"/>
      <c r="DF578" s="829"/>
      <c r="DG578" s="829"/>
      <c r="DH578" s="829"/>
      <c r="DI578" s="829"/>
      <c r="DJ578" s="829"/>
      <c r="DK578" s="829"/>
      <c r="DL578" s="829"/>
      <c r="DM578" s="829"/>
      <c r="DN578" s="829"/>
      <c r="DO578" s="829"/>
      <c r="DP578" s="829"/>
      <c r="DQ578" s="829"/>
      <c r="DR578" s="829"/>
      <c r="DS578" s="829"/>
      <c r="DT578" s="829"/>
      <c r="DU578" s="829"/>
      <c r="DV578" s="829"/>
      <c r="DW578" s="829"/>
      <c r="DX578" s="829"/>
      <c r="DY578" s="829"/>
      <c r="DZ578" s="829"/>
      <c r="EA578" s="829"/>
      <c r="EB578" s="829"/>
      <c r="EC578" s="829"/>
      <c r="ED578" s="829"/>
      <c r="EE578" s="829"/>
      <c r="EF578" s="829"/>
      <c r="EG578" s="829"/>
      <c r="EH578" s="829"/>
      <c r="EI578" s="829"/>
      <c r="EJ578" s="829"/>
      <c r="EK578" s="829"/>
      <c r="EL578" s="829"/>
      <c r="EM578" s="829"/>
      <c r="EN578" s="829"/>
      <c r="EO578" s="829"/>
      <c r="EP578" s="829"/>
      <c r="EQ578" s="829"/>
      <c r="ER578" s="829"/>
      <c r="ES578" s="829"/>
      <c r="ET578" s="829"/>
      <c r="EU578" s="829"/>
      <c r="EV578" s="829"/>
      <c r="EW578" s="829"/>
      <c r="EX578" s="829"/>
      <c r="EY578" s="829"/>
      <c r="EZ578" s="829"/>
      <c r="FA578" s="829"/>
      <c r="FB578" s="829"/>
      <c r="FC578" s="829"/>
      <c r="FD578" s="829"/>
      <c r="FE578" s="829"/>
      <c r="FF578" s="829"/>
      <c r="FG578" s="829"/>
      <c r="FH578" s="829"/>
      <c r="FI578" s="829"/>
      <c r="FJ578" s="829"/>
      <c r="FK578" s="829"/>
      <c r="FL578" s="829"/>
      <c r="FM578" s="829"/>
      <c r="FN578" s="829"/>
      <c r="FO578" s="829"/>
      <c r="FP578" s="829"/>
      <c r="FQ578" s="829"/>
      <c r="FR578" s="829"/>
      <c r="FS578" s="829"/>
      <c r="FT578" s="829"/>
      <c r="FU578" s="829"/>
      <c r="FV578" s="829"/>
      <c r="FW578" s="829"/>
      <c r="FX578" s="829"/>
      <c r="FY578" s="829"/>
      <c r="FZ578" s="829"/>
      <c r="GA578" s="829"/>
      <c r="GB578" s="829"/>
      <c r="GC578" s="829"/>
      <c r="GD578" s="829"/>
      <c r="GE578" s="829"/>
      <c r="GF578" s="829"/>
      <c r="GG578" s="829"/>
      <c r="GH578" s="829"/>
      <c r="GI578" s="829"/>
      <c r="GJ578" s="829"/>
      <c r="GK578" s="829"/>
      <c r="GL578" s="829"/>
      <c r="GM578" s="829"/>
      <c r="GN578" s="829"/>
      <c r="GO578" s="829"/>
      <c r="GP578" s="829"/>
      <c r="GQ578" s="829"/>
      <c r="GR578" s="829"/>
      <c r="GS578" s="829"/>
      <c r="GT578" s="829"/>
      <c r="GU578" s="829"/>
      <c r="GV578" s="829"/>
      <c r="GW578" s="829"/>
      <c r="GX578" s="829"/>
      <c r="GY578" s="829"/>
      <c r="GZ578" s="829"/>
      <c r="HA578" s="829"/>
      <c r="HB578" s="829"/>
      <c r="HC578" s="829"/>
      <c r="HD578" s="829"/>
      <c r="HE578" s="829"/>
      <c r="HF578" s="829"/>
      <c r="HG578" s="829"/>
      <c r="HH578" s="829"/>
      <c r="HI578" s="829"/>
      <c r="HJ578" s="829"/>
      <c r="HK578" s="829"/>
      <c r="HL578" s="829"/>
      <c r="HM578" s="829"/>
      <c r="HN578" s="829"/>
      <c r="HO578" s="829"/>
      <c r="HP578" s="829"/>
      <c r="HQ578" s="829"/>
      <c r="HR578" s="829"/>
      <c r="HS578" s="829"/>
      <c r="HT578" s="829"/>
      <c r="HU578" s="829"/>
      <c r="HV578" s="829"/>
      <c r="HW578" s="829"/>
      <c r="HX578" s="829"/>
      <c r="HY578" s="829"/>
      <c r="HZ578" s="829"/>
      <c r="IA578" s="829"/>
      <c r="IB578" s="829"/>
      <c r="IC578" s="829"/>
      <c r="ID578" s="829"/>
      <c r="IE578" s="829"/>
      <c r="IF578" s="829"/>
      <c r="IG578" s="829"/>
      <c r="IH578" s="829"/>
      <c r="II578" s="829"/>
      <c r="IJ578" s="829"/>
      <c r="IK578" s="829"/>
      <c r="IL578" s="829"/>
      <c r="IM578" s="829"/>
      <c r="IN578" s="829"/>
      <c r="IO578" s="829"/>
      <c r="IP578" s="829"/>
      <c r="IQ578" s="829"/>
    </row>
    <row r="579" spans="1:251" ht="14.1" customHeight="1">
      <c r="A579" s="888"/>
      <c r="B579" s="949"/>
      <c r="C579" s="947"/>
      <c r="D579" s="948"/>
      <c r="E579" s="360"/>
      <c r="F579" s="296"/>
      <c r="BI579" s="829"/>
      <c r="BJ579" s="829"/>
      <c r="BK579" s="829"/>
      <c r="BL579" s="829"/>
      <c r="BM579" s="829"/>
      <c r="BN579" s="829"/>
      <c r="BO579" s="829"/>
      <c r="BP579" s="829"/>
      <c r="BQ579" s="829"/>
      <c r="BR579" s="829"/>
      <c r="BS579" s="829"/>
      <c r="BT579" s="829"/>
      <c r="BU579" s="829"/>
      <c r="BV579" s="829"/>
      <c r="BW579" s="829"/>
      <c r="BX579" s="829"/>
      <c r="BY579" s="829"/>
      <c r="BZ579" s="829"/>
      <c r="CA579" s="829"/>
      <c r="CB579" s="829"/>
      <c r="CC579" s="829"/>
      <c r="CD579" s="829"/>
      <c r="CE579" s="829"/>
      <c r="CF579" s="829"/>
      <c r="CG579" s="829"/>
      <c r="CH579" s="829"/>
      <c r="CI579" s="829"/>
      <c r="CJ579" s="829"/>
      <c r="CK579" s="829"/>
      <c r="CL579" s="829"/>
      <c r="CM579" s="829"/>
      <c r="CN579" s="829"/>
      <c r="CO579" s="829"/>
      <c r="CP579" s="829"/>
      <c r="CQ579" s="829"/>
      <c r="CR579" s="829"/>
      <c r="CS579" s="829"/>
      <c r="CT579" s="829"/>
      <c r="CU579" s="829"/>
      <c r="CV579" s="829"/>
      <c r="CW579" s="829"/>
      <c r="CX579" s="829"/>
      <c r="CY579" s="829"/>
      <c r="CZ579" s="829"/>
      <c r="DA579" s="829"/>
      <c r="DB579" s="829"/>
      <c r="DC579" s="829"/>
      <c r="DD579" s="829"/>
      <c r="DE579" s="829"/>
      <c r="DF579" s="829"/>
      <c r="DG579" s="829"/>
      <c r="DH579" s="829"/>
      <c r="DI579" s="829"/>
      <c r="DJ579" s="829"/>
      <c r="DK579" s="829"/>
      <c r="DL579" s="829"/>
      <c r="DM579" s="829"/>
      <c r="DN579" s="829"/>
      <c r="DO579" s="829"/>
      <c r="DP579" s="829"/>
      <c r="DQ579" s="829"/>
      <c r="DR579" s="829"/>
      <c r="DS579" s="829"/>
      <c r="DT579" s="829"/>
      <c r="DU579" s="829"/>
      <c r="DV579" s="829"/>
      <c r="DW579" s="829"/>
      <c r="DX579" s="829"/>
      <c r="DY579" s="829"/>
      <c r="DZ579" s="829"/>
      <c r="EA579" s="829"/>
      <c r="EB579" s="829"/>
      <c r="EC579" s="829"/>
      <c r="ED579" s="829"/>
      <c r="EE579" s="829"/>
      <c r="EF579" s="829"/>
      <c r="EG579" s="829"/>
      <c r="EH579" s="829"/>
      <c r="EI579" s="829"/>
      <c r="EJ579" s="829"/>
      <c r="EK579" s="829"/>
      <c r="EL579" s="829"/>
      <c r="EM579" s="829"/>
      <c r="EN579" s="829"/>
      <c r="EO579" s="829"/>
      <c r="EP579" s="829"/>
      <c r="EQ579" s="829"/>
      <c r="ER579" s="829"/>
      <c r="ES579" s="829"/>
      <c r="ET579" s="829"/>
      <c r="EU579" s="829"/>
      <c r="EV579" s="829"/>
      <c r="EW579" s="829"/>
      <c r="EX579" s="829"/>
      <c r="EY579" s="829"/>
      <c r="EZ579" s="829"/>
      <c r="FA579" s="829"/>
      <c r="FB579" s="829"/>
      <c r="FC579" s="829"/>
      <c r="FD579" s="829"/>
      <c r="FE579" s="829"/>
      <c r="FF579" s="829"/>
      <c r="FG579" s="829"/>
      <c r="FH579" s="829"/>
      <c r="FI579" s="829"/>
      <c r="FJ579" s="829"/>
      <c r="FK579" s="829"/>
      <c r="FL579" s="829"/>
      <c r="FM579" s="829"/>
      <c r="FN579" s="829"/>
      <c r="FO579" s="829"/>
      <c r="FP579" s="829"/>
      <c r="FQ579" s="829"/>
      <c r="FR579" s="829"/>
      <c r="FS579" s="829"/>
      <c r="FT579" s="829"/>
      <c r="FU579" s="829"/>
      <c r="FV579" s="829"/>
      <c r="FW579" s="829"/>
      <c r="FX579" s="829"/>
      <c r="FY579" s="829"/>
      <c r="FZ579" s="829"/>
      <c r="GA579" s="829"/>
      <c r="GB579" s="829"/>
      <c r="GC579" s="829"/>
      <c r="GD579" s="829"/>
      <c r="GE579" s="829"/>
      <c r="GF579" s="829"/>
      <c r="GG579" s="829"/>
      <c r="GH579" s="829"/>
      <c r="GI579" s="829"/>
      <c r="GJ579" s="829"/>
      <c r="GK579" s="829"/>
      <c r="GL579" s="829"/>
      <c r="GM579" s="829"/>
      <c r="GN579" s="829"/>
      <c r="GO579" s="829"/>
      <c r="GP579" s="829"/>
      <c r="GQ579" s="829"/>
      <c r="GR579" s="829"/>
      <c r="GS579" s="829"/>
      <c r="GT579" s="829"/>
      <c r="GU579" s="829"/>
      <c r="GV579" s="829"/>
      <c r="GW579" s="829"/>
      <c r="GX579" s="829"/>
      <c r="GY579" s="829"/>
      <c r="GZ579" s="829"/>
      <c r="HA579" s="829"/>
      <c r="HB579" s="829"/>
      <c r="HC579" s="829"/>
      <c r="HD579" s="829"/>
      <c r="HE579" s="829"/>
      <c r="HF579" s="829"/>
      <c r="HG579" s="829"/>
      <c r="HH579" s="829"/>
      <c r="HI579" s="829"/>
      <c r="HJ579" s="829"/>
      <c r="HK579" s="829"/>
      <c r="HL579" s="829"/>
      <c r="HM579" s="829"/>
      <c r="HN579" s="829"/>
      <c r="HO579" s="829"/>
      <c r="HP579" s="829"/>
      <c r="HQ579" s="829"/>
      <c r="HR579" s="829"/>
      <c r="HS579" s="829"/>
      <c r="HT579" s="829"/>
      <c r="HU579" s="829"/>
      <c r="HV579" s="829"/>
      <c r="HW579" s="829"/>
      <c r="HX579" s="829"/>
      <c r="HY579" s="829"/>
      <c r="HZ579" s="829"/>
      <c r="IA579" s="829"/>
      <c r="IB579" s="829"/>
      <c r="IC579" s="829"/>
      <c r="ID579" s="829"/>
      <c r="IE579" s="829"/>
      <c r="IF579" s="829"/>
      <c r="IG579" s="829"/>
      <c r="IH579" s="829"/>
      <c r="II579" s="829"/>
      <c r="IJ579" s="829"/>
      <c r="IK579" s="829"/>
      <c r="IL579" s="829"/>
      <c r="IM579" s="829"/>
      <c r="IN579" s="829"/>
      <c r="IO579" s="829"/>
      <c r="IP579" s="829"/>
      <c r="IQ579" s="829"/>
    </row>
    <row r="580" spans="1:251" ht="14.1" customHeight="1">
      <c r="A580" s="888"/>
      <c r="B580" s="949"/>
      <c r="C580" s="947"/>
      <c r="D580" s="948"/>
      <c r="E580" s="360"/>
      <c r="F580" s="296"/>
      <c r="BI580" s="829"/>
      <c r="BJ580" s="829"/>
      <c r="BK580" s="829"/>
      <c r="BL580" s="829"/>
      <c r="BM580" s="829"/>
      <c r="BN580" s="829"/>
      <c r="BO580" s="829"/>
      <c r="BP580" s="829"/>
      <c r="BQ580" s="829"/>
      <c r="BR580" s="829"/>
      <c r="BS580" s="829"/>
      <c r="BT580" s="829"/>
      <c r="BU580" s="829"/>
      <c r="BV580" s="829"/>
      <c r="BW580" s="829"/>
      <c r="BX580" s="829"/>
      <c r="BY580" s="829"/>
      <c r="BZ580" s="829"/>
      <c r="CA580" s="829"/>
      <c r="CB580" s="829"/>
      <c r="CC580" s="829"/>
      <c r="CD580" s="829"/>
      <c r="CE580" s="829"/>
      <c r="CF580" s="829"/>
      <c r="CG580" s="829"/>
      <c r="CH580" s="829"/>
      <c r="CI580" s="829"/>
      <c r="CJ580" s="829"/>
      <c r="CK580" s="829"/>
      <c r="CL580" s="829"/>
      <c r="CM580" s="829"/>
      <c r="CN580" s="829"/>
      <c r="CO580" s="829"/>
      <c r="CP580" s="829"/>
      <c r="CQ580" s="829"/>
      <c r="CR580" s="829"/>
      <c r="CS580" s="829"/>
      <c r="CT580" s="829"/>
      <c r="CU580" s="829"/>
      <c r="CV580" s="829"/>
      <c r="CW580" s="829"/>
      <c r="CX580" s="829"/>
      <c r="CY580" s="829"/>
      <c r="CZ580" s="829"/>
      <c r="DA580" s="829"/>
      <c r="DB580" s="829"/>
      <c r="DC580" s="829"/>
      <c r="DD580" s="829"/>
      <c r="DE580" s="829"/>
      <c r="DF580" s="829"/>
      <c r="DG580" s="829"/>
      <c r="DH580" s="829"/>
      <c r="DI580" s="829"/>
      <c r="DJ580" s="829"/>
      <c r="DK580" s="829"/>
      <c r="DL580" s="829"/>
      <c r="DM580" s="829"/>
      <c r="DN580" s="829"/>
      <c r="DO580" s="829"/>
      <c r="DP580" s="829"/>
      <c r="DQ580" s="829"/>
      <c r="DR580" s="829"/>
      <c r="DS580" s="829"/>
      <c r="DT580" s="829"/>
      <c r="DU580" s="829"/>
      <c r="DV580" s="829"/>
      <c r="DW580" s="829"/>
      <c r="DX580" s="829"/>
      <c r="DY580" s="829"/>
      <c r="DZ580" s="829"/>
      <c r="EA580" s="829"/>
      <c r="EB580" s="829"/>
      <c r="EC580" s="829"/>
      <c r="ED580" s="829"/>
      <c r="EE580" s="829"/>
      <c r="EF580" s="829"/>
      <c r="EG580" s="829"/>
      <c r="EH580" s="829"/>
      <c r="EI580" s="829"/>
      <c r="EJ580" s="829"/>
      <c r="EK580" s="829"/>
      <c r="EL580" s="829"/>
      <c r="EM580" s="829"/>
      <c r="EN580" s="829"/>
      <c r="EO580" s="829"/>
      <c r="EP580" s="829"/>
      <c r="EQ580" s="829"/>
      <c r="ER580" s="829"/>
      <c r="ES580" s="829"/>
      <c r="ET580" s="829"/>
      <c r="EU580" s="829"/>
      <c r="EV580" s="829"/>
      <c r="EW580" s="829"/>
      <c r="EX580" s="829"/>
      <c r="EY580" s="829"/>
      <c r="EZ580" s="829"/>
      <c r="FA580" s="829"/>
      <c r="FB580" s="829"/>
      <c r="FC580" s="829"/>
      <c r="FD580" s="829"/>
      <c r="FE580" s="829"/>
      <c r="FF580" s="829"/>
      <c r="FG580" s="829"/>
      <c r="FH580" s="829"/>
      <c r="FI580" s="829"/>
      <c r="FJ580" s="829"/>
      <c r="FK580" s="829"/>
      <c r="FL580" s="829"/>
      <c r="FM580" s="829"/>
      <c r="FN580" s="829"/>
      <c r="FO580" s="829"/>
      <c r="FP580" s="829"/>
      <c r="FQ580" s="829"/>
      <c r="FR580" s="829"/>
      <c r="FS580" s="829"/>
      <c r="FT580" s="829"/>
      <c r="FU580" s="829"/>
      <c r="FV580" s="829"/>
      <c r="FW580" s="829"/>
      <c r="FX580" s="829"/>
      <c r="FY580" s="829"/>
      <c r="FZ580" s="829"/>
      <c r="GA580" s="829"/>
      <c r="GB580" s="829"/>
      <c r="GC580" s="829"/>
      <c r="GD580" s="829"/>
      <c r="GE580" s="829"/>
      <c r="GF580" s="829"/>
      <c r="GG580" s="829"/>
      <c r="GH580" s="829"/>
      <c r="GI580" s="829"/>
      <c r="GJ580" s="829"/>
      <c r="GK580" s="829"/>
      <c r="GL580" s="829"/>
      <c r="GM580" s="829"/>
      <c r="GN580" s="829"/>
      <c r="GO580" s="829"/>
      <c r="GP580" s="829"/>
      <c r="GQ580" s="829"/>
      <c r="GR580" s="829"/>
      <c r="GS580" s="829"/>
      <c r="GT580" s="829"/>
      <c r="GU580" s="829"/>
      <c r="GV580" s="829"/>
      <c r="GW580" s="829"/>
      <c r="GX580" s="829"/>
      <c r="GY580" s="829"/>
      <c r="GZ580" s="829"/>
      <c r="HA580" s="829"/>
      <c r="HB580" s="829"/>
      <c r="HC580" s="829"/>
      <c r="HD580" s="829"/>
      <c r="HE580" s="829"/>
      <c r="HF580" s="829"/>
      <c r="HG580" s="829"/>
      <c r="HH580" s="829"/>
      <c r="HI580" s="829"/>
      <c r="HJ580" s="829"/>
      <c r="HK580" s="829"/>
      <c r="HL580" s="829"/>
      <c r="HM580" s="829"/>
      <c r="HN580" s="829"/>
      <c r="HO580" s="829"/>
      <c r="HP580" s="829"/>
      <c r="HQ580" s="829"/>
      <c r="HR580" s="829"/>
      <c r="HS580" s="829"/>
      <c r="HT580" s="829"/>
      <c r="HU580" s="829"/>
      <c r="HV580" s="829"/>
      <c r="HW580" s="829"/>
      <c r="HX580" s="829"/>
      <c r="HY580" s="829"/>
      <c r="HZ580" s="829"/>
      <c r="IA580" s="829"/>
      <c r="IB580" s="829"/>
      <c r="IC580" s="829"/>
      <c r="ID580" s="829"/>
      <c r="IE580" s="829"/>
      <c r="IF580" s="829"/>
      <c r="IG580" s="829"/>
      <c r="IH580" s="829"/>
      <c r="II580" s="829"/>
      <c r="IJ580" s="829"/>
      <c r="IK580" s="829"/>
      <c r="IL580" s="829"/>
      <c r="IM580" s="829"/>
      <c r="IN580" s="829"/>
      <c r="IO580" s="829"/>
      <c r="IP580" s="829"/>
      <c r="IQ580" s="829"/>
    </row>
    <row r="581" spans="1:251" ht="14.1" customHeight="1">
      <c r="A581" s="888"/>
      <c r="B581" s="949"/>
      <c r="C581" s="947"/>
      <c r="D581" s="948"/>
      <c r="E581" s="360"/>
      <c r="F581" s="296"/>
      <c r="BI581" s="829"/>
      <c r="BJ581" s="829"/>
      <c r="BK581" s="829"/>
      <c r="BL581" s="829"/>
      <c r="BM581" s="829"/>
      <c r="BN581" s="829"/>
      <c r="BO581" s="829"/>
      <c r="BP581" s="829"/>
      <c r="BQ581" s="829"/>
      <c r="BR581" s="829"/>
      <c r="BS581" s="829"/>
      <c r="BT581" s="829"/>
      <c r="BU581" s="829"/>
      <c r="BV581" s="829"/>
      <c r="BW581" s="829"/>
      <c r="BX581" s="829"/>
      <c r="BY581" s="829"/>
      <c r="BZ581" s="829"/>
      <c r="CA581" s="829"/>
      <c r="CB581" s="829"/>
      <c r="CC581" s="829"/>
      <c r="CD581" s="829"/>
      <c r="CE581" s="829"/>
      <c r="CF581" s="829"/>
      <c r="CG581" s="829"/>
      <c r="CH581" s="829"/>
      <c r="CI581" s="829"/>
      <c r="CJ581" s="829"/>
      <c r="CK581" s="829"/>
      <c r="CL581" s="829"/>
      <c r="CM581" s="829"/>
      <c r="CN581" s="829"/>
      <c r="CO581" s="829"/>
      <c r="CP581" s="829"/>
      <c r="CQ581" s="829"/>
      <c r="CR581" s="829"/>
      <c r="CS581" s="829"/>
      <c r="CT581" s="829"/>
      <c r="CU581" s="829"/>
      <c r="CV581" s="829"/>
      <c r="CW581" s="829"/>
      <c r="CX581" s="829"/>
      <c r="CY581" s="829"/>
      <c r="CZ581" s="829"/>
      <c r="DA581" s="829"/>
      <c r="DB581" s="829"/>
      <c r="DC581" s="829"/>
      <c r="DD581" s="829"/>
      <c r="DE581" s="829"/>
      <c r="DF581" s="829"/>
      <c r="DG581" s="829"/>
      <c r="DH581" s="829"/>
      <c r="DI581" s="829"/>
      <c r="DJ581" s="829"/>
      <c r="DK581" s="829"/>
      <c r="DL581" s="829"/>
      <c r="DM581" s="829"/>
      <c r="DN581" s="829"/>
      <c r="DO581" s="829"/>
      <c r="DP581" s="829"/>
      <c r="DQ581" s="829"/>
      <c r="DR581" s="829"/>
      <c r="DS581" s="829"/>
      <c r="DT581" s="829"/>
      <c r="DU581" s="829"/>
      <c r="DV581" s="829"/>
      <c r="DW581" s="829"/>
      <c r="DX581" s="829"/>
      <c r="DY581" s="829"/>
      <c r="DZ581" s="829"/>
      <c r="EA581" s="829"/>
      <c r="EB581" s="829"/>
      <c r="EC581" s="829"/>
      <c r="ED581" s="829"/>
      <c r="EE581" s="829"/>
      <c r="EF581" s="829"/>
      <c r="EG581" s="829"/>
      <c r="EH581" s="829"/>
      <c r="EI581" s="829"/>
      <c r="EJ581" s="829"/>
      <c r="EK581" s="829"/>
      <c r="EL581" s="829"/>
      <c r="EM581" s="829"/>
      <c r="EN581" s="829"/>
      <c r="EO581" s="829"/>
      <c r="EP581" s="829"/>
      <c r="EQ581" s="829"/>
      <c r="ER581" s="829"/>
      <c r="ES581" s="829"/>
      <c r="ET581" s="829"/>
      <c r="EU581" s="829"/>
      <c r="EV581" s="829"/>
      <c r="EW581" s="829"/>
      <c r="EX581" s="829"/>
      <c r="EY581" s="829"/>
      <c r="EZ581" s="829"/>
      <c r="FA581" s="829"/>
      <c r="FB581" s="829"/>
      <c r="FC581" s="829"/>
      <c r="FD581" s="829"/>
      <c r="FE581" s="829"/>
      <c r="FF581" s="829"/>
      <c r="FG581" s="829"/>
      <c r="FH581" s="829"/>
      <c r="FI581" s="829"/>
      <c r="FJ581" s="829"/>
      <c r="FK581" s="829"/>
      <c r="FL581" s="829"/>
      <c r="FM581" s="829"/>
      <c r="FN581" s="829"/>
      <c r="FO581" s="829"/>
      <c r="FP581" s="829"/>
      <c r="FQ581" s="829"/>
      <c r="FR581" s="829"/>
      <c r="FS581" s="829"/>
      <c r="FT581" s="829"/>
      <c r="FU581" s="829"/>
      <c r="FV581" s="829"/>
      <c r="FW581" s="829"/>
      <c r="FX581" s="829"/>
      <c r="FY581" s="829"/>
      <c r="FZ581" s="829"/>
      <c r="GA581" s="829"/>
      <c r="GB581" s="829"/>
      <c r="GC581" s="829"/>
      <c r="GD581" s="829"/>
      <c r="GE581" s="829"/>
      <c r="GF581" s="829"/>
      <c r="GG581" s="829"/>
      <c r="GH581" s="829"/>
      <c r="GI581" s="829"/>
      <c r="GJ581" s="829"/>
      <c r="GK581" s="829"/>
      <c r="GL581" s="829"/>
      <c r="GM581" s="829"/>
      <c r="GN581" s="829"/>
      <c r="GO581" s="829"/>
      <c r="GP581" s="829"/>
      <c r="GQ581" s="829"/>
      <c r="GR581" s="829"/>
      <c r="GS581" s="829"/>
      <c r="GT581" s="829"/>
      <c r="GU581" s="829"/>
      <c r="GV581" s="829"/>
      <c r="GW581" s="829"/>
      <c r="GX581" s="829"/>
      <c r="GY581" s="829"/>
      <c r="GZ581" s="829"/>
      <c r="HA581" s="829"/>
      <c r="HB581" s="829"/>
      <c r="HC581" s="829"/>
      <c r="HD581" s="829"/>
      <c r="HE581" s="829"/>
      <c r="HF581" s="829"/>
      <c r="HG581" s="829"/>
      <c r="HH581" s="829"/>
      <c r="HI581" s="829"/>
      <c r="HJ581" s="829"/>
      <c r="HK581" s="829"/>
      <c r="HL581" s="829"/>
      <c r="HM581" s="829"/>
      <c r="HN581" s="829"/>
      <c r="HO581" s="829"/>
      <c r="HP581" s="829"/>
      <c r="HQ581" s="829"/>
      <c r="HR581" s="829"/>
      <c r="HS581" s="829"/>
      <c r="HT581" s="829"/>
      <c r="HU581" s="829"/>
      <c r="HV581" s="829"/>
      <c r="HW581" s="829"/>
      <c r="HX581" s="829"/>
      <c r="HY581" s="829"/>
      <c r="HZ581" s="829"/>
      <c r="IA581" s="829"/>
      <c r="IB581" s="829"/>
      <c r="IC581" s="829"/>
      <c r="ID581" s="829"/>
      <c r="IE581" s="829"/>
      <c r="IF581" s="829"/>
      <c r="IG581" s="829"/>
      <c r="IH581" s="829"/>
      <c r="II581" s="829"/>
      <c r="IJ581" s="829"/>
      <c r="IK581" s="829"/>
      <c r="IL581" s="829"/>
      <c r="IM581" s="829"/>
      <c r="IN581" s="829"/>
      <c r="IO581" s="829"/>
      <c r="IP581" s="829"/>
      <c r="IQ581" s="829"/>
    </row>
    <row r="582" spans="1:251" ht="14.1" customHeight="1">
      <c r="A582" s="888"/>
      <c r="B582" s="946" t="s">
        <v>1996</v>
      </c>
      <c r="C582" s="947" t="s">
        <v>1997</v>
      </c>
      <c r="D582" s="948" t="s">
        <v>1998</v>
      </c>
      <c r="E582" s="360">
        <f>'[4]COSTO CDMX,QRO,GDL '!I578</f>
        <v>15380</v>
      </c>
      <c r="F582" s="217" t="s">
        <v>284</v>
      </c>
      <c r="BI582" s="829"/>
      <c r="BJ582" s="829"/>
      <c r="BK582" s="829"/>
      <c r="BL582" s="829"/>
      <c r="BM582" s="829"/>
      <c r="BN582" s="829"/>
      <c r="BO582" s="829"/>
      <c r="BP582" s="829"/>
      <c r="BQ582" s="829"/>
      <c r="BR582" s="829"/>
      <c r="BS582" s="829"/>
      <c r="BT582" s="829"/>
      <c r="BU582" s="829"/>
      <c r="BV582" s="829"/>
      <c r="BW582" s="829"/>
      <c r="BX582" s="829"/>
      <c r="BY582" s="829"/>
      <c r="BZ582" s="829"/>
      <c r="CA582" s="829"/>
      <c r="CB582" s="829"/>
      <c r="CC582" s="829"/>
      <c r="CD582" s="829"/>
      <c r="CE582" s="829"/>
      <c r="CF582" s="829"/>
      <c r="CG582" s="829"/>
      <c r="CH582" s="829"/>
      <c r="CI582" s="829"/>
      <c r="CJ582" s="829"/>
      <c r="CK582" s="829"/>
      <c r="CL582" s="829"/>
      <c r="CM582" s="829"/>
      <c r="CN582" s="829"/>
      <c r="CO582" s="829"/>
      <c r="CP582" s="829"/>
      <c r="CQ582" s="829"/>
      <c r="CR582" s="829"/>
      <c r="CS582" s="829"/>
      <c r="CT582" s="829"/>
      <c r="CU582" s="829"/>
      <c r="CV582" s="829"/>
      <c r="CW582" s="829"/>
      <c r="CX582" s="829"/>
      <c r="CY582" s="829"/>
      <c r="CZ582" s="829"/>
      <c r="DA582" s="829"/>
      <c r="DB582" s="829"/>
      <c r="DC582" s="829"/>
      <c r="DD582" s="829"/>
      <c r="DE582" s="829"/>
      <c r="DF582" s="829"/>
      <c r="DG582" s="829"/>
      <c r="DH582" s="829"/>
      <c r="DI582" s="829"/>
      <c r="DJ582" s="829"/>
      <c r="DK582" s="829"/>
      <c r="DL582" s="829"/>
      <c r="DM582" s="829"/>
      <c r="DN582" s="829"/>
      <c r="DO582" s="829"/>
      <c r="DP582" s="829"/>
      <c r="DQ582" s="829"/>
      <c r="DR582" s="829"/>
      <c r="DS582" s="829"/>
      <c r="DT582" s="829"/>
      <c r="DU582" s="829"/>
      <c r="DV582" s="829"/>
      <c r="DW582" s="829"/>
      <c r="DX582" s="829"/>
      <c r="DY582" s="829"/>
      <c r="DZ582" s="829"/>
      <c r="EA582" s="829"/>
      <c r="EB582" s="829"/>
      <c r="EC582" s="829"/>
      <c r="ED582" s="829"/>
      <c r="EE582" s="829"/>
      <c r="EF582" s="829"/>
      <c r="EG582" s="829"/>
      <c r="EH582" s="829"/>
      <c r="EI582" s="829"/>
      <c r="EJ582" s="829"/>
      <c r="EK582" s="829"/>
      <c r="EL582" s="829"/>
      <c r="EM582" s="829"/>
      <c r="EN582" s="829"/>
      <c r="EO582" s="829"/>
      <c r="EP582" s="829"/>
      <c r="EQ582" s="829"/>
      <c r="ER582" s="829"/>
      <c r="ES582" s="829"/>
      <c r="ET582" s="829"/>
      <c r="EU582" s="829"/>
      <c r="EV582" s="829"/>
      <c r="EW582" s="829"/>
      <c r="EX582" s="829"/>
      <c r="EY582" s="829"/>
      <c r="EZ582" s="829"/>
      <c r="FA582" s="829"/>
      <c r="FB582" s="829"/>
      <c r="FC582" s="829"/>
      <c r="FD582" s="829"/>
      <c r="FE582" s="829"/>
      <c r="FF582" s="829"/>
      <c r="FG582" s="829"/>
      <c r="FH582" s="829"/>
      <c r="FI582" s="829"/>
      <c r="FJ582" s="829"/>
      <c r="FK582" s="829"/>
      <c r="FL582" s="829"/>
      <c r="FM582" s="829"/>
      <c r="FN582" s="829"/>
      <c r="FO582" s="829"/>
      <c r="FP582" s="829"/>
      <c r="FQ582" s="829"/>
      <c r="FR582" s="829"/>
      <c r="FS582" s="829"/>
      <c r="FT582" s="829"/>
      <c r="FU582" s="829"/>
      <c r="FV582" s="829"/>
      <c r="FW582" s="829"/>
      <c r="FX582" s="829"/>
      <c r="FY582" s="829"/>
      <c r="FZ582" s="829"/>
      <c r="GA582" s="829"/>
      <c r="GB582" s="829"/>
      <c r="GC582" s="829"/>
      <c r="GD582" s="829"/>
      <c r="GE582" s="829"/>
      <c r="GF582" s="829"/>
      <c r="GG582" s="829"/>
      <c r="GH582" s="829"/>
      <c r="GI582" s="829"/>
      <c r="GJ582" s="829"/>
      <c r="GK582" s="829"/>
      <c r="GL582" s="829"/>
      <c r="GM582" s="829"/>
      <c r="GN582" s="829"/>
      <c r="GO582" s="829"/>
      <c r="GP582" s="829"/>
      <c r="GQ582" s="829"/>
      <c r="GR582" s="829"/>
      <c r="GS582" s="829"/>
      <c r="GT582" s="829"/>
      <c r="GU582" s="829"/>
      <c r="GV582" s="829"/>
      <c r="GW582" s="829"/>
      <c r="GX582" s="829"/>
      <c r="GY582" s="829"/>
      <c r="GZ582" s="829"/>
      <c r="HA582" s="829"/>
      <c r="HB582" s="829"/>
      <c r="HC582" s="829"/>
      <c r="HD582" s="829"/>
      <c r="HE582" s="829"/>
      <c r="HF582" s="829"/>
      <c r="HG582" s="829"/>
      <c r="HH582" s="829"/>
      <c r="HI582" s="829"/>
      <c r="HJ582" s="829"/>
      <c r="HK582" s="829"/>
      <c r="HL582" s="829"/>
      <c r="HM582" s="829"/>
      <c r="HN582" s="829"/>
      <c r="HO582" s="829"/>
      <c r="HP582" s="829"/>
      <c r="HQ582" s="829"/>
      <c r="HR582" s="829"/>
      <c r="HS582" s="829"/>
      <c r="HT582" s="829"/>
      <c r="HU582" s="829"/>
      <c r="HV582" s="829"/>
      <c r="HW582" s="829"/>
      <c r="HX582" s="829"/>
      <c r="HY582" s="829"/>
      <c r="HZ582" s="829"/>
      <c r="IA582" s="829"/>
      <c r="IB582" s="829"/>
      <c r="IC582" s="829"/>
      <c r="ID582" s="829"/>
      <c r="IE582" s="829"/>
      <c r="IF582" s="829"/>
      <c r="IG582" s="829"/>
      <c r="IH582" s="829"/>
      <c r="II582" s="829"/>
      <c r="IJ582" s="829"/>
      <c r="IK582" s="829"/>
      <c r="IL582" s="829"/>
      <c r="IM582" s="829"/>
      <c r="IN582" s="829"/>
      <c r="IO582" s="829"/>
      <c r="IP582" s="829"/>
      <c r="IQ582" s="829"/>
    </row>
    <row r="583" spans="1:251" ht="14.1" customHeight="1">
      <c r="A583" s="888"/>
      <c r="B583" s="949"/>
      <c r="C583" s="947" t="s">
        <v>1993</v>
      </c>
      <c r="D583" s="948"/>
      <c r="E583" s="360"/>
      <c r="F583" s="296"/>
      <c r="BI583" s="829"/>
      <c r="BJ583" s="829"/>
      <c r="BK583" s="829"/>
      <c r="BL583" s="829"/>
      <c r="BM583" s="829"/>
      <c r="BN583" s="829"/>
      <c r="BO583" s="829"/>
      <c r="BP583" s="829"/>
      <c r="BQ583" s="829"/>
      <c r="BR583" s="829"/>
      <c r="BS583" s="829"/>
      <c r="BT583" s="829"/>
      <c r="BU583" s="829"/>
      <c r="BV583" s="829"/>
      <c r="BW583" s="829"/>
      <c r="BX583" s="829"/>
      <c r="BY583" s="829"/>
      <c r="BZ583" s="829"/>
      <c r="CA583" s="829"/>
      <c r="CB583" s="829"/>
      <c r="CC583" s="829"/>
      <c r="CD583" s="829"/>
      <c r="CE583" s="829"/>
      <c r="CF583" s="829"/>
      <c r="CG583" s="829"/>
      <c r="CH583" s="829"/>
      <c r="CI583" s="829"/>
      <c r="CJ583" s="829"/>
      <c r="CK583" s="829"/>
      <c r="CL583" s="829"/>
      <c r="CM583" s="829"/>
      <c r="CN583" s="829"/>
      <c r="CO583" s="829"/>
      <c r="CP583" s="829"/>
      <c r="CQ583" s="829"/>
      <c r="CR583" s="829"/>
      <c r="CS583" s="829"/>
      <c r="CT583" s="829"/>
      <c r="CU583" s="829"/>
      <c r="CV583" s="829"/>
      <c r="CW583" s="829"/>
      <c r="CX583" s="829"/>
      <c r="CY583" s="829"/>
      <c r="CZ583" s="829"/>
      <c r="DA583" s="829"/>
      <c r="DB583" s="829"/>
      <c r="DC583" s="829"/>
      <c r="DD583" s="829"/>
      <c r="DE583" s="829"/>
      <c r="DF583" s="829"/>
      <c r="DG583" s="829"/>
      <c r="DH583" s="829"/>
      <c r="DI583" s="829"/>
      <c r="DJ583" s="829"/>
      <c r="DK583" s="829"/>
      <c r="DL583" s="829"/>
      <c r="DM583" s="829"/>
      <c r="DN583" s="829"/>
      <c r="DO583" s="829"/>
      <c r="DP583" s="829"/>
      <c r="DQ583" s="829"/>
      <c r="DR583" s="829"/>
      <c r="DS583" s="829"/>
      <c r="DT583" s="829"/>
      <c r="DU583" s="829"/>
      <c r="DV583" s="829"/>
      <c r="DW583" s="829"/>
      <c r="DX583" s="829"/>
      <c r="DY583" s="829"/>
      <c r="DZ583" s="829"/>
      <c r="EA583" s="829"/>
      <c r="EB583" s="829"/>
      <c r="EC583" s="829"/>
      <c r="ED583" s="829"/>
      <c r="EE583" s="829"/>
      <c r="EF583" s="829"/>
      <c r="EG583" s="829"/>
      <c r="EH583" s="829"/>
      <c r="EI583" s="829"/>
      <c r="EJ583" s="829"/>
      <c r="EK583" s="829"/>
      <c r="EL583" s="829"/>
      <c r="EM583" s="829"/>
      <c r="EN583" s="829"/>
      <c r="EO583" s="829"/>
      <c r="EP583" s="829"/>
      <c r="EQ583" s="829"/>
      <c r="ER583" s="829"/>
      <c r="ES583" s="829"/>
      <c r="ET583" s="829"/>
      <c r="EU583" s="829"/>
      <c r="EV583" s="829"/>
      <c r="EW583" s="829"/>
      <c r="EX583" s="829"/>
      <c r="EY583" s="829"/>
      <c r="EZ583" s="829"/>
      <c r="FA583" s="829"/>
      <c r="FB583" s="829"/>
      <c r="FC583" s="829"/>
      <c r="FD583" s="829"/>
      <c r="FE583" s="829"/>
      <c r="FF583" s="829"/>
      <c r="FG583" s="829"/>
      <c r="FH583" s="829"/>
      <c r="FI583" s="829"/>
      <c r="FJ583" s="829"/>
      <c r="FK583" s="829"/>
      <c r="FL583" s="829"/>
      <c r="FM583" s="829"/>
      <c r="FN583" s="829"/>
      <c r="FO583" s="829"/>
      <c r="FP583" s="829"/>
      <c r="FQ583" s="829"/>
      <c r="FR583" s="829"/>
      <c r="FS583" s="829"/>
      <c r="FT583" s="829"/>
      <c r="FU583" s="829"/>
      <c r="FV583" s="829"/>
      <c r="FW583" s="829"/>
      <c r="FX583" s="829"/>
      <c r="FY583" s="829"/>
      <c r="FZ583" s="829"/>
      <c r="GA583" s="829"/>
      <c r="GB583" s="829"/>
      <c r="GC583" s="829"/>
      <c r="GD583" s="829"/>
      <c r="GE583" s="829"/>
      <c r="GF583" s="829"/>
      <c r="GG583" s="829"/>
      <c r="GH583" s="829"/>
      <c r="GI583" s="829"/>
      <c r="GJ583" s="829"/>
      <c r="GK583" s="829"/>
      <c r="GL583" s="829"/>
      <c r="GM583" s="829"/>
      <c r="GN583" s="829"/>
      <c r="GO583" s="829"/>
      <c r="GP583" s="829"/>
      <c r="GQ583" s="829"/>
      <c r="GR583" s="829"/>
      <c r="GS583" s="829"/>
      <c r="GT583" s="829"/>
      <c r="GU583" s="829"/>
      <c r="GV583" s="829"/>
      <c r="GW583" s="829"/>
      <c r="GX583" s="829"/>
      <c r="GY583" s="829"/>
      <c r="GZ583" s="829"/>
      <c r="HA583" s="829"/>
      <c r="HB583" s="829"/>
      <c r="HC583" s="829"/>
      <c r="HD583" s="829"/>
      <c r="HE583" s="829"/>
      <c r="HF583" s="829"/>
      <c r="HG583" s="829"/>
      <c r="HH583" s="829"/>
      <c r="HI583" s="829"/>
      <c r="HJ583" s="829"/>
      <c r="HK583" s="829"/>
      <c r="HL583" s="829"/>
      <c r="HM583" s="829"/>
      <c r="HN583" s="829"/>
      <c r="HO583" s="829"/>
      <c r="HP583" s="829"/>
      <c r="HQ583" s="829"/>
      <c r="HR583" s="829"/>
      <c r="HS583" s="829"/>
      <c r="HT583" s="829"/>
      <c r="HU583" s="829"/>
      <c r="HV583" s="829"/>
      <c r="HW583" s="829"/>
      <c r="HX583" s="829"/>
      <c r="HY583" s="829"/>
      <c r="HZ583" s="829"/>
      <c r="IA583" s="829"/>
      <c r="IB583" s="829"/>
      <c r="IC583" s="829"/>
      <c r="ID583" s="829"/>
      <c r="IE583" s="829"/>
      <c r="IF583" s="829"/>
      <c r="IG583" s="829"/>
      <c r="IH583" s="829"/>
      <c r="II583" s="829"/>
      <c r="IJ583" s="829"/>
      <c r="IK583" s="829"/>
      <c r="IL583" s="829"/>
      <c r="IM583" s="829"/>
      <c r="IN583" s="829"/>
      <c r="IO583" s="829"/>
      <c r="IP583" s="829"/>
      <c r="IQ583" s="829"/>
    </row>
    <row r="584" spans="1:251" ht="14.1" customHeight="1">
      <c r="A584" s="888"/>
      <c r="B584" s="949"/>
      <c r="C584" s="947" t="s">
        <v>1994</v>
      </c>
      <c r="D584" s="948"/>
      <c r="E584" s="360"/>
      <c r="F584" s="296"/>
      <c r="BI584" s="829"/>
      <c r="BJ584" s="829"/>
      <c r="BK584" s="829"/>
      <c r="BL584" s="829"/>
      <c r="BM584" s="829"/>
      <c r="BN584" s="829"/>
      <c r="BO584" s="829"/>
      <c r="BP584" s="829"/>
      <c r="BQ584" s="829"/>
      <c r="BR584" s="829"/>
      <c r="BS584" s="829"/>
      <c r="BT584" s="829"/>
      <c r="BU584" s="829"/>
      <c r="BV584" s="829"/>
      <c r="BW584" s="829"/>
      <c r="BX584" s="829"/>
      <c r="BY584" s="829"/>
      <c r="BZ584" s="829"/>
      <c r="CA584" s="829"/>
      <c r="CB584" s="829"/>
      <c r="CC584" s="829"/>
      <c r="CD584" s="829"/>
      <c r="CE584" s="829"/>
      <c r="CF584" s="829"/>
      <c r="CG584" s="829"/>
      <c r="CH584" s="829"/>
      <c r="CI584" s="829"/>
      <c r="CJ584" s="829"/>
      <c r="CK584" s="829"/>
      <c r="CL584" s="829"/>
      <c r="CM584" s="829"/>
      <c r="CN584" s="829"/>
      <c r="CO584" s="829"/>
      <c r="CP584" s="829"/>
      <c r="CQ584" s="829"/>
      <c r="CR584" s="829"/>
      <c r="CS584" s="829"/>
      <c r="CT584" s="829"/>
      <c r="CU584" s="829"/>
      <c r="CV584" s="829"/>
      <c r="CW584" s="829"/>
      <c r="CX584" s="829"/>
      <c r="CY584" s="829"/>
      <c r="CZ584" s="829"/>
      <c r="DA584" s="829"/>
      <c r="DB584" s="829"/>
      <c r="DC584" s="829"/>
      <c r="DD584" s="829"/>
      <c r="DE584" s="829"/>
      <c r="DF584" s="829"/>
      <c r="DG584" s="829"/>
      <c r="DH584" s="829"/>
      <c r="DI584" s="829"/>
      <c r="DJ584" s="829"/>
      <c r="DK584" s="829"/>
      <c r="DL584" s="829"/>
      <c r="DM584" s="829"/>
      <c r="DN584" s="829"/>
      <c r="DO584" s="829"/>
      <c r="DP584" s="829"/>
      <c r="DQ584" s="829"/>
      <c r="DR584" s="829"/>
      <c r="DS584" s="829"/>
      <c r="DT584" s="829"/>
      <c r="DU584" s="829"/>
      <c r="DV584" s="829"/>
      <c r="DW584" s="829"/>
      <c r="DX584" s="829"/>
      <c r="DY584" s="829"/>
      <c r="DZ584" s="829"/>
      <c r="EA584" s="829"/>
      <c r="EB584" s="829"/>
      <c r="EC584" s="829"/>
      <c r="ED584" s="829"/>
      <c r="EE584" s="829"/>
      <c r="EF584" s="829"/>
      <c r="EG584" s="829"/>
      <c r="EH584" s="829"/>
      <c r="EI584" s="829"/>
      <c r="EJ584" s="829"/>
      <c r="EK584" s="829"/>
      <c r="EL584" s="829"/>
      <c r="EM584" s="829"/>
      <c r="EN584" s="829"/>
      <c r="EO584" s="829"/>
      <c r="EP584" s="829"/>
      <c r="EQ584" s="829"/>
      <c r="ER584" s="829"/>
      <c r="ES584" s="829"/>
      <c r="ET584" s="829"/>
      <c r="EU584" s="829"/>
      <c r="EV584" s="829"/>
      <c r="EW584" s="829"/>
      <c r="EX584" s="829"/>
      <c r="EY584" s="829"/>
      <c r="EZ584" s="829"/>
      <c r="FA584" s="829"/>
      <c r="FB584" s="829"/>
      <c r="FC584" s="829"/>
      <c r="FD584" s="829"/>
      <c r="FE584" s="829"/>
      <c r="FF584" s="829"/>
      <c r="FG584" s="829"/>
      <c r="FH584" s="829"/>
      <c r="FI584" s="829"/>
      <c r="FJ584" s="829"/>
      <c r="FK584" s="829"/>
      <c r="FL584" s="829"/>
      <c r="FM584" s="829"/>
      <c r="FN584" s="829"/>
      <c r="FO584" s="829"/>
      <c r="FP584" s="829"/>
      <c r="FQ584" s="829"/>
      <c r="FR584" s="829"/>
      <c r="FS584" s="829"/>
      <c r="FT584" s="829"/>
      <c r="FU584" s="829"/>
      <c r="FV584" s="829"/>
      <c r="FW584" s="829"/>
      <c r="FX584" s="829"/>
      <c r="FY584" s="829"/>
      <c r="FZ584" s="829"/>
      <c r="GA584" s="829"/>
      <c r="GB584" s="829"/>
      <c r="GC584" s="829"/>
      <c r="GD584" s="829"/>
      <c r="GE584" s="829"/>
      <c r="GF584" s="829"/>
      <c r="GG584" s="829"/>
      <c r="GH584" s="829"/>
      <c r="GI584" s="829"/>
      <c r="GJ584" s="829"/>
      <c r="GK584" s="829"/>
      <c r="GL584" s="829"/>
      <c r="GM584" s="829"/>
      <c r="GN584" s="829"/>
      <c r="GO584" s="829"/>
      <c r="GP584" s="829"/>
      <c r="GQ584" s="829"/>
      <c r="GR584" s="829"/>
      <c r="GS584" s="829"/>
      <c r="GT584" s="829"/>
      <c r="GU584" s="829"/>
      <c r="GV584" s="829"/>
      <c r="GW584" s="829"/>
      <c r="GX584" s="829"/>
      <c r="GY584" s="829"/>
      <c r="GZ584" s="829"/>
      <c r="HA584" s="829"/>
      <c r="HB584" s="829"/>
      <c r="HC584" s="829"/>
      <c r="HD584" s="829"/>
      <c r="HE584" s="829"/>
      <c r="HF584" s="829"/>
      <c r="HG584" s="829"/>
      <c r="HH584" s="829"/>
      <c r="HI584" s="829"/>
      <c r="HJ584" s="829"/>
      <c r="HK584" s="829"/>
      <c r="HL584" s="829"/>
      <c r="HM584" s="829"/>
      <c r="HN584" s="829"/>
      <c r="HO584" s="829"/>
      <c r="HP584" s="829"/>
      <c r="HQ584" s="829"/>
      <c r="HR584" s="829"/>
      <c r="HS584" s="829"/>
      <c r="HT584" s="829"/>
      <c r="HU584" s="829"/>
      <c r="HV584" s="829"/>
      <c r="HW584" s="829"/>
      <c r="HX584" s="829"/>
      <c r="HY584" s="829"/>
      <c r="HZ584" s="829"/>
      <c r="IA584" s="829"/>
      <c r="IB584" s="829"/>
      <c r="IC584" s="829"/>
      <c r="ID584" s="829"/>
      <c r="IE584" s="829"/>
      <c r="IF584" s="829"/>
      <c r="IG584" s="829"/>
      <c r="IH584" s="829"/>
      <c r="II584" s="829"/>
      <c r="IJ584" s="829"/>
      <c r="IK584" s="829"/>
      <c r="IL584" s="829"/>
      <c r="IM584" s="829"/>
      <c r="IN584" s="829"/>
      <c r="IO584" s="829"/>
      <c r="IP584" s="829"/>
      <c r="IQ584" s="829"/>
    </row>
    <row r="585" spans="1:251" ht="14.1" customHeight="1">
      <c r="A585" s="888"/>
      <c r="B585" s="949"/>
      <c r="C585" s="947" t="s">
        <v>1995</v>
      </c>
      <c r="D585" s="948"/>
      <c r="E585" s="360"/>
      <c r="F585" s="500"/>
      <c r="BI585" s="829"/>
      <c r="BJ585" s="829"/>
      <c r="BK585" s="829"/>
      <c r="BL585" s="829"/>
      <c r="BM585" s="829"/>
      <c r="BN585" s="829"/>
      <c r="BO585" s="829"/>
      <c r="BP585" s="829"/>
      <c r="BQ585" s="829"/>
      <c r="BR585" s="829"/>
      <c r="BS585" s="829"/>
      <c r="BT585" s="829"/>
      <c r="BU585" s="829"/>
      <c r="BV585" s="829"/>
      <c r="BW585" s="829"/>
      <c r="BX585" s="829"/>
      <c r="BY585" s="829"/>
      <c r="BZ585" s="829"/>
      <c r="CA585" s="829"/>
      <c r="CB585" s="829"/>
      <c r="CC585" s="829"/>
      <c r="CD585" s="829"/>
      <c r="CE585" s="829"/>
      <c r="CF585" s="829"/>
      <c r="CG585" s="829"/>
      <c r="CH585" s="829"/>
      <c r="CI585" s="829"/>
      <c r="CJ585" s="829"/>
      <c r="CK585" s="829"/>
      <c r="CL585" s="829"/>
      <c r="CM585" s="829"/>
      <c r="CN585" s="829"/>
      <c r="CO585" s="829"/>
      <c r="CP585" s="829"/>
      <c r="CQ585" s="829"/>
      <c r="CR585" s="829"/>
      <c r="CS585" s="829"/>
      <c r="CT585" s="829"/>
      <c r="CU585" s="829"/>
      <c r="CV585" s="829"/>
      <c r="CW585" s="829"/>
      <c r="CX585" s="829"/>
      <c r="CY585" s="829"/>
      <c r="CZ585" s="829"/>
      <c r="DA585" s="829"/>
      <c r="DB585" s="829"/>
      <c r="DC585" s="829"/>
      <c r="DD585" s="829"/>
      <c r="DE585" s="829"/>
      <c r="DF585" s="829"/>
      <c r="DG585" s="829"/>
      <c r="DH585" s="829"/>
      <c r="DI585" s="829"/>
      <c r="DJ585" s="829"/>
      <c r="DK585" s="829"/>
      <c r="DL585" s="829"/>
      <c r="DM585" s="829"/>
      <c r="DN585" s="829"/>
      <c r="DO585" s="829"/>
      <c r="DP585" s="829"/>
      <c r="DQ585" s="829"/>
      <c r="DR585" s="829"/>
      <c r="DS585" s="829"/>
      <c r="DT585" s="829"/>
      <c r="DU585" s="829"/>
      <c r="DV585" s="829"/>
      <c r="DW585" s="829"/>
      <c r="DX585" s="829"/>
      <c r="DY585" s="829"/>
      <c r="DZ585" s="829"/>
      <c r="EA585" s="829"/>
      <c r="EB585" s="829"/>
      <c r="EC585" s="829"/>
      <c r="ED585" s="829"/>
      <c r="EE585" s="829"/>
      <c r="EF585" s="829"/>
      <c r="EG585" s="829"/>
      <c r="EH585" s="829"/>
      <c r="EI585" s="829"/>
      <c r="EJ585" s="829"/>
      <c r="EK585" s="829"/>
      <c r="EL585" s="829"/>
      <c r="EM585" s="829"/>
      <c r="EN585" s="829"/>
      <c r="EO585" s="829"/>
      <c r="EP585" s="829"/>
      <c r="EQ585" s="829"/>
      <c r="ER585" s="829"/>
      <c r="ES585" s="829"/>
      <c r="ET585" s="829"/>
      <c r="EU585" s="829"/>
      <c r="EV585" s="829"/>
      <c r="EW585" s="829"/>
      <c r="EX585" s="829"/>
      <c r="EY585" s="829"/>
      <c r="EZ585" s="829"/>
      <c r="FA585" s="829"/>
      <c r="FB585" s="829"/>
      <c r="FC585" s="829"/>
      <c r="FD585" s="829"/>
      <c r="FE585" s="829"/>
      <c r="FF585" s="829"/>
      <c r="FG585" s="829"/>
      <c r="FH585" s="829"/>
      <c r="FI585" s="829"/>
      <c r="FJ585" s="829"/>
      <c r="FK585" s="829"/>
      <c r="FL585" s="829"/>
      <c r="FM585" s="829"/>
      <c r="FN585" s="829"/>
      <c r="FO585" s="829"/>
      <c r="FP585" s="829"/>
      <c r="FQ585" s="829"/>
      <c r="FR585" s="829"/>
      <c r="FS585" s="829"/>
      <c r="FT585" s="829"/>
      <c r="FU585" s="829"/>
      <c r="FV585" s="829"/>
      <c r="FW585" s="829"/>
      <c r="FX585" s="829"/>
      <c r="FY585" s="829"/>
      <c r="FZ585" s="829"/>
      <c r="GA585" s="829"/>
      <c r="GB585" s="829"/>
      <c r="GC585" s="829"/>
      <c r="GD585" s="829"/>
      <c r="GE585" s="829"/>
      <c r="GF585" s="829"/>
      <c r="GG585" s="829"/>
      <c r="GH585" s="829"/>
      <c r="GI585" s="829"/>
      <c r="GJ585" s="829"/>
      <c r="GK585" s="829"/>
      <c r="GL585" s="829"/>
      <c r="GM585" s="829"/>
      <c r="GN585" s="829"/>
      <c r="GO585" s="829"/>
      <c r="GP585" s="829"/>
      <c r="GQ585" s="829"/>
      <c r="GR585" s="829"/>
      <c r="GS585" s="829"/>
      <c r="GT585" s="829"/>
      <c r="GU585" s="829"/>
      <c r="GV585" s="829"/>
      <c r="GW585" s="829"/>
      <c r="GX585" s="829"/>
      <c r="GY585" s="829"/>
      <c r="GZ585" s="829"/>
      <c r="HA585" s="829"/>
      <c r="HB585" s="829"/>
      <c r="HC585" s="829"/>
      <c r="HD585" s="829"/>
      <c r="HE585" s="829"/>
      <c r="HF585" s="829"/>
      <c r="HG585" s="829"/>
      <c r="HH585" s="829"/>
      <c r="HI585" s="829"/>
      <c r="HJ585" s="829"/>
      <c r="HK585" s="829"/>
      <c r="HL585" s="829"/>
      <c r="HM585" s="829"/>
      <c r="HN585" s="829"/>
      <c r="HO585" s="829"/>
      <c r="HP585" s="829"/>
      <c r="HQ585" s="829"/>
      <c r="HR585" s="829"/>
      <c r="HS585" s="829"/>
      <c r="HT585" s="829"/>
      <c r="HU585" s="829"/>
      <c r="HV585" s="829"/>
      <c r="HW585" s="829"/>
      <c r="HX585" s="829"/>
      <c r="HY585" s="829"/>
      <c r="HZ585" s="829"/>
      <c r="IA585" s="829"/>
      <c r="IB585" s="829"/>
      <c r="IC585" s="829"/>
      <c r="ID585" s="829"/>
      <c r="IE585" s="829"/>
      <c r="IF585" s="829"/>
      <c r="IG585" s="829"/>
      <c r="IH585" s="829"/>
      <c r="II585" s="829"/>
      <c r="IJ585" s="829"/>
      <c r="IK585" s="829"/>
      <c r="IL585" s="829"/>
      <c r="IM585" s="829"/>
      <c r="IN585" s="829"/>
      <c r="IO585" s="829"/>
      <c r="IP585" s="829"/>
      <c r="IQ585" s="829"/>
    </row>
    <row r="586" spans="1:251" ht="14.1" customHeight="1">
      <c r="A586" s="888"/>
      <c r="B586" s="891"/>
      <c r="C586" s="869"/>
      <c r="D586" s="874"/>
      <c r="E586" s="360"/>
      <c r="F586" s="296"/>
      <c r="BI586" s="829"/>
      <c r="BJ586" s="829"/>
      <c r="BK586" s="829"/>
      <c r="BL586" s="829"/>
      <c r="BM586" s="829"/>
      <c r="BN586" s="829"/>
      <c r="BO586" s="829"/>
      <c r="BP586" s="829"/>
      <c r="BQ586" s="829"/>
      <c r="BR586" s="829"/>
      <c r="BS586" s="829"/>
      <c r="BT586" s="829"/>
      <c r="BU586" s="829"/>
      <c r="BV586" s="829"/>
      <c r="BW586" s="829"/>
      <c r="BX586" s="829"/>
      <c r="BY586" s="829"/>
      <c r="BZ586" s="829"/>
      <c r="CA586" s="829"/>
      <c r="CB586" s="829"/>
      <c r="CC586" s="829"/>
      <c r="CD586" s="829"/>
      <c r="CE586" s="829"/>
      <c r="CF586" s="829"/>
      <c r="CG586" s="829"/>
      <c r="CH586" s="829"/>
      <c r="CI586" s="829"/>
      <c r="CJ586" s="829"/>
      <c r="CK586" s="829"/>
      <c r="CL586" s="829"/>
      <c r="CM586" s="829"/>
      <c r="CN586" s="829"/>
      <c r="CO586" s="829"/>
      <c r="CP586" s="829"/>
      <c r="CQ586" s="829"/>
      <c r="CR586" s="829"/>
      <c r="CS586" s="829"/>
      <c r="CT586" s="829"/>
      <c r="CU586" s="829"/>
      <c r="CV586" s="829"/>
      <c r="CW586" s="829"/>
      <c r="CX586" s="829"/>
      <c r="CY586" s="829"/>
      <c r="CZ586" s="829"/>
      <c r="DA586" s="829"/>
      <c r="DB586" s="829"/>
      <c r="DC586" s="829"/>
      <c r="DD586" s="829"/>
      <c r="DE586" s="829"/>
      <c r="DF586" s="829"/>
      <c r="DG586" s="829"/>
      <c r="DH586" s="829"/>
      <c r="DI586" s="829"/>
      <c r="DJ586" s="829"/>
      <c r="DK586" s="829"/>
      <c r="DL586" s="829"/>
      <c r="DM586" s="829"/>
      <c r="DN586" s="829"/>
      <c r="DO586" s="829"/>
      <c r="DP586" s="829"/>
      <c r="DQ586" s="829"/>
      <c r="DR586" s="829"/>
      <c r="DS586" s="829"/>
      <c r="DT586" s="829"/>
      <c r="DU586" s="829"/>
      <c r="DV586" s="829"/>
      <c r="DW586" s="829"/>
      <c r="DX586" s="829"/>
      <c r="DY586" s="829"/>
      <c r="DZ586" s="829"/>
      <c r="EA586" s="829"/>
      <c r="EB586" s="829"/>
      <c r="EC586" s="829"/>
      <c r="ED586" s="829"/>
      <c r="EE586" s="829"/>
      <c r="EF586" s="829"/>
      <c r="EG586" s="829"/>
      <c r="EH586" s="829"/>
      <c r="EI586" s="829"/>
      <c r="EJ586" s="829"/>
      <c r="EK586" s="829"/>
      <c r="EL586" s="829"/>
      <c r="EM586" s="829"/>
      <c r="EN586" s="829"/>
      <c r="EO586" s="829"/>
      <c r="EP586" s="829"/>
      <c r="EQ586" s="829"/>
      <c r="ER586" s="829"/>
      <c r="ES586" s="829"/>
      <c r="ET586" s="829"/>
      <c r="EU586" s="829"/>
      <c r="EV586" s="829"/>
      <c r="EW586" s="829"/>
      <c r="EX586" s="829"/>
      <c r="EY586" s="829"/>
      <c r="EZ586" s="829"/>
      <c r="FA586" s="829"/>
      <c r="FB586" s="829"/>
      <c r="FC586" s="829"/>
      <c r="FD586" s="829"/>
      <c r="FE586" s="829"/>
      <c r="FF586" s="829"/>
      <c r="FG586" s="829"/>
      <c r="FH586" s="829"/>
      <c r="FI586" s="829"/>
      <c r="FJ586" s="829"/>
      <c r="FK586" s="829"/>
      <c r="FL586" s="829"/>
      <c r="FM586" s="829"/>
      <c r="FN586" s="829"/>
      <c r="FO586" s="829"/>
      <c r="FP586" s="829"/>
      <c r="FQ586" s="829"/>
      <c r="FR586" s="829"/>
      <c r="FS586" s="829"/>
      <c r="FT586" s="829"/>
      <c r="FU586" s="829"/>
      <c r="FV586" s="829"/>
      <c r="FW586" s="829"/>
      <c r="FX586" s="829"/>
      <c r="FY586" s="829"/>
      <c r="FZ586" s="829"/>
      <c r="GA586" s="829"/>
      <c r="GB586" s="829"/>
      <c r="GC586" s="829"/>
      <c r="GD586" s="829"/>
      <c r="GE586" s="829"/>
      <c r="GF586" s="829"/>
      <c r="GG586" s="829"/>
      <c r="GH586" s="829"/>
      <c r="GI586" s="829"/>
      <c r="GJ586" s="829"/>
      <c r="GK586" s="829"/>
      <c r="GL586" s="829"/>
      <c r="GM586" s="829"/>
      <c r="GN586" s="829"/>
      <c r="GO586" s="829"/>
      <c r="GP586" s="829"/>
      <c r="GQ586" s="829"/>
      <c r="GR586" s="829"/>
      <c r="GS586" s="829"/>
      <c r="GT586" s="829"/>
      <c r="GU586" s="829"/>
      <c r="GV586" s="829"/>
      <c r="GW586" s="829"/>
      <c r="GX586" s="829"/>
      <c r="GY586" s="829"/>
      <c r="GZ586" s="829"/>
      <c r="HA586" s="829"/>
      <c r="HB586" s="829"/>
      <c r="HC586" s="829"/>
      <c r="HD586" s="829"/>
      <c r="HE586" s="829"/>
      <c r="HF586" s="829"/>
      <c r="HG586" s="829"/>
      <c r="HH586" s="829"/>
      <c r="HI586" s="829"/>
      <c r="HJ586" s="829"/>
      <c r="HK586" s="829"/>
      <c r="HL586" s="829"/>
      <c r="HM586" s="829"/>
      <c r="HN586" s="829"/>
      <c r="HO586" s="829"/>
      <c r="HP586" s="829"/>
      <c r="HQ586" s="829"/>
      <c r="HR586" s="829"/>
      <c r="HS586" s="829"/>
      <c r="HT586" s="829"/>
      <c r="HU586" s="829"/>
      <c r="HV586" s="829"/>
      <c r="HW586" s="829"/>
      <c r="HX586" s="829"/>
      <c r="HY586" s="829"/>
      <c r="HZ586" s="829"/>
      <c r="IA586" s="829"/>
      <c r="IB586" s="829"/>
      <c r="IC586" s="829"/>
      <c r="ID586" s="829"/>
      <c r="IE586" s="829"/>
      <c r="IF586" s="829"/>
      <c r="IG586" s="829"/>
      <c r="IH586" s="829"/>
      <c r="II586" s="829"/>
      <c r="IJ586" s="829"/>
      <c r="IK586" s="829"/>
      <c r="IL586" s="829"/>
      <c r="IM586" s="829"/>
      <c r="IN586" s="829"/>
      <c r="IO586" s="829"/>
      <c r="IP586" s="829"/>
      <c r="IQ586" s="829"/>
    </row>
    <row r="587" spans="1:251" ht="14.1" customHeight="1">
      <c r="A587" s="888"/>
      <c r="B587" s="891"/>
      <c r="C587" s="869"/>
      <c r="D587" s="874"/>
      <c r="E587" s="360"/>
      <c r="F587" s="296"/>
      <c r="BI587" s="829"/>
      <c r="BJ587" s="829"/>
      <c r="BK587" s="829"/>
      <c r="BL587" s="829"/>
      <c r="BM587" s="829"/>
      <c r="BN587" s="829"/>
      <c r="BO587" s="829"/>
      <c r="BP587" s="829"/>
      <c r="BQ587" s="829"/>
      <c r="BR587" s="829"/>
      <c r="BS587" s="829"/>
      <c r="BT587" s="829"/>
      <c r="BU587" s="829"/>
      <c r="BV587" s="829"/>
      <c r="BW587" s="829"/>
      <c r="BX587" s="829"/>
      <c r="BY587" s="829"/>
      <c r="BZ587" s="829"/>
      <c r="CA587" s="829"/>
      <c r="CB587" s="829"/>
      <c r="CC587" s="829"/>
      <c r="CD587" s="829"/>
      <c r="CE587" s="829"/>
      <c r="CF587" s="829"/>
      <c r="CG587" s="829"/>
      <c r="CH587" s="829"/>
      <c r="CI587" s="829"/>
      <c r="CJ587" s="829"/>
      <c r="CK587" s="829"/>
      <c r="CL587" s="829"/>
      <c r="CM587" s="829"/>
      <c r="CN587" s="829"/>
      <c r="CO587" s="829"/>
      <c r="CP587" s="829"/>
      <c r="CQ587" s="829"/>
      <c r="CR587" s="829"/>
      <c r="CS587" s="829"/>
      <c r="CT587" s="829"/>
      <c r="CU587" s="829"/>
      <c r="CV587" s="829"/>
      <c r="CW587" s="829"/>
      <c r="CX587" s="829"/>
      <c r="CY587" s="829"/>
      <c r="CZ587" s="829"/>
      <c r="DA587" s="829"/>
      <c r="DB587" s="829"/>
      <c r="DC587" s="829"/>
      <c r="DD587" s="829"/>
      <c r="DE587" s="829"/>
      <c r="DF587" s="829"/>
      <c r="DG587" s="829"/>
      <c r="DH587" s="829"/>
      <c r="DI587" s="829"/>
      <c r="DJ587" s="829"/>
      <c r="DK587" s="829"/>
      <c r="DL587" s="829"/>
      <c r="DM587" s="829"/>
      <c r="DN587" s="829"/>
      <c r="DO587" s="829"/>
      <c r="DP587" s="829"/>
      <c r="DQ587" s="829"/>
      <c r="DR587" s="829"/>
      <c r="DS587" s="829"/>
      <c r="DT587" s="829"/>
      <c r="DU587" s="829"/>
      <c r="DV587" s="829"/>
      <c r="DW587" s="829"/>
      <c r="DX587" s="829"/>
      <c r="DY587" s="829"/>
      <c r="DZ587" s="829"/>
      <c r="EA587" s="829"/>
      <c r="EB587" s="829"/>
      <c r="EC587" s="829"/>
      <c r="ED587" s="829"/>
      <c r="EE587" s="829"/>
      <c r="EF587" s="829"/>
      <c r="EG587" s="829"/>
      <c r="EH587" s="829"/>
      <c r="EI587" s="829"/>
      <c r="EJ587" s="829"/>
      <c r="EK587" s="829"/>
      <c r="EL587" s="829"/>
      <c r="EM587" s="829"/>
      <c r="EN587" s="829"/>
      <c r="EO587" s="829"/>
      <c r="EP587" s="829"/>
      <c r="EQ587" s="829"/>
      <c r="ER587" s="829"/>
      <c r="ES587" s="829"/>
      <c r="ET587" s="829"/>
      <c r="EU587" s="829"/>
      <c r="EV587" s="829"/>
      <c r="EW587" s="829"/>
      <c r="EX587" s="829"/>
      <c r="EY587" s="829"/>
      <c r="EZ587" s="829"/>
      <c r="FA587" s="829"/>
      <c r="FB587" s="829"/>
      <c r="FC587" s="829"/>
      <c r="FD587" s="829"/>
      <c r="FE587" s="829"/>
      <c r="FF587" s="829"/>
      <c r="FG587" s="829"/>
      <c r="FH587" s="829"/>
      <c r="FI587" s="829"/>
      <c r="FJ587" s="829"/>
      <c r="FK587" s="829"/>
      <c r="FL587" s="829"/>
      <c r="FM587" s="829"/>
      <c r="FN587" s="829"/>
      <c r="FO587" s="829"/>
      <c r="FP587" s="829"/>
      <c r="FQ587" s="829"/>
      <c r="FR587" s="829"/>
      <c r="FS587" s="829"/>
      <c r="FT587" s="829"/>
      <c r="FU587" s="829"/>
      <c r="FV587" s="829"/>
      <c r="FW587" s="829"/>
      <c r="FX587" s="829"/>
      <c r="FY587" s="829"/>
      <c r="FZ587" s="829"/>
      <c r="GA587" s="829"/>
      <c r="GB587" s="829"/>
      <c r="GC587" s="829"/>
      <c r="GD587" s="829"/>
      <c r="GE587" s="829"/>
      <c r="GF587" s="829"/>
      <c r="GG587" s="829"/>
      <c r="GH587" s="829"/>
      <c r="GI587" s="829"/>
      <c r="GJ587" s="829"/>
      <c r="GK587" s="829"/>
      <c r="GL587" s="829"/>
      <c r="GM587" s="829"/>
      <c r="GN587" s="829"/>
      <c r="GO587" s="829"/>
      <c r="GP587" s="829"/>
      <c r="GQ587" s="829"/>
      <c r="GR587" s="829"/>
      <c r="GS587" s="829"/>
      <c r="GT587" s="829"/>
      <c r="GU587" s="829"/>
      <c r="GV587" s="829"/>
      <c r="GW587" s="829"/>
      <c r="GX587" s="829"/>
      <c r="GY587" s="829"/>
      <c r="GZ587" s="829"/>
      <c r="HA587" s="829"/>
      <c r="HB587" s="829"/>
      <c r="HC587" s="829"/>
      <c r="HD587" s="829"/>
      <c r="HE587" s="829"/>
      <c r="HF587" s="829"/>
      <c r="HG587" s="829"/>
      <c r="HH587" s="829"/>
      <c r="HI587" s="829"/>
      <c r="HJ587" s="829"/>
      <c r="HK587" s="829"/>
      <c r="HL587" s="829"/>
      <c r="HM587" s="829"/>
      <c r="HN587" s="829"/>
      <c r="HO587" s="829"/>
      <c r="HP587" s="829"/>
      <c r="HQ587" s="829"/>
      <c r="HR587" s="829"/>
      <c r="HS587" s="829"/>
      <c r="HT587" s="829"/>
      <c r="HU587" s="829"/>
      <c r="HV587" s="829"/>
      <c r="HW587" s="829"/>
      <c r="HX587" s="829"/>
      <c r="HY587" s="829"/>
      <c r="HZ587" s="829"/>
      <c r="IA587" s="829"/>
      <c r="IB587" s="829"/>
      <c r="IC587" s="829"/>
      <c r="ID587" s="829"/>
      <c r="IE587" s="829"/>
      <c r="IF587" s="829"/>
      <c r="IG587" s="829"/>
      <c r="IH587" s="829"/>
      <c r="II587" s="829"/>
      <c r="IJ587" s="829"/>
      <c r="IK587" s="829"/>
      <c r="IL587" s="829"/>
      <c r="IM587" s="829"/>
      <c r="IN587" s="829"/>
      <c r="IO587" s="829"/>
      <c r="IP587" s="829"/>
      <c r="IQ587" s="829"/>
    </row>
    <row r="588" spans="1:251" ht="14.1" customHeight="1">
      <c r="A588" s="888"/>
      <c r="B588" s="891"/>
      <c r="C588" s="869"/>
      <c r="D588" s="874"/>
      <c r="E588" s="360"/>
      <c r="F588" s="296"/>
      <c r="BI588" s="829"/>
      <c r="BJ588" s="829"/>
      <c r="BK588" s="829"/>
      <c r="BL588" s="829"/>
      <c r="BM588" s="829"/>
      <c r="BN588" s="829"/>
      <c r="BO588" s="829"/>
      <c r="BP588" s="829"/>
      <c r="BQ588" s="829"/>
      <c r="BR588" s="829"/>
      <c r="BS588" s="829"/>
      <c r="BT588" s="829"/>
      <c r="BU588" s="829"/>
      <c r="BV588" s="829"/>
      <c r="BW588" s="829"/>
      <c r="BX588" s="829"/>
      <c r="BY588" s="829"/>
      <c r="BZ588" s="829"/>
      <c r="CA588" s="829"/>
      <c r="CB588" s="829"/>
      <c r="CC588" s="829"/>
      <c r="CD588" s="829"/>
      <c r="CE588" s="829"/>
      <c r="CF588" s="829"/>
      <c r="CG588" s="829"/>
      <c r="CH588" s="829"/>
      <c r="CI588" s="829"/>
      <c r="CJ588" s="829"/>
      <c r="CK588" s="829"/>
      <c r="CL588" s="829"/>
      <c r="CM588" s="829"/>
      <c r="CN588" s="829"/>
      <c r="CO588" s="829"/>
      <c r="CP588" s="829"/>
      <c r="CQ588" s="829"/>
      <c r="CR588" s="829"/>
      <c r="CS588" s="829"/>
      <c r="CT588" s="829"/>
      <c r="CU588" s="829"/>
      <c r="CV588" s="829"/>
      <c r="CW588" s="829"/>
      <c r="CX588" s="829"/>
      <c r="CY588" s="829"/>
      <c r="CZ588" s="829"/>
      <c r="DA588" s="829"/>
      <c r="DB588" s="829"/>
      <c r="DC588" s="829"/>
      <c r="DD588" s="829"/>
      <c r="DE588" s="829"/>
      <c r="DF588" s="829"/>
      <c r="DG588" s="829"/>
      <c r="DH588" s="829"/>
      <c r="DI588" s="829"/>
      <c r="DJ588" s="829"/>
      <c r="DK588" s="829"/>
      <c r="DL588" s="829"/>
      <c r="DM588" s="829"/>
      <c r="DN588" s="829"/>
      <c r="DO588" s="829"/>
      <c r="DP588" s="829"/>
      <c r="DQ588" s="829"/>
      <c r="DR588" s="829"/>
      <c r="DS588" s="829"/>
      <c r="DT588" s="829"/>
      <c r="DU588" s="829"/>
      <c r="DV588" s="829"/>
      <c r="DW588" s="829"/>
      <c r="DX588" s="829"/>
      <c r="DY588" s="829"/>
      <c r="DZ588" s="829"/>
      <c r="EA588" s="829"/>
      <c r="EB588" s="829"/>
      <c r="EC588" s="829"/>
      <c r="ED588" s="829"/>
      <c r="EE588" s="829"/>
      <c r="EF588" s="829"/>
      <c r="EG588" s="829"/>
      <c r="EH588" s="829"/>
      <c r="EI588" s="829"/>
      <c r="EJ588" s="829"/>
      <c r="EK588" s="829"/>
      <c r="EL588" s="829"/>
      <c r="EM588" s="829"/>
      <c r="EN588" s="829"/>
      <c r="EO588" s="829"/>
      <c r="EP588" s="829"/>
      <c r="EQ588" s="829"/>
      <c r="ER588" s="829"/>
      <c r="ES588" s="829"/>
      <c r="ET588" s="829"/>
      <c r="EU588" s="829"/>
      <c r="EV588" s="829"/>
      <c r="EW588" s="829"/>
      <c r="EX588" s="829"/>
      <c r="EY588" s="829"/>
      <c r="EZ588" s="829"/>
      <c r="FA588" s="829"/>
      <c r="FB588" s="829"/>
      <c r="FC588" s="829"/>
      <c r="FD588" s="829"/>
      <c r="FE588" s="829"/>
      <c r="FF588" s="829"/>
      <c r="FG588" s="829"/>
      <c r="FH588" s="829"/>
      <c r="FI588" s="829"/>
      <c r="FJ588" s="829"/>
      <c r="FK588" s="829"/>
      <c r="FL588" s="829"/>
      <c r="FM588" s="829"/>
      <c r="FN588" s="829"/>
      <c r="FO588" s="829"/>
      <c r="FP588" s="829"/>
      <c r="FQ588" s="829"/>
      <c r="FR588" s="829"/>
      <c r="FS588" s="829"/>
      <c r="FT588" s="829"/>
      <c r="FU588" s="829"/>
      <c r="FV588" s="829"/>
      <c r="FW588" s="829"/>
      <c r="FX588" s="829"/>
      <c r="FY588" s="829"/>
      <c r="FZ588" s="829"/>
      <c r="GA588" s="829"/>
      <c r="GB588" s="829"/>
      <c r="GC588" s="829"/>
      <c r="GD588" s="829"/>
      <c r="GE588" s="829"/>
      <c r="GF588" s="829"/>
      <c r="GG588" s="829"/>
      <c r="GH588" s="829"/>
      <c r="GI588" s="829"/>
      <c r="GJ588" s="829"/>
      <c r="GK588" s="829"/>
      <c r="GL588" s="829"/>
      <c r="GM588" s="829"/>
      <c r="GN588" s="829"/>
      <c r="GO588" s="829"/>
      <c r="GP588" s="829"/>
      <c r="GQ588" s="829"/>
      <c r="GR588" s="829"/>
      <c r="GS588" s="829"/>
      <c r="GT588" s="829"/>
      <c r="GU588" s="829"/>
      <c r="GV588" s="829"/>
      <c r="GW588" s="829"/>
      <c r="GX588" s="829"/>
      <c r="GY588" s="829"/>
      <c r="GZ588" s="829"/>
      <c r="HA588" s="829"/>
      <c r="HB588" s="829"/>
      <c r="HC588" s="829"/>
      <c r="HD588" s="829"/>
      <c r="HE588" s="829"/>
      <c r="HF588" s="829"/>
      <c r="HG588" s="829"/>
      <c r="HH588" s="829"/>
      <c r="HI588" s="829"/>
      <c r="HJ588" s="829"/>
      <c r="HK588" s="829"/>
      <c r="HL588" s="829"/>
      <c r="HM588" s="829"/>
      <c r="HN588" s="829"/>
      <c r="HO588" s="829"/>
      <c r="HP588" s="829"/>
      <c r="HQ588" s="829"/>
      <c r="HR588" s="829"/>
      <c r="HS588" s="829"/>
      <c r="HT588" s="829"/>
      <c r="HU588" s="829"/>
      <c r="HV588" s="829"/>
      <c r="HW588" s="829"/>
      <c r="HX588" s="829"/>
      <c r="HY588" s="829"/>
      <c r="HZ588" s="829"/>
      <c r="IA588" s="829"/>
      <c r="IB588" s="829"/>
      <c r="IC588" s="829"/>
      <c r="ID588" s="829"/>
      <c r="IE588" s="829"/>
      <c r="IF588" s="829"/>
      <c r="IG588" s="829"/>
      <c r="IH588" s="829"/>
      <c r="II588" s="829"/>
      <c r="IJ588" s="829"/>
      <c r="IK588" s="829"/>
      <c r="IL588" s="829"/>
      <c r="IM588" s="829"/>
      <c r="IN588" s="829"/>
      <c r="IO588" s="829"/>
      <c r="IP588" s="829"/>
      <c r="IQ588" s="829"/>
    </row>
    <row r="589" spans="1:251" ht="14.1" customHeight="1">
      <c r="A589" s="888"/>
      <c r="B589" s="891"/>
      <c r="C589" s="869"/>
      <c r="D589" s="874"/>
      <c r="E589" s="360"/>
      <c r="F589" s="296"/>
      <c r="BI589" s="829"/>
      <c r="BJ589" s="829"/>
      <c r="BK589" s="829"/>
      <c r="BL589" s="829"/>
      <c r="BM589" s="829"/>
      <c r="BN589" s="829"/>
      <c r="BO589" s="829"/>
      <c r="BP589" s="829"/>
      <c r="BQ589" s="829"/>
      <c r="BR589" s="829"/>
      <c r="BS589" s="829"/>
      <c r="BT589" s="829"/>
      <c r="BU589" s="829"/>
      <c r="BV589" s="829"/>
      <c r="BW589" s="829"/>
      <c r="BX589" s="829"/>
      <c r="BY589" s="829"/>
      <c r="BZ589" s="829"/>
      <c r="CA589" s="829"/>
      <c r="CB589" s="829"/>
      <c r="CC589" s="829"/>
      <c r="CD589" s="829"/>
      <c r="CE589" s="829"/>
      <c r="CF589" s="829"/>
      <c r="CG589" s="829"/>
      <c r="CH589" s="829"/>
      <c r="CI589" s="829"/>
      <c r="CJ589" s="829"/>
      <c r="CK589" s="829"/>
      <c r="CL589" s="829"/>
      <c r="CM589" s="829"/>
      <c r="CN589" s="829"/>
      <c r="CO589" s="829"/>
      <c r="CP589" s="829"/>
      <c r="CQ589" s="829"/>
      <c r="CR589" s="829"/>
      <c r="CS589" s="829"/>
      <c r="CT589" s="829"/>
      <c r="CU589" s="829"/>
      <c r="CV589" s="829"/>
      <c r="CW589" s="829"/>
      <c r="CX589" s="829"/>
      <c r="CY589" s="829"/>
      <c r="CZ589" s="829"/>
      <c r="DA589" s="829"/>
      <c r="DB589" s="829"/>
      <c r="DC589" s="829"/>
      <c r="DD589" s="829"/>
      <c r="DE589" s="829"/>
      <c r="DF589" s="829"/>
      <c r="DG589" s="829"/>
      <c r="DH589" s="829"/>
      <c r="DI589" s="829"/>
      <c r="DJ589" s="829"/>
      <c r="DK589" s="829"/>
      <c r="DL589" s="829"/>
      <c r="DM589" s="829"/>
      <c r="DN589" s="829"/>
      <c r="DO589" s="829"/>
      <c r="DP589" s="829"/>
      <c r="DQ589" s="829"/>
      <c r="DR589" s="829"/>
      <c r="DS589" s="829"/>
      <c r="DT589" s="829"/>
      <c r="DU589" s="829"/>
      <c r="DV589" s="829"/>
      <c r="DW589" s="829"/>
      <c r="DX589" s="829"/>
      <c r="DY589" s="829"/>
      <c r="DZ589" s="829"/>
      <c r="EA589" s="829"/>
      <c r="EB589" s="829"/>
      <c r="EC589" s="829"/>
      <c r="ED589" s="829"/>
      <c r="EE589" s="829"/>
      <c r="EF589" s="829"/>
      <c r="EG589" s="829"/>
      <c r="EH589" s="829"/>
      <c r="EI589" s="829"/>
      <c r="EJ589" s="829"/>
      <c r="EK589" s="829"/>
      <c r="EL589" s="829"/>
      <c r="EM589" s="829"/>
      <c r="EN589" s="829"/>
      <c r="EO589" s="829"/>
      <c r="EP589" s="829"/>
      <c r="EQ589" s="829"/>
      <c r="ER589" s="829"/>
      <c r="ES589" s="829"/>
      <c r="ET589" s="829"/>
      <c r="EU589" s="829"/>
      <c r="EV589" s="829"/>
      <c r="EW589" s="829"/>
      <c r="EX589" s="829"/>
      <c r="EY589" s="829"/>
      <c r="EZ589" s="829"/>
      <c r="FA589" s="829"/>
      <c r="FB589" s="829"/>
      <c r="FC589" s="829"/>
      <c r="FD589" s="829"/>
      <c r="FE589" s="829"/>
      <c r="FF589" s="829"/>
      <c r="FG589" s="829"/>
      <c r="FH589" s="829"/>
      <c r="FI589" s="829"/>
      <c r="FJ589" s="829"/>
      <c r="FK589" s="829"/>
      <c r="FL589" s="829"/>
      <c r="FM589" s="829"/>
      <c r="FN589" s="829"/>
      <c r="FO589" s="829"/>
      <c r="FP589" s="829"/>
      <c r="FQ589" s="829"/>
      <c r="FR589" s="829"/>
      <c r="FS589" s="829"/>
      <c r="FT589" s="829"/>
      <c r="FU589" s="829"/>
      <c r="FV589" s="829"/>
      <c r="FW589" s="829"/>
      <c r="FX589" s="829"/>
      <c r="FY589" s="829"/>
      <c r="FZ589" s="829"/>
      <c r="GA589" s="829"/>
      <c r="GB589" s="829"/>
      <c r="GC589" s="829"/>
      <c r="GD589" s="829"/>
      <c r="GE589" s="829"/>
      <c r="GF589" s="829"/>
      <c r="GG589" s="829"/>
      <c r="GH589" s="829"/>
      <c r="GI589" s="829"/>
      <c r="GJ589" s="829"/>
      <c r="GK589" s="829"/>
      <c r="GL589" s="829"/>
      <c r="GM589" s="829"/>
      <c r="GN589" s="829"/>
      <c r="GO589" s="829"/>
      <c r="GP589" s="829"/>
      <c r="GQ589" s="829"/>
      <c r="GR589" s="829"/>
      <c r="GS589" s="829"/>
      <c r="GT589" s="829"/>
      <c r="GU589" s="829"/>
      <c r="GV589" s="829"/>
      <c r="GW589" s="829"/>
      <c r="GX589" s="829"/>
      <c r="GY589" s="829"/>
      <c r="GZ589" s="829"/>
      <c r="HA589" s="829"/>
      <c r="HB589" s="829"/>
      <c r="HC589" s="829"/>
      <c r="HD589" s="829"/>
      <c r="HE589" s="829"/>
      <c r="HF589" s="829"/>
      <c r="HG589" s="829"/>
      <c r="HH589" s="829"/>
      <c r="HI589" s="829"/>
      <c r="HJ589" s="829"/>
      <c r="HK589" s="829"/>
      <c r="HL589" s="829"/>
      <c r="HM589" s="829"/>
      <c r="HN589" s="829"/>
      <c r="HO589" s="829"/>
      <c r="HP589" s="829"/>
      <c r="HQ589" s="829"/>
      <c r="HR589" s="829"/>
      <c r="HS589" s="829"/>
      <c r="HT589" s="829"/>
      <c r="HU589" s="829"/>
      <c r="HV589" s="829"/>
      <c r="HW589" s="829"/>
      <c r="HX589" s="829"/>
      <c r="HY589" s="829"/>
      <c r="HZ589" s="829"/>
      <c r="IA589" s="829"/>
      <c r="IB589" s="829"/>
      <c r="IC589" s="829"/>
      <c r="ID589" s="829"/>
      <c r="IE589" s="829"/>
      <c r="IF589" s="829"/>
      <c r="IG589" s="829"/>
      <c r="IH589" s="829"/>
      <c r="II589" s="829"/>
      <c r="IJ589" s="829"/>
      <c r="IK589" s="829"/>
      <c r="IL589" s="829"/>
      <c r="IM589" s="829"/>
      <c r="IN589" s="829"/>
      <c r="IO589" s="829"/>
      <c r="IP589" s="829"/>
      <c r="IQ589" s="829"/>
    </row>
    <row r="590" spans="1:251" ht="14.1" customHeight="1">
      <c r="A590" s="888"/>
      <c r="B590" s="891"/>
      <c r="C590" s="869"/>
      <c r="D590" s="874"/>
      <c r="E590" s="360"/>
      <c r="F590" s="296"/>
      <c r="BI590" s="829"/>
      <c r="BJ590" s="829"/>
      <c r="BK590" s="829"/>
      <c r="BL590" s="829"/>
      <c r="BM590" s="829"/>
      <c r="BN590" s="829"/>
      <c r="BO590" s="829"/>
      <c r="BP590" s="829"/>
      <c r="BQ590" s="829"/>
      <c r="BR590" s="829"/>
      <c r="BS590" s="829"/>
      <c r="BT590" s="829"/>
      <c r="BU590" s="829"/>
      <c r="BV590" s="829"/>
      <c r="BW590" s="829"/>
      <c r="BX590" s="829"/>
      <c r="BY590" s="829"/>
      <c r="BZ590" s="829"/>
      <c r="CA590" s="829"/>
      <c r="CB590" s="829"/>
      <c r="CC590" s="829"/>
      <c r="CD590" s="829"/>
      <c r="CE590" s="829"/>
      <c r="CF590" s="829"/>
      <c r="CG590" s="829"/>
      <c r="CH590" s="829"/>
      <c r="CI590" s="829"/>
      <c r="CJ590" s="829"/>
      <c r="CK590" s="829"/>
      <c r="CL590" s="829"/>
      <c r="CM590" s="829"/>
      <c r="CN590" s="829"/>
      <c r="CO590" s="829"/>
      <c r="CP590" s="829"/>
      <c r="CQ590" s="829"/>
      <c r="CR590" s="829"/>
      <c r="CS590" s="829"/>
      <c r="CT590" s="829"/>
      <c r="CU590" s="829"/>
      <c r="CV590" s="829"/>
      <c r="CW590" s="829"/>
      <c r="CX590" s="829"/>
      <c r="CY590" s="829"/>
      <c r="CZ590" s="829"/>
      <c r="DA590" s="829"/>
      <c r="DB590" s="829"/>
      <c r="DC590" s="829"/>
      <c r="DD590" s="829"/>
      <c r="DE590" s="829"/>
      <c r="DF590" s="829"/>
      <c r="DG590" s="829"/>
      <c r="DH590" s="829"/>
      <c r="DI590" s="829"/>
      <c r="DJ590" s="829"/>
      <c r="DK590" s="829"/>
      <c r="DL590" s="829"/>
      <c r="DM590" s="829"/>
      <c r="DN590" s="829"/>
      <c r="DO590" s="829"/>
      <c r="DP590" s="829"/>
      <c r="DQ590" s="829"/>
      <c r="DR590" s="829"/>
      <c r="DS590" s="829"/>
      <c r="DT590" s="829"/>
      <c r="DU590" s="829"/>
      <c r="DV590" s="829"/>
      <c r="DW590" s="829"/>
      <c r="DX590" s="829"/>
      <c r="DY590" s="829"/>
      <c r="DZ590" s="829"/>
      <c r="EA590" s="829"/>
      <c r="EB590" s="829"/>
      <c r="EC590" s="829"/>
      <c r="ED590" s="829"/>
      <c r="EE590" s="829"/>
      <c r="EF590" s="829"/>
      <c r="EG590" s="829"/>
      <c r="EH590" s="829"/>
      <c r="EI590" s="829"/>
      <c r="EJ590" s="829"/>
      <c r="EK590" s="829"/>
      <c r="EL590" s="829"/>
      <c r="EM590" s="829"/>
      <c r="EN590" s="829"/>
      <c r="EO590" s="829"/>
      <c r="EP590" s="829"/>
      <c r="EQ590" s="829"/>
      <c r="ER590" s="829"/>
      <c r="ES590" s="829"/>
      <c r="ET590" s="829"/>
      <c r="EU590" s="829"/>
      <c r="EV590" s="829"/>
      <c r="EW590" s="829"/>
      <c r="EX590" s="829"/>
      <c r="EY590" s="829"/>
      <c r="EZ590" s="829"/>
      <c r="FA590" s="829"/>
      <c r="FB590" s="829"/>
      <c r="FC590" s="829"/>
      <c r="FD590" s="829"/>
      <c r="FE590" s="829"/>
      <c r="FF590" s="829"/>
      <c r="FG590" s="829"/>
      <c r="FH590" s="829"/>
      <c r="FI590" s="829"/>
      <c r="FJ590" s="829"/>
      <c r="FK590" s="829"/>
      <c r="FL590" s="829"/>
      <c r="FM590" s="829"/>
      <c r="FN590" s="829"/>
      <c r="FO590" s="829"/>
      <c r="FP590" s="829"/>
      <c r="FQ590" s="829"/>
      <c r="FR590" s="829"/>
      <c r="FS590" s="829"/>
      <c r="FT590" s="829"/>
      <c r="FU590" s="829"/>
      <c r="FV590" s="829"/>
      <c r="FW590" s="829"/>
      <c r="FX590" s="829"/>
      <c r="FY590" s="829"/>
      <c r="FZ590" s="829"/>
      <c r="GA590" s="829"/>
      <c r="GB590" s="829"/>
      <c r="GC590" s="829"/>
      <c r="GD590" s="829"/>
      <c r="GE590" s="829"/>
      <c r="GF590" s="829"/>
      <c r="GG590" s="829"/>
      <c r="GH590" s="829"/>
      <c r="GI590" s="829"/>
      <c r="GJ590" s="829"/>
      <c r="GK590" s="829"/>
      <c r="GL590" s="829"/>
      <c r="GM590" s="829"/>
      <c r="GN590" s="829"/>
      <c r="GO590" s="829"/>
      <c r="GP590" s="829"/>
      <c r="GQ590" s="829"/>
      <c r="GR590" s="829"/>
      <c r="GS590" s="829"/>
      <c r="GT590" s="829"/>
      <c r="GU590" s="829"/>
      <c r="GV590" s="829"/>
      <c r="GW590" s="829"/>
      <c r="GX590" s="829"/>
      <c r="GY590" s="829"/>
      <c r="GZ590" s="829"/>
      <c r="HA590" s="829"/>
      <c r="HB590" s="829"/>
      <c r="HC590" s="829"/>
      <c r="HD590" s="829"/>
      <c r="HE590" s="829"/>
      <c r="HF590" s="829"/>
      <c r="HG590" s="829"/>
      <c r="HH590" s="829"/>
      <c r="HI590" s="829"/>
      <c r="HJ590" s="829"/>
      <c r="HK590" s="829"/>
      <c r="HL590" s="829"/>
      <c r="HM590" s="829"/>
      <c r="HN590" s="829"/>
      <c r="HO590" s="829"/>
      <c r="HP590" s="829"/>
      <c r="HQ590" s="829"/>
      <c r="HR590" s="829"/>
      <c r="HS590" s="829"/>
      <c r="HT590" s="829"/>
      <c r="HU590" s="829"/>
      <c r="HV590" s="829"/>
      <c r="HW590" s="829"/>
      <c r="HX590" s="829"/>
      <c r="HY590" s="829"/>
      <c r="HZ590" s="829"/>
      <c r="IA590" s="829"/>
      <c r="IB590" s="829"/>
      <c r="IC590" s="829"/>
      <c r="ID590" s="829"/>
      <c r="IE590" s="829"/>
      <c r="IF590" s="829"/>
      <c r="IG590" s="829"/>
      <c r="IH590" s="829"/>
      <c r="II590" s="829"/>
      <c r="IJ590" s="829"/>
      <c r="IK590" s="829"/>
      <c r="IL590" s="829"/>
      <c r="IM590" s="829"/>
      <c r="IN590" s="829"/>
      <c r="IO590" s="829"/>
      <c r="IP590" s="829"/>
      <c r="IQ590" s="829"/>
    </row>
    <row r="591" spans="1:251" ht="14.1" customHeight="1">
      <c r="A591" s="888"/>
      <c r="B591" s="946" t="s">
        <v>1999</v>
      </c>
      <c r="C591" s="947" t="s">
        <v>2000</v>
      </c>
      <c r="D591" s="948" t="s">
        <v>2001</v>
      </c>
      <c r="E591" s="360">
        <f>'[4]COSTO CDMX,QRO,GDL '!I587</f>
        <v>16900</v>
      </c>
      <c r="F591" s="217" t="s">
        <v>284</v>
      </c>
      <c r="BI591" s="829"/>
      <c r="BJ591" s="829"/>
      <c r="BK591" s="829"/>
      <c r="BL591" s="829"/>
      <c r="BM591" s="829"/>
      <c r="BN591" s="829"/>
      <c r="BO591" s="829"/>
      <c r="BP591" s="829"/>
      <c r="BQ591" s="829"/>
      <c r="BR591" s="829"/>
      <c r="BS591" s="829"/>
      <c r="BT591" s="829"/>
      <c r="BU591" s="829"/>
      <c r="BV591" s="829"/>
      <c r="BW591" s="829"/>
      <c r="BX591" s="829"/>
      <c r="BY591" s="829"/>
      <c r="BZ591" s="829"/>
      <c r="CA591" s="829"/>
      <c r="CB591" s="829"/>
      <c r="CC591" s="829"/>
      <c r="CD591" s="829"/>
      <c r="CE591" s="829"/>
      <c r="CF591" s="829"/>
      <c r="CG591" s="829"/>
      <c r="CH591" s="829"/>
      <c r="CI591" s="829"/>
      <c r="CJ591" s="829"/>
      <c r="CK591" s="829"/>
      <c r="CL591" s="829"/>
      <c r="CM591" s="829"/>
      <c r="CN591" s="829"/>
      <c r="CO591" s="829"/>
      <c r="CP591" s="829"/>
      <c r="CQ591" s="829"/>
      <c r="CR591" s="829"/>
      <c r="CS591" s="829"/>
      <c r="CT591" s="829"/>
      <c r="CU591" s="829"/>
      <c r="CV591" s="829"/>
      <c r="CW591" s="829"/>
      <c r="CX591" s="829"/>
      <c r="CY591" s="829"/>
      <c r="CZ591" s="829"/>
      <c r="DA591" s="829"/>
      <c r="DB591" s="829"/>
      <c r="DC591" s="829"/>
      <c r="DD591" s="829"/>
      <c r="DE591" s="829"/>
      <c r="DF591" s="829"/>
      <c r="DG591" s="829"/>
      <c r="DH591" s="829"/>
      <c r="DI591" s="829"/>
      <c r="DJ591" s="829"/>
      <c r="DK591" s="829"/>
      <c r="DL591" s="829"/>
      <c r="DM591" s="829"/>
      <c r="DN591" s="829"/>
      <c r="DO591" s="829"/>
      <c r="DP591" s="829"/>
      <c r="DQ591" s="829"/>
      <c r="DR591" s="829"/>
      <c r="DS591" s="829"/>
      <c r="DT591" s="829"/>
      <c r="DU591" s="829"/>
      <c r="DV591" s="829"/>
      <c r="DW591" s="829"/>
      <c r="DX591" s="829"/>
      <c r="DY591" s="829"/>
      <c r="DZ591" s="829"/>
      <c r="EA591" s="829"/>
      <c r="EB591" s="829"/>
      <c r="EC591" s="829"/>
      <c r="ED591" s="829"/>
      <c r="EE591" s="829"/>
      <c r="EF591" s="829"/>
      <c r="EG591" s="829"/>
      <c r="EH591" s="829"/>
      <c r="EI591" s="829"/>
      <c r="EJ591" s="829"/>
      <c r="EK591" s="829"/>
      <c r="EL591" s="829"/>
      <c r="EM591" s="829"/>
      <c r="EN591" s="829"/>
      <c r="EO591" s="829"/>
      <c r="EP591" s="829"/>
      <c r="EQ591" s="829"/>
      <c r="ER591" s="829"/>
      <c r="ES591" s="829"/>
      <c r="ET591" s="829"/>
      <c r="EU591" s="829"/>
      <c r="EV591" s="829"/>
      <c r="EW591" s="829"/>
      <c r="EX591" s="829"/>
      <c r="EY591" s="829"/>
      <c r="EZ591" s="829"/>
      <c r="FA591" s="829"/>
      <c r="FB591" s="829"/>
      <c r="FC591" s="829"/>
      <c r="FD591" s="829"/>
      <c r="FE591" s="829"/>
      <c r="FF591" s="829"/>
      <c r="FG591" s="829"/>
      <c r="FH591" s="829"/>
      <c r="FI591" s="829"/>
      <c r="FJ591" s="829"/>
      <c r="FK591" s="829"/>
      <c r="FL591" s="829"/>
      <c r="FM591" s="829"/>
      <c r="FN591" s="829"/>
      <c r="FO591" s="829"/>
      <c r="FP591" s="829"/>
      <c r="FQ591" s="829"/>
      <c r="FR591" s="829"/>
      <c r="FS591" s="829"/>
      <c r="FT591" s="829"/>
      <c r="FU591" s="829"/>
      <c r="FV591" s="829"/>
      <c r="FW591" s="829"/>
      <c r="FX591" s="829"/>
      <c r="FY591" s="829"/>
      <c r="FZ591" s="829"/>
      <c r="GA591" s="829"/>
      <c r="GB591" s="829"/>
      <c r="GC591" s="829"/>
      <c r="GD591" s="829"/>
      <c r="GE591" s="829"/>
      <c r="GF591" s="829"/>
      <c r="GG591" s="829"/>
      <c r="GH591" s="829"/>
      <c r="GI591" s="829"/>
      <c r="GJ591" s="829"/>
      <c r="GK591" s="829"/>
      <c r="GL591" s="829"/>
      <c r="GM591" s="829"/>
      <c r="GN591" s="829"/>
      <c r="GO591" s="829"/>
      <c r="GP591" s="829"/>
      <c r="GQ591" s="829"/>
      <c r="GR591" s="829"/>
      <c r="GS591" s="829"/>
      <c r="GT591" s="829"/>
      <c r="GU591" s="829"/>
      <c r="GV591" s="829"/>
      <c r="GW591" s="829"/>
      <c r="GX591" s="829"/>
      <c r="GY591" s="829"/>
      <c r="GZ591" s="829"/>
      <c r="HA591" s="829"/>
      <c r="HB591" s="829"/>
      <c r="HC591" s="829"/>
      <c r="HD591" s="829"/>
      <c r="HE591" s="829"/>
      <c r="HF591" s="829"/>
      <c r="HG591" s="829"/>
      <c r="HH591" s="829"/>
      <c r="HI591" s="829"/>
      <c r="HJ591" s="829"/>
      <c r="HK591" s="829"/>
      <c r="HL591" s="829"/>
      <c r="HM591" s="829"/>
      <c r="HN591" s="829"/>
      <c r="HO591" s="829"/>
      <c r="HP591" s="829"/>
      <c r="HQ591" s="829"/>
      <c r="HR591" s="829"/>
      <c r="HS591" s="829"/>
      <c r="HT591" s="829"/>
      <c r="HU591" s="829"/>
      <c r="HV591" s="829"/>
      <c r="HW591" s="829"/>
      <c r="HX591" s="829"/>
      <c r="HY591" s="829"/>
      <c r="HZ591" s="829"/>
      <c r="IA591" s="829"/>
      <c r="IB591" s="829"/>
      <c r="IC591" s="829"/>
      <c r="ID591" s="829"/>
      <c r="IE591" s="829"/>
      <c r="IF591" s="829"/>
      <c r="IG591" s="829"/>
      <c r="IH591" s="829"/>
      <c r="II591" s="829"/>
      <c r="IJ591" s="829"/>
      <c r="IK591" s="829"/>
      <c r="IL591" s="829"/>
      <c r="IM591" s="829"/>
      <c r="IN591" s="829"/>
      <c r="IO591" s="829"/>
      <c r="IP591" s="829"/>
      <c r="IQ591" s="829"/>
    </row>
    <row r="592" spans="1:251" ht="14.1" customHeight="1">
      <c r="A592" s="888"/>
      <c r="B592" s="949"/>
      <c r="C592" s="947" t="s">
        <v>1993</v>
      </c>
      <c r="D592" s="948"/>
      <c r="E592" s="360"/>
      <c r="F592" s="296"/>
      <c r="BI592" s="829"/>
      <c r="BJ592" s="829"/>
      <c r="BK592" s="829"/>
      <c r="BL592" s="829"/>
      <c r="BM592" s="829"/>
      <c r="BN592" s="829"/>
      <c r="BO592" s="829"/>
      <c r="BP592" s="829"/>
      <c r="BQ592" s="829"/>
      <c r="BR592" s="829"/>
      <c r="BS592" s="829"/>
      <c r="BT592" s="829"/>
      <c r="BU592" s="829"/>
      <c r="BV592" s="829"/>
      <c r="BW592" s="829"/>
      <c r="BX592" s="829"/>
      <c r="BY592" s="829"/>
      <c r="BZ592" s="829"/>
      <c r="CA592" s="829"/>
      <c r="CB592" s="829"/>
      <c r="CC592" s="829"/>
      <c r="CD592" s="829"/>
      <c r="CE592" s="829"/>
      <c r="CF592" s="829"/>
      <c r="CG592" s="829"/>
      <c r="CH592" s="829"/>
      <c r="CI592" s="829"/>
      <c r="CJ592" s="829"/>
      <c r="CK592" s="829"/>
      <c r="CL592" s="829"/>
      <c r="CM592" s="829"/>
      <c r="CN592" s="829"/>
      <c r="CO592" s="829"/>
      <c r="CP592" s="829"/>
      <c r="CQ592" s="829"/>
      <c r="CR592" s="829"/>
      <c r="CS592" s="829"/>
      <c r="CT592" s="829"/>
      <c r="CU592" s="829"/>
      <c r="CV592" s="829"/>
      <c r="CW592" s="829"/>
      <c r="CX592" s="829"/>
      <c r="CY592" s="829"/>
      <c r="CZ592" s="829"/>
      <c r="DA592" s="829"/>
      <c r="DB592" s="829"/>
      <c r="DC592" s="829"/>
      <c r="DD592" s="829"/>
      <c r="DE592" s="829"/>
      <c r="DF592" s="829"/>
      <c r="DG592" s="829"/>
      <c r="DH592" s="829"/>
      <c r="DI592" s="829"/>
      <c r="DJ592" s="829"/>
      <c r="DK592" s="829"/>
      <c r="DL592" s="829"/>
      <c r="DM592" s="829"/>
      <c r="DN592" s="829"/>
      <c r="DO592" s="829"/>
      <c r="DP592" s="829"/>
      <c r="DQ592" s="829"/>
      <c r="DR592" s="829"/>
      <c r="DS592" s="829"/>
      <c r="DT592" s="829"/>
      <c r="DU592" s="829"/>
      <c r="DV592" s="829"/>
      <c r="DW592" s="829"/>
      <c r="DX592" s="829"/>
      <c r="DY592" s="829"/>
      <c r="DZ592" s="829"/>
      <c r="EA592" s="829"/>
      <c r="EB592" s="829"/>
      <c r="EC592" s="829"/>
      <c r="ED592" s="829"/>
      <c r="EE592" s="829"/>
      <c r="EF592" s="829"/>
      <c r="EG592" s="829"/>
      <c r="EH592" s="829"/>
      <c r="EI592" s="829"/>
      <c r="EJ592" s="829"/>
      <c r="EK592" s="829"/>
      <c r="EL592" s="829"/>
      <c r="EM592" s="829"/>
      <c r="EN592" s="829"/>
      <c r="EO592" s="829"/>
      <c r="EP592" s="829"/>
      <c r="EQ592" s="829"/>
      <c r="ER592" s="829"/>
      <c r="ES592" s="829"/>
      <c r="ET592" s="829"/>
      <c r="EU592" s="829"/>
      <c r="EV592" s="829"/>
      <c r="EW592" s="829"/>
      <c r="EX592" s="829"/>
      <c r="EY592" s="829"/>
      <c r="EZ592" s="829"/>
      <c r="FA592" s="829"/>
      <c r="FB592" s="829"/>
      <c r="FC592" s="829"/>
      <c r="FD592" s="829"/>
      <c r="FE592" s="829"/>
      <c r="FF592" s="829"/>
      <c r="FG592" s="829"/>
      <c r="FH592" s="829"/>
      <c r="FI592" s="829"/>
      <c r="FJ592" s="829"/>
      <c r="FK592" s="829"/>
      <c r="FL592" s="829"/>
      <c r="FM592" s="829"/>
      <c r="FN592" s="829"/>
      <c r="FO592" s="829"/>
      <c r="FP592" s="829"/>
      <c r="FQ592" s="829"/>
      <c r="FR592" s="829"/>
      <c r="FS592" s="829"/>
      <c r="FT592" s="829"/>
      <c r="FU592" s="829"/>
      <c r="FV592" s="829"/>
      <c r="FW592" s="829"/>
      <c r="FX592" s="829"/>
      <c r="FY592" s="829"/>
      <c r="FZ592" s="829"/>
      <c r="GA592" s="829"/>
      <c r="GB592" s="829"/>
      <c r="GC592" s="829"/>
      <c r="GD592" s="829"/>
      <c r="GE592" s="829"/>
      <c r="GF592" s="829"/>
      <c r="GG592" s="829"/>
      <c r="GH592" s="829"/>
      <c r="GI592" s="829"/>
      <c r="GJ592" s="829"/>
      <c r="GK592" s="829"/>
      <c r="GL592" s="829"/>
      <c r="GM592" s="829"/>
      <c r="GN592" s="829"/>
      <c r="GO592" s="829"/>
      <c r="GP592" s="829"/>
      <c r="GQ592" s="829"/>
      <c r="GR592" s="829"/>
      <c r="GS592" s="829"/>
      <c r="GT592" s="829"/>
      <c r="GU592" s="829"/>
      <c r="GV592" s="829"/>
      <c r="GW592" s="829"/>
      <c r="GX592" s="829"/>
      <c r="GY592" s="829"/>
      <c r="GZ592" s="829"/>
      <c r="HA592" s="829"/>
      <c r="HB592" s="829"/>
      <c r="HC592" s="829"/>
      <c r="HD592" s="829"/>
      <c r="HE592" s="829"/>
      <c r="HF592" s="829"/>
      <c r="HG592" s="829"/>
      <c r="HH592" s="829"/>
      <c r="HI592" s="829"/>
      <c r="HJ592" s="829"/>
      <c r="HK592" s="829"/>
      <c r="HL592" s="829"/>
      <c r="HM592" s="829"/>
      <c r="HN592" s="829"/>
      <c r="HO592" s="829"/>
      <c r="HP592" s="829"/>
      <c r="HQ592" s="829"/>
      <c r="HR592" s="829"/>
      <c r="HS592" s="829"/>
      <c r="HT592" s="829"/>
      <c r="HU592" s="829"/>
      <c r="HV592" s="829"/>
      <c r="HW592" s="829"/>
      <c r="HX592" s="829"/>
      <c r="HY592" s="829"/>
      <c r="HZ592" s="829"/>
      <c r="IA592" s="829"/>
      <c r="IB592" s="829"/>
      <c r="IC592" s="829"/>
      <c r="ID592" s="829"/>
      <c r="IE592" s="829"/>
      <c r="IF592" s="829"/>
      <c r="IG592" s="829"/>
      <c r="IH592" s="829"/>
      <c r="II592" s="829"/>
      <c r="IJ592" s="829"/>
      <c r="IK592" s="829"/>
      <c r="IL592" s="829"/>
      <c r="IM592" s="829"/>
      <c r="IN592" s="829"/>
      <c r="IO592" s="829"/>
      <c r="IP592" s="829"/>
      <c r="IQ592" s="829"/>
    </row>
    <row r="593" spans="1:251" ht="14.1" customHeight="1">
      <c r="A593" s="888"/>
      <c r="B593" s="949"/>
      <c r="C593" s="947" t="s">
        <v>1994</v>
      </c>
      <c r="D593" s="948"/>
      <c r="E593" s="360"/>
      <c r="F593" s="296"/>
      <c r="BI593" s="829"/>
      <c r="BJ593" s="829"/>
      <c r="BK593" s="829"/>
      <c r="BL593" s="829"/>
      <c r="BM593" s="829"/>
      <c r="BN593" s="829"/>
      <c r="BO593" s="829"/>
      <c r="BP593" s="829"/>
      <c r="BQ593" s="829"/>
      <c r="BR593" s="829"/>
      <c r="BS593" s="829"/>
      <c r="BT593" s="829"/>
      <c r="BU593" s="829"/>
      <c r="BV593" s="829"/>
      <c r="BW593" s="829"/>
      <c r="BX593" s="829"/>
      <c r="BY593" s="829"/>
      <c r="BZ593" s="829"/>
      <c r="CA593" s="829"/>
      <c r="CB593" s="829"/>
      <c r="CC593" s="829"/>
      <c r="CD593" s="829"/>
      <c r="CE593" s="829"/>
      <c r="CF593" s="829"/>
      <c r="CG593" s="829"/>
      <c r="CH593" s="829"/>
      <c r="CI593" s="829"/>
      <c r="CJ593" s="829"/>
      <c r="CK593" s="829"/>
      <c r="CL593" s="829"/>
      <c r="CM593" s="829"/>
      <c r="CN593" s="829"/>
      <c r="CO593" s="829"/>
      <c r="CP593" s="829"/>
      <c r="CQ593" s="829"/>
      <c r="CR593" s="829"/>
      <c r="CS593" s="829"/>
      <c r="CT593" s="829"/>
      <c r="CU593" s="829"/>
      <c r="CV593" s="829"/>
      <c r="CW593" s="829"/>
      <c r="CX593" s="829"/>
      <c r="CY593" s="829"/>
      <c r="CZ593" s="829"/>
      <c r="DA593" s="829"/>
      <c r="DB593" s="829"/>
      <c r="DC593" s="829"/>
      <c r="DD593" s="829"/>
      <c r="DE593" s="829"/>
      <c r="DF593" s="829"/>
      <c r="DG593" s="829"/>
      <c r="DH593" s="829"/>
      <c r="DI593" s="829"/>
      <c r="DJ593" s="829"/>
      <c r="DK593" s="829"/>
      <c r="DL593" s="829"/>
      <c r="DM593" s="829"/>
      <c r="DN593" s="829"/>
      <c r="DO593" s="829"/>
      <c r="DP593" s="829"/>
      <c r="DQ593" s="829"/>
      <c r="DR593" s="829"/>
      <c r="DS593" s="829"/>
      <c r="DT593" s="829"/>
      <c r="DU593" s="829"/>
      <c r="DV593" s="829"/>
      <c r="DW593" s="829"/>
      <c r="DX593" s="829"/>
      <c r="DY593" s="829"/>
      <c r="DZ593" s="829"/>
      <c r="EA593" s="829"/>
      <c r="EB593" s="829"/>
      <c r="EC593" s="829"/>
      <c r="ED593" s="829"/>
      <c r="EE593" s="829"/>
      <c r="EF593" s="829"/>
      <c r="EG593" s="829"/>
      <c r="EH593" s="829"/>
      <c r="EI593" s="829"/>
      <c r="EJ593" s="829"/>
      <c r="EK593" s="829"/>
      <c r="EL593" s="829"/>
      <c r="EM593" s="829"/>
      <c r="EN593" s="829"/>
      <c r="EO593" s="829"/>
      <c r="EP593" s="829"/>
      <c r="EQ593" s="829"/>
      <c r="ER593" s="829"/>
      <c r="ES593" s="829"/>
      <c r="ET593" s="829"/>
      <c r="EU593" s="829"/>
      <c r="EV593" s="829"/>
      <c r="EW593" s="829"/>
      <c r="EX593" s="829"/>
      <c r="EY593" s="829"/>
      <c r="EZ593" s="829"/>
      <c r="FA593" s="829"/>
      <c r="FB593" s="829"/>
      <c r="FC593" s="829"/>
      <c r="FD593" s="829"/>
      <c r="FE593" s="829"/>
      <c r="FF593" s="829"/>
      <c r="FG593" s="829"/>
      <c r="FH593" s="829"/>
      <c r="FI593" s="829"/>
      <c r="FJ593" s="829"/>
      <c r="FK593" s="829"/>
      <c r="FL593" s="829"/>
      <c r="FM593" s="829"/>
      <c r="FN593" s="829"/>
      <c r="FO593" s="829"/>
      <c r="FP593" s="829"/>
      <c r="FQ593" s="829"/>
      <c r="FR593" s="829"/>
      <c r="FS593" s="829"/>
      <c r="FT593" s="829"/>
      <c r="FU593" s="829"/>
      <c r="FV593" s="829"/>
      <c r="FW593" s="829"/>
      <c r="FX593" s="829"/>
      <c r="FY593" s="829"/>
      <c r="FZ593" s="829"/>
      <c r="GA593" s="829"/>
      <c r="GB593" s="829"/>
      <c r="GC593" s="829"/>
      <c r="GD593" s="829"/>
      <c r="GE593" s="829"/>
      <c r="GF593" s="829"/>
      <c r="GG593" s="829"/>
      <c r="GH593" s="829"/>
      <c r="GI593" s="829"/>
      <c r="GJ593" s="829"/>
      <c r="GK593" s="829"/>
      <c r="GL593" s="829"/>
      <c r="GM593" s="829"/>
      <c r="GN593" s="829"/>
      <c r="GO593" s="829"/>
      <c r="GP593" s="829"/>
      <c r="GQ593" s="829"/>
      <c r="GR593" s="829"/>
      <c r="GS593" s="829"/>
      <c r="GT593" s="829"/>
      <c r="GU593" s="829"/>
      <c r="GV593" s="829"/>
      <c r="GW593" s="829"/>
      <c r="GX593" s="829"/>
      <c r="GY593" s="829"/>
      <c r="GZ593" s="829"/>
      <c r="HA593" s="829"/>
      <c r="HB593" s="829"/>
      <c r="HC593" s="829"/>
      <c r="HD593" s="829"/>
      <c r="HE593" s="829"/>
      <c r="HF593" s="829"/>
      <c r="HG593" s="829"/>
      <c r="HH593" s="829"/>
      <c r="HI593" s="829"/>
      <c r="HJ593" s="829"/>
      <c r="HK593" s="829"/>
      <c r="HL593" s="829"/>
      <c r="HM593" s="829"/>
      <c r="HN593" s="829"/>
      <c r="HO593" s="829"/>
      <c r="HP593" s="829"/>
      <c r="HQ593" s="829"/>
      <c r="HR593" s="829"/>
      <c r="HS593" s="829"/>
      <c r="HT593" s="829"/>
      <c r="HU593" s="829"/>
      <c r="HV593" s="829"/>
      <c r="HW593" s="829"/>
      <c r="HX593" s="829"/>
      <c r="HY593" s="829"/>
      <c r="HZ593" s="829"/>
      <c r="IA593" s="829"/>
      <c r="IB593" s="829"/>
      <c r="IC593" s="829"/>
      <c r="ID593" s="829"/>
      <c r="IE593" s="829"/>
      <c r="IF593" s="829"/>
      <c r="IG593" s="829"/>
      <c r="IH593" s="829"/>
      <c r="II593" s="829"/>
      <c r="IJ593" s="829"/>
      <c r="IK593" s="829"/>
      <c r="IL593" s="829"/>
      <c r="IM593" s="829"/>
      <c r="IN593" s="829"/>
      <c r="IO593" s="829"/>
      <c r="IP593" s="829"/>
      <c r="IQ593" s="829"/>
    </row>
    <row r="594" spans="1:251" ht="14.1" customHeight="1">
      <c r="A594" s="888"/>
      <c r="B594" s="949"/>
      <c r="C594" s="947" t="s">
        <v>1995</v>
      </c>
      <c r="D594" s="948"/>
      <c r="E594" s="360"/>
      <c r="F594" s="500"/>
      <c r="BI594" s="829"/>
      <c r="BJ594" s="829"/>
      <c r="BK594" s="829"/>
      <c r="BL594" s="829"/>
      <c r="BM594" s="829"/>
      <c r="BN594" s="829"/>
      <c r="BO594" s="829"/>
      <c r="BP594" s="829"/>
      <c r="BQ594" s="829"/>
      <c r="BR594" s="829"/>
      <c r="BS594" s="829"/>
      <c r="BT594" s="829"/>
      <c r="BU594" s="829"/>
      <c r="BV594" s="829"/>
      <c r="BW594" s="829"/>
      <c r="BX594" s="829"/>
      <c r="BY594" s="829"/>
      <c r="BZ594" s="829"/>
      <c r="CA594" s="829"/>
      <c r="CB594" s="829"/>
      <c r="CC594" s="829"/>
      <c r="CD594" s="829"/>
      <c r="CE594" s="829"/>
      <c r="CF594" s="829"/>
      <c r="CG594" s="829"/>
      <c r="CH594" s="829"/>
      <c r="CI594" s="829"/>
      <c r="CJ594" s="829"/>
      <c r="CK594" s="829"/>
      <c r="CL594" s="829"/>
      <c r="CM594" s="829"/>
      <c r="CN594" s="829"/>
      <c r="CO594" s="829"/>
      <c r="CP594" s="829"/>
      <c r="CQ594" s="829"/>
      <c r="CR594" s="829"/>
      <c r="CS594" s="829"/>
      <c r="CT594" s="829"/>
      <c r="CU594" s="829"/>
      <c r="CV594" s="829"/>
      <c r="CW594" s="829"/>
      <c r="CX594" s="829"/>
      <c r="CY594" s="829"/>
      <c r="CZ594" s="829"/>
      <c r="DA594" s="829"/>
      <c r="DB594" s="829"/>
      <c r="DC594" s="829"/>
      <c r="DD594" s="829"/>
      <c r="DE594" s="829"/>
      <c r="DF594" s="829"/>
      <c r="DG594" s="829"/>
      <c r="DH594" s="829"/>
      <c r="DI594" s="829"/>
      <c r="DJ594" s="829"/>
      <c r="DK594" s="829"/>
      <c r="DL594" s="829"/>
      <c r="DM594" s="829"/>
      <c r="DN594" s="829"/>
      <c r="DO594" s="829"/>
      <c r="DP594" s="829"/>
      <c r="DQ594" s="829"/>
      <c r="DR594" s="829"/>
      <c r="DS594" s="829"/>
      <c r="DT594" s="829"/>
      <c r="DU594" s="829"/>
      <c r="DV594" s="829"/>
      <c r="DW594" s="829"/>
      <c r="DX594" s="829"/>
      <c r="DY594" s="829"/>
      <c r="DZ594" s="829"/>
      <c r="EA594" s="829"/>
      <c r="EB594" s="829"/>
      <c r="EC594" s="829"/>
      <c r="ED594" s="829"/>
      <c r="EE594" s="829"/>
      <c r="EF594" s="829"/>
      <c r="EG594" s="829"/>
      <c r="EH594" s="829"/>
      <c r="EI594" s="829"/>
      <c r="EJ594" s="829"/>
      <c r="EK594" s="829"/>
      <c r="EL594" s="829"/>
      <c r="EM594" s="829"/>
      <c r="EN594" s="829"/>
      <c r="EO594" s="829"/>
      <c r="EP594" s="829"/>
      <c r="EQ594" s="829"/>
      <c r="ER594" s="829"/>
      <c r="ES594" s="829"/>
      <c r="ET594" s="829"/>
      <c r="EU594" s="829"/>
      <c r="EV594" s="829"/>
      <c r="EW594" s="829"/>
      <c r="EX594" s="829"/>
      <c r="EY594" s="829"/>
      <c r="EZ594" s="829"/>
      <c r="FA594" s="829"/>
      <c r="FB594" s="829"/>
      <c r="FC594" s="829"/>
      <c r="FD594" s="829"/>
      <c r="FE594" s="829"/>
      <c r="FF594" s="829"/>
      <c r="FG594" s="829"/>
      <c r="FH594" s="829"/>
      <c r="FI594" s="829"/>
      <c r="FJ594" s="829"/>
      <c r="FK594" s="829"/>
      <c r="FL594" s="829"/>
      <c r="FM594" s="829"/>
      <c r="FN594" s="829"/>
      <c r="FO594" s="829"/>
      <c r="FP594" s="829"/>
      <c r="FQ594" s="829"/>
      <c r="FR594" s="829"/>
      <c r="FS594" s="829"/>
      <c r="FT594" s="829"/>
      <c r="FU594" s="829"/>
      <c r="FV594" s="829"/>
      <c r="FW594" s="829"/>
      <c r="FX594" s="829"/>
      <c r="FY594" s="829"/>
      <c r="FZ594" s="829"/>
      <c r="GA594" s="829"/>
      <c r="GB594" s="829"/>
      <c r="GC594" s="829"/>
      <c r="GD594" s="829"/>
      <c r="GE594" s="829"/>
      <c r="GF594" s="829"/>
      <c r="GG594" s="829"/>
      <c r="GH594" s="829"/>
      <c r="GI594" s="829"/>
      <c r="GJ594" s="829"/>
      <c r="GK594" s="829"/>
      <c r="GL594" s="829"/>
      <c r="GM594" s="829"/>
      <c r="GN594" s="829"/>
      <c r="GO594" s="829"/>
      <c r="GP594" s="829"/>
      <c r="GQ594" s="829"/>
      <c r="GR594" s="829"/>
      <c r="GS594" s="829"/>
      <c r="GT594" s="829"/>
      <c r="GU594" s="829"/>
      <c r="GV594" s="829"/>
      <c r="GW594" s="829"/>
      <c r="GX594" s="829"/>
      <c r="GY594" s="829"/>
      <c r="GZ594" s="829"/>
      <c r="HA594" s="829"/>
      <c r="HB594" s="829"/>
      <c r="HC594" s="829"/>
      <c r="HD594" s="829"/>
      <c r="HE594" s="829"/>
      <c r="HF594" s="829"/>
      <c r="HG594" s="829"/>
      <c r="HH594" s="829"/>
      <c r="HI594" s="829"/>
      <c r="HJ594" s="829"/>
      <c r="HK594" s="829"/>
      <c r="HL594" s="829"/>
      <c r="HM594" s="829"/>
      <c r="HN594" s="829"/>
      <c r="HO594" s="829"/>
      <c r="HP594" s="829"/>
      <c r="HQ594" s="829"/>
      <c r="HR594" s="829"/>
      <c r="HS594" s="829"/>
      <c r="HT594" s="829"/>
      <c r="HU594" s="829"/>
      <c r="HV594" s="829"/>
      <c r="HW594" s="829"/>
      <c r="HX594" s="829"/>
      <c r="HY594" s="829"/>
      <c r="HZ594" s="829"/>
      <c r="IA594" s="829"/>
      <c r="IB594" s="829"/>
      <c r="IC594" s="829"/>
      <c r="ID594" s="829"/>
      <c r="IE594" s="829"/>
      <c r="IF594" s="829"/>
      <c r="IG594" s="829"/>
      <c r="IH594" s="829"/>
      <c r="II594" s="829"/>
      <c r="IJ594" s="829"/>
      <c r="IK594" s="829"/>
      <c r="IL594" s="829"/>
      <c r="IM594" s="829"/>
      <c r="IN594" s="829"/>
      <c r="IO594" s="829"/>
      <c r="IP594" s="829"/>
      <c r="IQ594" s="829"/>
    </row>
    <row r="595" spans="1:251" ht="14.1" customHeight="1">
      <c r="A595" s="888"/>
      <c r="B595" s="891"/>
      <c r="C595" s="869"/>
      <c r="D595" s="874"/>
      <c r="E595" s="360"/>
      <c r="F595" s="296"/>
      <c r="BI595" s="829"/>
      <c r="BJ595" s="829"/>
      <c r="BK595" s="829"/>
      <c r="BL595" s="829"/>
      <c r="BM595" s="829"/>
      <c r="BN595" s="829"/>
      <c r="BO595" s="829"/>
      <c r="BP595" s="829"/>
      <c r="BQ595" s="829"/>
      <c r="BR595" s="829"/>
      <c r="BS595" s="829"/>
      <c r="BT595" s="829"/>
      <c r="BU595" s="829"/>
      <c r="BV595" s="829"/>
      <c r="BW595" s="829"/>
      <c r="BX595" s="829"/>
      <c r="BY595" s="829"/>
      <c r="BZ595" s="829"/>
      <c r="CA595" s="829"/>
      <c r="CB595" s="829"/>
      <c r="CC595" s="829"/>
      <c r="CD595" s="829"/>
      <c r="CE595" s="829"/>
      <c r="CF595" s="829"/>
      <c r="CG595" s="829"/>
      <c r="CH595" s="829"/>
      <c r="CI595" s="829"/>
      <c r="CJ595" s="829"/>
      <c r="CK595" s="829"/>
      <c r="CL595" s="829"/>
      <c r="CM595" s="829"/>
      <c r="CN595" s="829"/>
      <c r="CO595" s="829"/>
      <c r="CP595" s="829"/>
      <c r="CQ595" s="829"/>
      <c r="CR595" s="829"/>
      <c r="CS595" s="829"/>
      <c r="CT595" s="829"/>
      <c r="CU595" s="829"/>
      <c r="CV595" s="829"/>
      <c r="CW595" s="829"/>
      <c r="CX595" s="829"/>
      <c r="CY595" s="829"/>
      <c r="CZ595" s="829"/>
      <c r="DA595" s="829"/>
      <c r="DB595" s="829"/>
      <c r="DC595" s="829"/>
      <c r="DD595" s="829"/>
      <c r="DE595" s="829"/>
      <c r="DF595" s="829"/>
      <c r="DG595" s="829"/>
      <c r="DH595" s="829"/>
      <c r="DI595" s="829"/>
      <c r="DJ595" s="829"/>
      <c r="DK595" s="829"/>
      <c r="DL595" s="829"/>
      <c r="DM595" s="829"/>
      <c r="DN595" s="829"/>
      <c r="DO595" s="829"/>
      <c r="DP595" s="829"/>
      <c r="DQ595" s="829"/>
      <c r="DR595" s="829"/>
      <c r="DS595" s="829"/>
      <c r="DT595" s="829"/>
      <c r="DU595" s="829"/>
      <c r="DV595" s="829"/>
      <c r="DW595" s="829"/>
      <c r="DX595" s="829"/>
      <c r="DY595" s="829"/>
      <c r="DZ595" s="829"/>
      <c r="EA595" s="829"/>
      <c r="EB595" s="829"/>
      <c r="EC595" s="829"/>
      <c r="ED595" s="829"/>
      <c r="EE595" s="829"/>
      <c r="EF595" s="829"/>
      <c r="EG595" s="829"/>
      <c r="EH595" s="829"/>
      <c r="EI595" s="829"/>
      <c r="EJ595" s="829"/>
      <c r="EK595" s="829"/>
      <c r="EL595" s="829"/>
      <c r="EM595" s="829"/>
      <c r="EN595" s="829"/>
      <c r="EO595" s="829"/>
      <c r="EP595" s="829"/>
      <c r="EQ595" s="829"/>
      <c r="ER595" s="829"/>
      <c r="ES595" s="829"/>
      <c r="ET595" s="829"/>
      <c r="EU595" s="829"/>
      <c r="EV595" s="829"/>
      <c r="EW595" s="829"/>
      <c r="EX595" s="829"/>
      <c r="EY595" s="829"/>
      <c r="EZ595" s="829"/>
      <c r="FA595" s="829"/>
      <c r="FB595" s="829"/>
      <c r="FC595" s="829"/>
      <c r="FD595" s="829"/>
      <c r="FE595" s="829"/>
      <c r="FF595" s="829"/>
      <c r="FG595" s="829"/>
      <c r="FH595" s="829"/>
      <c r="FI595" s="829"/>
      <c r="FJ595" s="829"/>
      <c r="FK595" s="829"/>
      <c r="FL595" s="829"/>
      <c r="FM595" s="829"/>
      <c r="FN595" s="829"/>
      <c r="FO595" s="829"/>
      <c r="FP595" s="829"/>
      <c r="FQ595" s="829"/>
      <c r="FR595" s="829"/>
      <c r="FS595" s="829"/>
      <c r="FT595" s="829"/>
      <c r="FU595" s="829"/>
      <c r="FV595" s="829"/>
      <c r="FW595" s="829"/>
      <c r="FX595" s="829"/>
      <c r="FY595" s="829"/>
      <c r="FZ595" s="829"/>
      <c r="GA595" s="829"/>
      <c r="GB595" s="829"/>
      <c r="GC595" s="829"/>
      <c r="GD595" s="829"/>
      <c r="GE595" s="829"/>
      <c r="GF595" s="829"/>
      <c r="GG595" s="829"/>
      <c r="GH595" s="829"/>
      <c r="GI595" s="829"/>
      <c r="GJ595" s="829"/>
      <c r="GK595" s="829"/>
      <c r="GL595" s="829"/>
      <c r="GM595" s="829"/>
      <c r="GN595" s="829"/>
      <c r="GO595" s="829"/>
      <c r="GP595" s="829"/>
      <c r="GQ595" s="829"/>
      <c r="GR595" s="829"/>
      <c r="GS595" s="829"/>
      <c r="GT595" s="829"/>
      <c r="GU595" s="829"/>
      <c r="GV595" s="829"/>
      <c r="GW595" s="829"/>
      <c r="GX595" s="829"/>
      <c r="GY595" s="829"/>
      <c r="GZ595" s="829"/>
      <c r="HA595" s="829"/>
      <c r="HB595" s="829"/>
      <c r="HC595" s="829"/>
      <c r="HD595" s="829"/>
      <c r="HE595" s="829"/>
      <c r="HF595" s="829"/>
      <c r="HG595" s="829"/>
      <c r="HH595" s="829"/>
      <c r="HI595" s="829"/>
      <c r="HJ595" s="829"/>
      <c r="HK595" s="829"/>
      <c r="HL595" s="829"/>
      <c r="HM595" s="829"/>
      <c r="HN595" s="829"/>
      <c r="HO595" s="829"/>
      <c r="HP595" s="829"/>
      <c r="HQ595" s="829"/>
      <c r="HR595" s="829"/>
      <c r="HS595" s="829"/>
      <c r="HT595" s="829"/>
      <c r="HU595" s="829"/>
      <c r="HV595" s="829"/>
      <c r="HW595" s="829"/>
      <c r="HX595" s="829"/>
      <c r="HY595" s="829"/>
      <c r="HZ595" s="829"/>
      <c r="IA595" s="829"/>
      <c r="IB595" s="829"/>
      <c r="IC595" s="829"/>
      <c r="ID595" s="829"/>
      <c r="IE595" s="829"/>
      <c r="IF595" s="829"/>
      <c r="IG595" s="829"/>
      <c r="IH595" s="829"/>
      <c r="II595" s="829"/>
      <c r="IJ595" s="829"/>
      <c r="IK595" s="829"/>
      <c r="IL595" s="829"/>
      <c r="IM595" s="829"/>
      <c r="IN595" s="829"/>
      <c r="IO595" s="829"/>
      <c r="IP595" s="829"/>
      <c r="IQ595" s="829"/>
    </row>
    <row r="596" spans="1:251" ht="14.1" customHeight="1">
      <c r="A596" s="888"/>
      <c r="B596" s="891"/>
      <c r="C596" s="869"/>
      <c r="D596" s="874"/>
      <c r="E596" s="360"/>
      <c r="F596" s="296"/>
      <c r="BI596" s="829"/>
      <c r="BJ596" s="829"/>
      <c r="BK596" s="829"/>
      <c r="BL596" s="829"/>
      <c r="BM596" s="829"/>
      <c r="BN596" s="829"/>
      <c r="BO596" s="829"/>
      <c r="BP596" s="829"/>
      <c r="BQ596" s="829"/>
      <c r="BR596" s="829"/>
      <c r="BS596" s="829"/>
      <c r="BT596" s="829"/>
      <c r="BU596" s="829"/>
      <c r="BV596" s="829"/>
      <c r="BW596" s="829"/>
      <c r="BX596" s="829"/>
      <c r="BY596" s="829"/>
      <c r="BZ596" s="829"/>
      <c r="CA596" s="829"/>
      <c r="CB596" s="829"/>
      <c r="CC596" s="829"/>
      <c r="CD596" s="829"/>
      <c r="CE596" s="829"/>
      <c r="CF596" s="829"/>
      <c r="CG596" s="829"/>
      <c r="CH596" s="829"/>
      <c r="CI596" s="829"/>
      <c r="CJ596" s="829"/>
      <c r="CK596" s="829"/>
      <c r="CL596" s="829"/>
      <c r="CM596" s="829"/>
      <c r="CN596" s="829"/>
      <c r="CO596" s="829"/>
      <c r="CP596" s="829"/>
      <c r="CQ596" s="829"/>
      <c r="CR596" s="829"/>
      <c r="CS596" s="829"/>
      <c r="CT596" s="829"/>
      <c r="CU596" s="829"/>
      <c r="CV596" s="829"/>
      <c r="CW596" s="829"/>
      <c r="CX596" s="829"/>
      <c r="CY596" s="829"/>
      <c r="CZ596" s="829"/>
      <c r="DA596" s="829"/>
      <c r="DB596" s="829"/>
      <c r="DC596" s="829"/>
      <c r="DD596" s="829"/>
      <c r="DE596" s="829"/>
      <c r="DF596" s="829"/>
      <c r="DG596" s="829"/>
      <c r="DH596" s="829"/>
      <c r="DI596" s="829"/>
      <c r="DJ596" s="829"/>
      <c r="DK596" s="829"/>
      <c r="DL596" s="829"/>
      <c r="DM596" s="829"/>
      <c r="DN596" s="829"/>
      <c r="DO596" s="829"/>
      <c r="DP596" s="829"/>
      <c r="DQ596" s="829"/>
      <c r="DR596" s="829"/>
      <c r="DS596" s="829"/>
      <c r="DT596" s="829"/>
      <c r="DU596" s="829"/>
      <c r="DV596" s="829"/>
      <c r="DW596" s="829"/>
      <c r="DX596" s="829"/>
      <c r="DY596" s="829"/>
      <c r="DZ596" s="829"/>
      <c r="EA596" s="829"/>
      <c r="EB596" s="829"/>
      <c r="EC596" s="829"/>
      <c r="ED596" s="829"/>
      <c r="EE596" s="829"/>
      <c r="EF596" s="829"/>
      <c r="EG596" s="829"/>
      <c r="EH596" s="829"/>
      <c r="EI596" s="829"/>
      <c r="EJ596" s="829"/>
      <c r="EK596" s="829"/>
      <c r="EL596" s="829"/>
      <c r="EM596" s="829"/>
      <c r="EN596" s="829"/>
      <c r="EO596" s="829"/>
      <c r="EP596" s="829"/>
      <c r="EQ596" s="829"/>
      <c r="ER596" s="829"/>
      <c r="ES596" s="829"/>
      <c r="ET596" s="829"/>
      <c r="EU596" s="829"/>
      <c r="EV596" s="829"/>
      <c r="EW596" s="829"/>
      <c r="EX596" s="829"/>
      <c r="EY596" s="829"/>
      <c r="EZ596" s="829"/>
      <c r="FA596" s="829"/>
      <c r="FB596" s="829"/>
      <c r="FC596" s="829"/>
      <c r="FD596" s="829"/>
      <c r="FE596" s="829"/>
      <c r="FF596" s="829"/>
      <c r="FG596" s="829"/>
      <c r="FH596" s="829"/>
      <c r="FI596" s="829"/>
      <c r="FJ596" s="829"/>
      <c r="FK596" s="829"/>
      <c r="FL596" s="829"/>
      <c r="FM596" s="829"/>
      <c r="FN596" s="829"/>
      <c r="FO596" s="829"/>
      <c r="FP596" s="829"/>
      <c r="FQ596" s="829"/>
      <c r="FR596" s="829"/>
      <c r="FS596" s="829"/>
      <c r="FT596" s="829"/>
      <c r="FU596" s="829"/>
      <c r="FV596" s="829"/>
      <c r="FW596" s="829"/>
      <c r="FX596" s="829"/>
      <c r="FY596" s="829"/>
      <c r="FZ596" s="829"/>
      <c r="GA596" s="829"/>
      <c r="GB596" s="829"/>
      <c r="GC596" s="829"/>
      <c r="GD596" s="829"/>
      <c r="GE596" s="829"/>
      <c r="GF596" s="829"/>
      <c r="GG596" s="829"/>
      <c r="GH596" s="829"/>
      <c r="GI596" s="829"/>
      <c r="GJ596" s="829"/>
      <c r="GK596" s="829"/>
      <c r="GL596" s="829"/>
      <c r="GM596" s="829"/>
      <c r="GN596" s="829"/>
      <c r="GO596" s="829"/>
      <c r="GP596" s="829"/>
      <c r="GQ596" s="829"/>
      <c r="GR596" s="829"/>
      <c r="GS596" s="829"/>
      <c r="GT596" s="829"/>
      <c r="GU596" s="829"/>
      <c r="GV596" s="829"/>
      <c r="GW596" s="829"/>
      <c r="GX596" s="829"/>
      <c r="GY596" s="829"/>
      <c r="GZ596" s="829"/>
      <c r="HA596" s="829"/>
      <c r="HB596" s="829"/>
      <c r="HC596" s="829"/>
      <c r="HD596" s="829"/>
      <c r="HE596" s="829"/>
      <c r="HF596" s="829"/>
      <c r="HG596" s="829"/>
      <c r="HH596" s="829"/>
      <c r="HI596" s="829"/>
      <c r="HJ596" s="829"/>
      <c r="HK596" s="829"/>
      <c r="HL596" s="829"/>
      <c r="HM596" s="829"/>
      <c r="HN596" s="829"/>
      <c r="HO596" s="829"/>
      <c r="HP596" s="829"/>
      <c r="HQ596" s="829"/>
      <c r="HR596" s="829"/>
      <c r="HS596" s="829"/>
      <c r="HT596" s="829"/>
      <c r="HU596" s="829"/>
      <c r="HV596" s="829"/>
      <c r="HW596" s="829"/>
      <c r="HX596" s="829"/>
      <c r="HY596" s="829"/>
      <c r="HZ596" s="829"/>
      <c r="IA596" s="829"/>
      <c r="IB596" s="829"/>
      <c r="IC596" s="829"/>
      <c r="ID596" s="829"/>
      <c r="IE596" s="829"/>
      <c r="IF596" s="829"/>
      <c r="IG596" s="829"/>
      <c r="IH596" s="829"/>
      <c r="II596" s="829"/>
      <c r="IJ596" s="829"/>
      <c r="IK596" s="829"/>
      <c r="IL596" s="829"/>
      <c r="IM596" s="829"/>
      <c r="IN596" s="829"/>
      <c r="IO596" s="829"/>
      <c r="IP596" s="829"/>
      <c r="IQ596" s="829"/>
    </row>
    <row r="597" spans="1:251" ht="14.1" customHeight="1">
      <c r="A597" s="888"/>
      <c r="B597" s="891"/>
      <c r="C597" s="869"/>
      <c r="D597" s="874"/>
      <c r="E597" s="360"/>
      <c r="F597" s="296"/>
      <c r="BI597" s="829"/>
      <c r="BJ597" s="829"/>
      <c r="BK597" s="829"/>
      <c r="BL597" s="829"/>
      <c r="BM597" s="829"/>
      <c r="BN597" s="829"/>
      <c r="BO597" s="829"/>
      <c r="BP597" s="829"/>
      <c r="BQ597" s="829"/>
      <c r="BR597" s="829"/>
      <c r="BS597" s="829"/>
      <c r="BT597" s="829"/>
      <c r="BU597" s="829"/>
      <c r="BV597" s="829"/>
      <c r="BW597" s="829"/>
      <c r="BX597" s="829"/>
      <c r="BY597" s="829"/>
      <c r="BZ597" s="829"/>
      <c r="CA597" s="829"/>
      <c r="CB597" s="829"/>
      <c r="CC597" s="829"/>
      <c r="CD597" s="829"/>
      <c r="CE597" s="829"/>
      <c r="CF597" s="829"/>
      <c r="CG597" s="829"/>
      <c r="CH597" s="829"/>
      <c r="CI597" s="829"/>
      <c r="CJ597" s="829"/>
      <c r="CK597" s="829"/>
      <c r="CL597" s="829"/>
      <c r="CM597" s="829"/>
      <c r="CN597" s="829"/>
      <c r="CO597" s="829"/>
      <c r="CP597" s="829"/>
      <c r="CQ597" s="829"/>
      <c r="CR597" s="829"/>
      <c r="CS597" s="829"/>
      <c r="CT597" s="829"/>
      <c r="CU597" s="829"/>
      <c r="CV597" s="829"/>
      <c r="CW597" s="829"/>
      <c r="CX597" s="829"/>
      <c r="CY597" s="829"/>
      <c r="CZ597" s="829"/>
      <c r="DA597" s="829"/>
      <c r="DB597" s="829"/>
      <c r="DC597" s="829"/>
      <c r="DD597" s="829"/>
      <c r="DE597" s="829"/>
      <c r="DF597" s="829"/>
      <c r="DG597" s="829"/>
      <c r="DH597" s="829"/>
      <c r="DI597" s="829"/>
      <c r="DJ597" s="829"/>
      <c r="DK597" s="829"/>
      <c r="DL597" s="829"/>
      <c r="DM597" s="829"/>
      <c r="DN597" s="829"/>
      <c r="DO597" s="829"/>
      <c r="DP597" s="829"/>
      <c r="DQ597" s="829"/>
      <c r="DR597" s="829"/>
      <c r="DS597" s="829"/>
      <c r="DT597" s="829"/>
      <c r="DU597" s="829"/>
      <c r="DV597" s="829"/>
      <c r="DW597" s="829"/>
      <c r="DX597" s="829"/>
      <c r="DY597" s="829"/>
      <c r="DZ597" s="829"/>
      <c r="EA597" s="829"/>
      <c r="EB597" s="829"/>
      <c r="EC597" s="829"/>
      <c r="ED597" s="829"/>
      <c r="EE597" s="829"/>
      <c r="EF597" s="829"/>
      <c r="EG597" s="829"/>
      <c r="EH597" s="829"/>
      <c r="EI597" s="829"/>
      <c r="EJ597" s="829"/>
      <c r="EK597" s="829"/>
      <c r="EL597" s="829"/>
      <c r="EM597" s="829"/>
      <c r="EN597" s="829"/>
      <c r="EO597" s="829"/>
      <c r="EP597" s="829"/>
      <c r="EQ597" s="829"/>
      <c r="ER597" s="829"/>
      <c r="ES597" s="829"/>
      <c r="ET597" s="829"/>
      <c r="EU597" s="829"/>
      <c r="EV597" s="829"/>
      <c r="EW597" s="829"/>
      <c r="EX597" s="829"/>
      <c r="EY597" s="829"/>
      <c r="EZ597" s="829"/>
      <c r="FA597" s="829"/>
      <c r="FB597" s="829"/>
      <c r="FC597" s="829"/>
      <c r="FD597" s="829"/>
      <c r="FE597" s="829"/>
      <c r="FF597" s="829"/>
      <c r="FG597" s="829"/>
      <c r="FH597" s="829"/>
      <c r="FI597" s="829"/>
      <c r="FJ597" s="829"/>
      <c r="FK597" s="829"/>
      <c r="FL597" s="829"/>
      <c r="FM597" s="829"/>
      <c r="FN597" s="829"/>
      <c r="FO597" s="829"/>
      <c r="FP597" s="829"/>
      <c r="FQ597" s="829"/>
      <c r="FR597" s="829"/>
      <c r="FS597" s="829"/>
      <c r="FT597" s="829"/>
      <c r="FU597" s="829"/>
      <c r="FV597" s="829"/>
      <c r="FW597" s="829"/>
      <c r="FX597" s="829"/>
      <c r="FY597" s="829"/>
      <c r="FZ597" s="829"/>
      <c r="GA597" s="829"/>
      <c r="GB597" s="829"/>
      <c r="GC597" s="829"/>
      <c r="GD597" s="829"/>
      <c r="GE597" s="829"/>
      <c r="GF597" s="829"/>
      <c r="GG597" s="829"/>
      <c r="GH597" s="829"/>
      <c r="GI597" s="829"/>
      <c r="GJ597" s="829"/>
      <c r="GK597" s="829"/>
      <c r="GL597" s="829"/>
      <c r="GM597" s="829"/>
      <c r="GN597" s="829"/>
      <c r="GO597" s="829"/>
      <c r="GP597" s="829"/>
      <c r="GQ597" s="829"/>
      <c r="GR597" s="829"/>
      <c r="GS597" s="829"/>
      <c r="GT597" s="829"/>
      <c r="GU597" s="829"/>
      <c r="GV597" s="829"/>
      <c r="GW597" s="829"/>
      <c r="GX597" s="829"/>
      <c r="GY597" s="829"/>
      <c r="GZ597" s="829"/>
      <c r="HA597" s="829"/>
      <c r="HB597" s="829"/>
      <c r="HC597" s="829"/>
      <c r="HD597" s="829"/>
      <c r="HE597" s="829"/>
      <c r="HF597" s="829"/>
      <c r="HG597" s="829"/>
      <c r="HH597" s="829"/>
      <c r="HI597" s="829"/>
      <c r="HJ597" s="829"/>
      <c r="HK597" s="829"/>
      <c r="HL597" s="829"/>
      <c r="HM597" s="829"/>
      <c r="HN597" s="829"/>
      <c r="HO597" s="829"/>
      <c r="HP597" s="829"/>
      <c r="HQ597" s="829"/>
      <c r="HR597" s="829"/>
      <c r="HS597" s="829"/>
      <c r="HT597" s="829"/>
      <c r="HU597" s="829"/>
      <c r="HV597" s="829"/>
      <c r="HW597" s="829"/>
      <c r="HX597" s="829"/>
      <c r="HY597" s="829"/>
      <c r="HZ597" s="829"/>
      <c r="IA597" s="829"/>
      <c r="IB597" s="829"/>
      <c r="IC597" s="829"/>
      <c r="ID597" s="829"/>
      <c r="IE597" s="829"/>
      <c r="IF597" s="829"/>
      <c r="IG597" s="829"/>
      <c r="IH597" s="829"/>
      <c r="II597" s="829"/>
      <c r="IJ597" s="829"/>
      <c r="IK597" s="829"/>
      <c r="IL597" s="829"/>
      <c r="IM597" s="829"/>
      <c r="IN597" s="829"/>
      <c r="IO597" s="829"/>
      <c r="IP597" s="829"/>
      <c r="IQ597" s="829"/>
    </row>
    <row r="598" spans="1:251" ht="14.1" customHeight="1">
      <c r="A598" s="888"/>
      <c r="B598" s="891"/>
      <c r="C598" s="869"/>
      <c r="D598" s="874"/>
      <c r="E598" s="360"/>
      <c r="F598" s="296"/>
      <c r="BI598" s="829"/>
      <c r="BJ598" s="829"/>
      <c r="BK598" s="829"/>
      <c r="BL598" s="829"/>
      <c r="BM598" s="829"/>
      <c r="BN598" s="829"/>
      <c r="BO598" s="829"/>
      <c r="BP598" s="829"/>
      <c r="BQ598" s="829"/>
      <c r="BR598" s="829"/>
      <c r="BS598" s="829"/>
      <c r="BT598" s="829"/>
      <c r="BU598" s="829"/>
      <c r="BV598" s="829"/>
      <c r="BW598" s="829"/>
      <c r="BX598" s="829"/>
      <c r="BY598" s="829"/>
      <c r="BZ598" s="829"/>
      <c r="CA598" s="829"/>
      <c r="CB598" s="829"/>
      <c r="CC598" s="829"/>
      <c r="CD598" s="829"/>
      <c r="CE598" s="829"/>
      <c r="CF598" s="829"/>
      <c r="CG598" s="829"/>
      <c r="CH598" s="829"/>
      <c r="CI598" s="829"/>
      <c r="CJ598" s="829"/>
      <c r="CK598" s="829"/>
      <c r="CL598" s="829"/>
      <c r="CM598" s="829"/>
      <c r="CN598" s="829"/>
      <c r="CO598" s="829"/>
      <c r="CP598" s="829"/>
      <c r="CQ598" s="829"/>
      <c r="CR598" s="829"/>
      <c r="CS598" s="829"/>
      <c r="CT598" s="829"/>
      <c r="CU598" s="829"/>
      <c r="CV598" s="829"/>
      <c r="CW598" s="829"/>
      <c r="CX598" s="829"/>
      <c r="CY598" s="829"/>
      <c r="CZ598" s="829"/>
      <c r="DA598" s="829"/>
      <c r="DB598" s="829"/>
      <c r="DC598" s="829"/>
      <c r="DD598" s="829"/>
      <c r="DE598" s="829"/>
      <c r="DF598" s="829"/>
      <c r="DG598" s="829"/>
      <c r="DH598" s="829"/>
      <c r="DI598" s="829"/>
      <c r="DJ598" s="829"/>
      <c r="DK598" s="829"/>
      <c r="DL598" s="829"/>
      <c r="DM598" s="829"/>
      <c r="DN598" s="829"/>
      <c r="DO598" s="829"/>
      <c r="DP598" s="829"/>
      <c r="DQ598" s="829"/>
      <c r="DR598" s="829"/>
      <c r="DS598" s="829"/>
      <c r="DT598" s="829"/>
      <c r="DU598" s="829"/>
      <c r="DV598" s="829"/>
      <c r="DW598" s="829"/>
      <c r="DX598" s="829"/>
      <c r="DY598" s="829"/>
      <c r="DZ598" s="829"/>
      <c r="EA598" s="829"/>
      <c r="EB598" s="829"/>
      <c r="EC598" s="829"/>
      <c r="ED598" s="829"/>
      <c r="EE598" s="829"/>
      <c r="EF598" s="829"/>
      <c r="EG598" s="829"/>
      <c r="EH598" s="829"/>
      <c r="EI598" s="829"/>
      <c r="EJ598" s="829"/>
      <c r="EK598" s="829"/>
      <c r="EL598" s="829"/>
      <c r="EM598" s="829"/>
      <c r="EN598" s="829"/>
      <c r="EO598" s="829"/>
      <c r="EP598" s="829"/>
      <c r="EQ598" s="829"/>
      <c r="ER598" s="829"/>
      <c r="ES598" s="829"/>
      <c r="ET598" s="829"/>
      <c r="EU598" s="829"/>
      <c r="EV598" s="829"/>
      <c r="EW598" s="829"/>
      <c r="EX598" s="829"/>
      <c r="EY598" s="829"/>
      <c r="EZ598" s="829"/>
      <c r="FA598" s="829"/>
      <c r="FB598" s="829"/>
      <c r="FC598" s="829"/>
      <c r="FD598" s="829"/>
      <c r="FE598" s="829"/>
      <c r="FF598" s="829"/>
      <c r="FG598" s="829"/>
      <c r="FH598" s="829"/>
      <c r="FI598" s="829"/>
      <c r="FJ598" s="829"/>
      <c r="FK598" s="829"/>
      <c r="FL598" s="829"/>
      <c r="FM598" s="829"/>
      <c r="FN598" s="829"/>
      <c r="FO598" s="829"/>
      <c r="FP598" s="829"/>
      <c r="FQ598" s="829"/>
      <c r="FR598" s="829"/>
      <c r="FS598" s="829"/>
      <c r="FT598" s="829"/>
      <c r="FU598" s="829"/>
      <c r="FV598" s="829"/>
      <c r="FW598" s="829"/>
      <c r="FX598" s="829"/>
      <c r="FY598" s="829"/>
      <c r="FZ598" s="829"/>
      <c r="GA598" s="829"/>
      <c r="GB598" s="829"/>
      <c r="GC598" s="829"/>
      <c r="GD598" s="829"/>
      <c r="GE598" s="829"/>
      <c r="GF598" s="829"/>
      <c r="GG598" s="829"/>
      <c r="GH598" s="829"/>
      <c r="GI598" s="829"/>
      <c r="GJ598" s="829"/>
      <c r="GK598" s="829"/>
      <c r="GL598" s="829"/>
      <c r="GM598" s="829"/>
      <c r="GN598" s="829"/>
      <c r="GO598" s="829"/>
      <c r="GP598" s="829"/>
      <c r="GQ598" s="829"/>
      <c r="GR598" s="829"/>
      <c r="GS598" s="829"/>
      <c r="GT598" s="829"/>
      <c r="GU598" s="829"/>
      <c r="GV598" s="829"/>
      <c r="GW598" s="829"/>
      <c r="GX598" s="829"/>
      <c r="GY598" s="829"/>
      <c r="GZ598" s="829"/>
      <c r="HA598" s="829"/>
      <c r="HB598" s="829"/>
      <c r="HC598" s="829"/>
      <c r="HD598" s="829"/>
      <c r="HE598" s="829"/>
      <c r="HF598" s="829"/>
      <c r="HG598" s="829"/>
      <c r="HH598" s="829"/>
      <c r="HI598" s="829"/>
      <c r="HJ598" s="829"/>
      <c r="HK598" s="829"/>
      <c r="HL598" s="829"/>
      <c r="HM598" s="829"/>
      <c r="HN598" s="829"/>
      <c r="HO598" s="829"/>
      <c r="HP598" s="829"/>
      <c r="HQ598" s="829"/>
      <c r="HR598" s="829"/>
      <c r="HS598" s="829"/>
      <c r="HT598" s="829"/>
      <c r="HU598" s="829"/>
      <c r="HV598" s="829"/>
      <c r="HW598" s="829"/>
      <c r="HX598" s="829"/>
      <c r="HY598" s="829"/>
      <c r="HZ598" s="829"/>
      <c r="IA598" s="829"/>
      <c r="IB598" s="829"/>
      <c r="IC598" s="829"/>
      <c r="ID598" s="829"/>
      <c r="IE598" s="829"/>
      <c r="IF598" s="829"/>
      <c r="IG598" s="829"/>
      <c r="IH598" s="829"/>
      <c r="II598" s="829"/>
      <c r="IJ598" s="829"/>
      <c r="IK598" s="829"/>
      <c r="IL598" s="829"/>
      <c r="IM598" s="829"/>
      <c r="IN598" s="829"/>
      <c r="IO598" s="829"/>
      <c r="IP598" s="829"/>
      <c r="IQ598" s="829"/>
    </row>
    <row r="599" spans="1:251" ht="14.1" customHeight="1">
      <c r="A599" s="888"/>
      <c r="B599" s="891" t="s">
        <v>2002</v>
      </c>
      <c r="C599" s="944" t="s">
        <v>2003</v>
      </c>
      <c r="D599" s="874" t="s">
        <v>2004</v>
      </c>
      <c r="E599" s="360">
        <f>'[4]COSTO CDMX,QRO,GDL '!I595</f>
        <v>9647.6470588235297</v>
      </c>
      <c r="F599" s="217" t="s">
        <v>284</v>
      </c>
      <c r="BI599" s="829"/>
      <c r="BJ599" s="829"/>
      <c r="BK599" s="829"/>
      <c r="BL599" s="829"/>
      <c r="BM599" s="829"/>
      <c r="BN599" s="829"/>
      <c r="BO599" s="829"/>
      <c r="BP599" s="829"/>
      <c r="BQ599" s="829"/>
      <c r="BR599" s="829"/>
      <c r="BS599" s="829"/>
      <c r="BT599" s="829"/>
      <c r="BU599" s="829"/>
      <c r="BV599" s="829"/>
      <c r="BW599" s="829"/>
      <c r="BX599" s="829"/>
      <c r="BY599" s="829"/>
      <c r="BZ599" s="829"/>
      <c r="CA599" s="829"/>
      <c r="CB599" s="829"/>
      <c r="CC599" s="829"/>
      <c r="CD599" s="829"/>
      <c r="CE599" s="829"/>
      <c r="CF599" s="829"/>
      <c r="CG599" s="829"/>
      <c r="CH599" s="829"/>
      <c r="CI599" s="829"/>
      <c r="CJ599" s="829"/>
      <c r="CK599" s="829"/>
      <c r="CL599" s="829"/>
      <c r="CM599" s="829"/>
      <c r="CN599" s="829"/>
      <c r="CO599" s="829"/>
      <c r="CP599" s="829"/>
      <c r="CQ599" s="829"/>
      <c r="CR599" s="829"/>
      <c r="CS599" s="829"/>
      <c r="CT599" s="829"/>
      <c r="CU599" s="829"/>
      <c r="CV599" s="829"/>
      <c r="CW599" s="829"/>
      <c r="CX599" s="829"/>
      <c r="CY599" s="829"/>
      <c r="CZ599" s="829"/>
      <c r="DA599" s="829"/>
      <c r="DB599" s="829"/>
      <c r="DC599" s="829"/>
      <c r="DD599" s="829"/>
      <c r="DE599" s="829"/>
      <c r="DF599" s="829"/>
      <c r="DG599" s="829"/>
      <c r="DH599" s="829"/>
      <c r="DI599" s="829"/>
      <c r="DJ599" s="829"/>
      <c r="DK599" s="829"/>
      <c r="DL599" s="829"/>
      <c r="DM599" s="829"/>
      <c r="DN599" s="829"/>
      <c r="DO599" s="829"/>
      <c r="DP599" s="829"/>
      <c r="DQ599" s="829"/>
      <c r="DR599" s="829"/>
      <c r="DS599" s="829"/>
      <c r="DT599" s="829"/>
      <c r="DU599" s="829"/>
      <c r="DV599" s="829"/>
      <c r="DW599" s="829"/>
      <c r="DX599" s="829"/>
      <c r="DY599" s="829"/>
      <c r="DZ599" s="829"/>
      <c r="EA599" s="829"/>
      <c r="EB599" s="829"/>
      <c r="EC599" s="829"/>
      <c r="ED599" s="829"/>
      <c r="EE599" s="829"/>
      <c r="EF599" s="829"/>
      <c r="EG599" s="829"/>
      <c r="EH599" s="829"/>
      <c r="EI599" s="829"/>
      <c r="EJ599" s="829"/>
      <c r="EK599" s="829"/>
      <c r="EL599" s="829"/>
      <c r="EM599" s="829"/>
      <c r="EN599" s="829"/>
      <c r="EO599" s="829"/>
      <c r="EP599" s="829"/>
      <c r="EQ599" s="829"/>
      <c r="ER599" s="829"/>
      <c r="ES599" s="829"/>
      <c r="ET599" s="829"/>
      <c r="EU599" s="829"/>
      <c r="EV599" s="829"/>
      <c r="EW599" s="829"/>
      <c r="EX599" s="829"/>
      <c r="EY599" s="829"/>
      <c r="EZ599" s="829"/>
      <c r="FA599" s="829"/>
      <c r="FB599" s="829"/>
      <c r="FC599" s="829"/>
      <c r="FD599" s="829"/>
      <c r="FE599" s="829"/>
      <c r="FF599" s="829"/>
      <c r="FG599" s="829"/>
      <c r="FH599" s="829"/>
      <c r="FI599" s="829"/>
      <c r="FJ599" s="829"/>
      <c r="FK599" s="829"/>
      <c r="FL599" s="829"/>
      <c r="FM599" s="829"/>
      <c r="FN599" s="829"/>
      <c r="FO599" s="829"/>
      <c r="FP599" s="829"/>
      <c r="FQ599" s="829"/>
      <c r="FR599" s="829"/>
      <c r="FS599" s="829"/>
      <c r="FT599" s="829"/>
      <c r="FU599" s="829"/>
      <c r="FV599" s="829"/>
      <c r="FW599" s="829"/>
      <c r="FX599" s="829"/>
      <c r="FY599" s="829"/>
      <c r="FZ599" s="829"/>
      <c r="GA599" s="829"/>
      <c r="GB599" s="829"/>
      <c r="GC599" s="829"/>
      <c r="GD599" s="829"/>
      <c r="GE599" s="829"/>
      <c r="GF599" s="829"/>
      <c r="GG599" s="829"/>
      <c r="GH599" s="829"/>
      <c r="GI599" s="829"/>
      <c r="GJ599" s="829"/>
      <c r="GK599" s="829"/>
      <c r="GL599" s="829"/>
      <c r="GM599" s="829"/>
      <c r="GN599" s="829"/>
      <c r="GO599" s="829"/>
      <c r="GP599" s="829"/>
      <c r="GQ599" s="829"/>
      <c r="GR599" s="829"/>
      <c r="GS599" s="829"/>
      <c r="GT599" s="829"/>
      <c r="GU599" s="829"/>
      <c r="GV599" s="829"/>
      <c r="GW599" s="829"/>
      <c r="GX599" s="829"/>
      <c r="GY599" s="829"/>
      <c r="GZ599" s="829"/>
      <c r="HA599" s="829"/>
      <c r="HB599" s="829"/>
      <c r="HC599" s="829"/>
      <c r="HD599" s="829"/>
      <c r="HE599" s="829"/>
      <c r="HF599" s="829"/>
      <c r="HG599" s="829"/>
      <c r="HH599" s="829"/>
      <c r="HI599" s="829"/>
      <c r="HJ599" s="829"/>
      <c r="HK599" s="829"/>
      <c r="HL599" s="829"/>
      <c r="HM599" s="829"/>
      <c r="HN599" s="829"/>
      <c r="HO599" s="829"/>
      <c r="HP599" s="829"/>
      <c r="HQ599" s="829"/>
      <c r="HR599" s="829"/>
      <c r="HS599" s="829"/>
      <c r="HT599" s="829"/>
      <c r="HU599" s="829"/>
      <c r="HV599" s="829"/>
      <c r="HW599" s="829"/>
      <c r="HX599" s="829"/>
      <c r="HY599" s="829"/>
      <c r="HZ599" s="829"/>
      <c r="IA599" s="829"/>
      <c r="IB599" s="829"/>
      <c r="IC599" s="829"/>
      <c r="ID599" s="829"/>
      <c r="IE599" s="829"/>
      <c r="IF599" s="829"/>
      <c r="IG599" s="829"/>
      <c r="IH599" s="829"/>
      <c r="II599" s="829"/>
      <c r="IJ599" s="829"/>
      <c r="IK599" s="829"/>
      <c r="IL599" s="829"/>
      <c r="IM599" s="829"/>
      <c r="IN599" s="829"/>
      <c r="IO599" s="829"/>
      <c r="IP599" s="829"/>
      <c r="IQ599" s="829"/>
    </row>
    <row r="600" spans="1:251" ht="14.1" customHeight="1">
      <c r="A600" s="888"/>
      <c r="B600" s="891"/>
      <c r="C600" s="944" t="s">
        <v>2005</v>
      </c>
      <c r="D600" s="874"/>
      <c r="E600" s="360"/>
      <c r="F600" s="296"/>
      <c r="H600" s="501"/>
      <c r="BI600" s="829"/>
      <c r="BJ600" s="829"/>
      <c r="BK600" s="829"/>
      <c r="BL600" s="829"/>
      <c r="BM600" s="829"/>
      <c r="BN600" s="829"/>
      <c r="BO600" s="829"/>
      <c r="BP600" s="829"/>
      <c r="BQ600" s="829"/>
      <c r="BR600" s="829"/>
      <c r="BS600" s="829"/>
      <c r="BT600" s="829"/>
      <c r="BU600" s="829"/>
      <c r="BV600" s="829"/>
      <c r="BW600" s="829"/>
      <c r="BX600" s="829"/>
      <c r="BY600" s="829"/>
      <c r="BZ600" s="829"/>
      <c r="CA600" s="829"/>
      <c r="CB600" s="829"/>
      <c r="CC600" s="829"/>
      <c r="CD600" s="829"/>
      <c r="CE600" s="829"/>
      <c r="CF600" s="829"/>
      <c r="CG600" s="829"/>
      <c r="CH600" s="829"/>
      <c r="CI600" s="829"/>
      <c r="CJ600" s="829"/>
      <c r="CK600" s="829"/>
      <c r="CL600" s="829"/>
      <c r="CM600" s="829"/>
      <c r="CN600" s="829"/>
      <c r="CO600" s="829"/>
      <c r="CP600" s="829"/>
      <c r="CQ600" s="829"/>
      <c r="CR600" s="829"/>
      <c r="CS600" s="829"/>
      <c r="CT600" s="829"/>
      <c r="CU600" s="829"/>
      <c r="CV600" s="829"/>
      <c r="CW600" s="829"/>
      <c r="CX600" s="829"/>
      <c r="CY600" s="829"/>
      <c r="CZ600" s="829"/>
      <c r="DA600" s="829"/>
      <c r="DB600" s="829"/>
      <c r="DC600" s="829"/>
      <c r="DD600" s="829"/>
      <c r="DE600" s="829"/>
      <c r="DF600" s="829"/>
      <c r="DG600" s="829"/>
      <c r="DH600" s="829"/>
      <c r="DI600" s="829"/>
      <c r="DJ600" s="829"/>
      <c r="DK600" s="829"/>
      <c r="DL600" s="829"/>
      <c r="DM600" s="829"/>
      <c r="DN600" s="829"/>
      <c r="DO600" s="829"/>
      <c r="DP600" s="829"/>
      <c r="DQ600" s="829"/>
      <c r="DR600" s="829"/>
      <c r="DS600" s="829"/>
      <c r="DT600" s="829"/>
      <c r="DU600" s="829"/>
      <c r="DV600" s="829"/>
      <c r="DW600" s="829"/>
      <c r="DX600" s="829"/>
      <c r="DY600" s="829"/>
      <c r="DZ600" s="829"/>
      <c r="EA600" s="829"/>
      <c r="EB600" s="829"/>
      <c r="EC600" s="829"/>
      <c r="ED600" s="829"/>
      <c r="EE600" s="829"/>
      <c r="EF600" s="829"/>
      <c r="EG600" s="829"/>
      <c r="EH600" s="829"/>
      <c r="EI600" s="829"/>
      <c r="EJ600" s="829"/>
      <c r="EK600" s="829"/>
      <c r="EL600" s="829"/>
      <c r="EM600" s="829"/>
      <c r="EN600" s="829"/>
      <c r="EO600" s="829"/>
      <c r="EP600" s="829"/>
      <c r="EQ600" s="829"/>
      <c r="ER600" s="829"/>
      <c r="ES600" s="829"/>
      <c r="ET600" s="829"/>
      <c r="EU600" s="829"/>
      <c r="EV600" s="829"/>
      <c r="EW600" s="829"/>
      <c r="EX600" s="829"/>
      <c r="EY600" s="829"/>
      <c r="EZ600" s="829"/>
      <c r="FA600" s="829"/>
      <c r="FB600" s="829"/>
      <c r="FC600" s="829"/>
      <c r="FD600" s="829"/>
      <c r="FE600" s="829"/>
      <c r="FF600" s="829"/>
      <c r="FG600" s="829"/>
      <c r="FH600" s="829"/>
      <c r="FI600" s="829"/>
      <c r="FJ600" s="829"/>
      <c r="FK600" s="829"/>
      <c r="FL600" s="829"/>
      <c r="FM600" s="829"/>
      <c r="FN600" s="829"/>
      <c r="FO600" s="829"/>
      <c r="FP600" s="829"/>
      <c r="FQ600" s="829"/>
      <c r="FR600" s="829"/>
      <c r="FS600" s="829"/>
      <c r="FT600" s="829"/>
      <c r="FU600" s="829"/>
      <c r="FV600" s="829"/>
      <c r="FW600" s="829"/>
      <c r="FX600" s="829"/>
      <c r="FY600" s="829"/>
      <c r="FZ600" s="829"/>
      <c r="GA600" s="829"/>
      <c r="GB600" s="829"/>
      <c r="GC600" s="829"/>
      <c r="GD600" s="829"/>
      <c r="GE600" s="829"/>
      <c r="GF600" s="829"/>
      <c r="GG600" s="829"/>
      <c r="GH600" s="829"/>
      <c r="GI600" s="829"/>
      <c r="GJ600" s="829"/>
      <c r="GK600" s="829"/>
      <c r="GL600" s="829"/>
      <c r="GM600" s="829"/>
      <c r="GN600" s="829"/>
      <c r="GO600" s="829"/>
      <c r="GP600" s="829"/>
      <c r="GQ600" s="829"/>
      <c r="GR600" s="829"/>
      <c r="GS600" s="829"/>
      <c r="GT600" s="829"/>
      <c r="GU600" s="829"/>
      <c r="GV600" s="829"/>
      <c r="GW600" s="829"/>
      <c r="GX600" s="829"/>
      <c r="GY600" s="829"/>
      <c r="GZ600" s="829"/>
      <c r="HA600" s="829"/>
      <c r="HB600" s="829"/>
      <c r="HC600" s="829"/>
      <c r="HD600" s="829"/>
      <c r="HE600" s="829"/>
      <c r="HF600" s="829"/>
      <c r="HG600" s="829"/>
      <c r="HH600" s="829"/>
      <c r="HI600" s="829"/>
      <c r="HJ600" s="829"/>
      <c r="HK600" s="829"/>
      <c r="HL600" s="829"/>
      <c r="HM600" s="829"/>
      <c r="HN600" s="829"/>
      <c r="HO600" s="829"/>
      <c r="HP600" s="829"/>
      <c r="HQ600" s="829"/>
      <c r="HR600" s="829"/>
      <c r="HS600" s="829"/>
      <c r="HT600" s="829"/>
      <c r="HU600" s="829"/>
      <c r="HV600" s="829"/>
      <c r="HW600" s="829"/>
      <c r="HX600" s="829"/>
      <c r="HY600" s="829"/>
      <c r="HZ600" s="829"/>
      <c r="IA600" s="829"/>
      <c r="IB600" s="829"/>
      <c r="IC600" s="829"/>
      <c r="ID600" s="829"/>
      <c r="IE600" s="829"/>
      <c r="IF600" s="829"/>
      <c r="IG600" s="829"/>
      <c r="IH600" s="829"/>
      <c r="II600" s="829"/>
      <c r="IJ600" s="829"/>
      <c r="IK600" s="829"/>
      <c r="IL600" s="829"/>
      <c r="IM600" s="829"/>
      <c r="IN600" s="829"/>
      <c r="IO600" s="829"/>
      <c r="IP600" s="829"/>
      <c r="IQ600" s="829"/>
    </row>
    <row r="601" spans="1:251" ht="14.1" customHeight="1">
      <c r="A601" s="888"/>
      <c r="B601" s="891"/>
      <c r="C601" s="944" t="s">
        <v>2006</v>
      </c>
      <c r="D601" s="874"/>
      <c r="E601" s="360"/>
      <c r="F601" s="296"/>
      <c r="BI601" s="829"/>
      <c r="BJ601" s="829"/>
      <c r="BK601" s="829"/>
      <c r="BL601" s="829"/>
      <c r="BM601" s="829"/>
      <c r="BN601" s="829"/>
      <c r="BO601" s="829"/>
      <c r="BP601" s="829"/>
      <c r="BQ601" s="829"/>
      <c r="BR601" s="829"/>
      <c r="BS601" s="829"/>
      <c r="BT601" s="829"/>
      <c r="BU601" s="829"/>
      <c r="BV601" s="829"/>
      <c r="BW601" s="829"/>
      <c r="BX601" s="829"/>
      <c r="BY601" s="829"/>
      <c r="BZ601" s="829"/>
      <c r="CA601" s="829"/>
      <c r="CB601" s="829"/>
      <c r="CC601" s="829"/>
      <c r="CD601" s="829"/>
      <c r="CE601" s="829"/>
      <c r="CF601" s="829"/>
      <c r="CG601" s="829"/>
      <c r="CH601" s="829"/>
      <c r="CI601" s="829"/>
      <c r="CJ601" s="829"/>
      <c r="CK601" s="829"/>
      <c r="CL601" s="829"/>
      <c r="CM601" s="829"/>
      <c r="CN601" s="829"/>
      <c r="CO601" s="829"/>
      <c r="CP601" s="829"/>
      <c r="CQ601" s="829"/>
      <c r="CR601" s="829"/>
      <c r="CS601" s="829"/>
      <c r="CT601" s="829"/>
      <c r="CU601" s="829"/>
      <c r="CV601" s="829"/>
      <c r="CW601" s="829"/>
      <c r="CX601" s="829"/>
      <c r="CY601" s="829"/>
      <c r="CZ601" s="829"/>
      <c r="DA601" s="829"/>
      <c r="DB601" s="829"/>
      <c r="DC601" s="829"/>
      <c r="DD601" s="829"/>
      <c r="DE601" s="829"/>
      <c r="DF601" s="829"/>
      <c r="DG601" s="829"/>
      <c r="DH601" s="829"/>
      <c r="DI601" s="829"/>
      <c r="DJ601" s="829"/>
      <c r="DK601" s="829"/>
      <c r="DL601" s="829"/>
      <c r="DM601" s="829"/>
      <c r="DN601" s="829"/>
      <c r="DO601" s="829"/>
      <c r="DP601" s="829"/>
      <c r="DQ601" s="829"/>
      <c r="DR601" s="829"/>
      <c r="DS601" s="829"/>
      <c r="DT601" s="829"/>
      <c r="DU601" s="829"/>
      <c r="DV601" s="829"/>
      <c r="DW601" s="829"/>
      <c r="DX601" s="829"/>
      <c r="DY601" s="829"/>
      <c r="DZ601" s="829"/>
      <c r="EA601" s="829"/>
      <c r="EB601" s="829"/>
      <c r="EC601" s="829"/>
      <c r="ED601" s="829"/>
      <c r="EE601" s="829"/>
      <c r="EF601" s="829"/>
      <c r="EG601" s="829"/>
      <c r="EH601" s="829"/>
      <c r="EI601" s="829"/>
      <c r="EJ601" s="829"/>
      <c r="EK601" s="829"/>
      <c r="EL601" s="829"/>
      <c r="EM601" s="829"/>
      <c r="EN601" s="829"/>
      <c r="EO601" s="829"/>
      <c r="EP601" s="829"/>
      <c r="EQ601" s="829"/>
      <c r="ER601" s="829"/>
      <c r="ES601" s="829"/>
      <c r="ET601" s="829"/>
      <c r="EU601" s="829"/>
      <c r="EV601" s="829"/>
      <c r="EW601" s="829"/>
      <c r="EX601" s="829"/>
      <c r="EY601" s="829"/>
      <c r="EZ601" s="829"/>
      <c r="FA601" s="829"/>
      <c r="FB601" s="829"/>
      <c r="FC601" s="829"/>
      <c r="FD601" s="829"/>
      <c r="FE601" s="829"/>
      <c r="FF601" s="829"/>
      <c r="FG601" s="829"/>
      <c r="FH601" s="829"/>
      <c r="FI601" s="829"/>
      <c r="FJ601" s="829"/>
      <c r="FK601" s="829"/>
      <c r="FL601" s="829"/>
      <c r="FM601" s="829"/>
      <c r="FN601" s="829"/>
      <c r="FO601" s="829"/>
      <c r="FP601" s="829"/>
      <c r="FQ601" s="829"/>
      <c r="FR601" s="829"/>
      <c r="FS601" s="829"/>
      <c r="FT601" s="829"/>
      <c r="FU601" s="829"/>
      <c r="FV601" s="829"/>
      <c r="FW601" s="829"/>
      <c r="FX601" s="829"/>
      <c r="FY601" s="829"/>
      <c r="FZ601" s="829"/>
      <c r="GA601" s="829"/>
      <c r="GB601" s="829"/>
      <c r="GC601" s="829"/>
      <c r="GD601" s="829"/>
      <c r="GE601" s="829"/>
      <c r="GF601" s="829"/>
      <c r="GG601" s="829"/>
      <c r="GH601" s="829"/>
      <c r="GI601" s="829"/>
      <c r="GJ601" s="829"/>
      <c r="GK601" s="829"/>
      <c r="GL601" s="829"/>
      <c r="GM601" s="829"/>
      <c r="GN601" s="829"/>
      <c r="GO601" s="829"/>
      <c r="GP601" s="829"/>
      <c r="GQ601" s="829"/>
      <c r="GR601" s="829"/>
      <c r="GS601" s="829"/>
      <c r="GT601" s="829"/>
      <c r="GU601" s="829"/>
      <c r="GV601" s="829"/>
      <c r="GW601" s="829"/>
      <c r="GX601" s="829"/>
      <c r="GY601" s="829"/>
      <c r="GZ601" s="829"/>
      <c r="HA601" s="829"/>
      <c r="HB601" s="829"/>
      <c r="HC601" s="829"/>
      <c r="HD601" s="829"/>
      <c r="HE601" s="829"/>
      <c r="HF601" s="829"/>
      <c r="HG601" s="829"/>
      <c r="HH601" s="829"/>
      <c r="HI601" s="829"/>
      <c r="HJ601" s="829"/>
      <c r="HK601" s="829"/>
      <c r="HL601" s="829"/>
      <c r="HM601" s="829"/>
      <c r="HN601" s="829"/>
      <c r="HO601" s="829"/>
      <c r="HP601" s="829"/>
      <c r="HQ601" s="829"/>
      <c r="HR601" s="829"/>
      <c r="HS601" s="829"/>
      <c r="HT601" s="829"/>
      <c r="HU601" s="829"/>
      <c r="HV601" s="829"/>
      <c r="HW601" s="829"/>
      <c r="HX601" s="829"/>
      <c r="HY601" s="829"/>
      <c r="HZ601" s="829"/>
      <c r="IA601" s="829"/>
      <c r="IB601" s="829"/>
      <c r="IC601" s="829"/>
      <c r="ID601" s="829"/>
      <c r="IE601" s="829"/>
      <c r="IF601" s="829"/>
      <c r="IG601" s="829"/>
      <c r="IH601" s="829"/>
      <c r="II601" s="829"/>
      <c r="IJ601" s="829"/>
      <c r="IK601" s="829"/>
      <c r="IL601" s="829"/>
      <c r="IM601" s="829"/>
      <c r="IN601" s="829"/>
      <c r="IO601" s="829"/>
      <c r="IP601" s="829"/>
      <c r="IQ601" s="829"/>
    </row>
    <row r="602" spans="1:251" ht="14.1" customHeight="1">
      <c r="A602" s="888"/>
      <c r="B602" s="891"/>
      <c r="C602" s="931" t="s">
        <v>2007</v>
      </c>
      <c r="D602" s="874"/>
      <c r="E602" s="360"/>
      <c r="F602" s="296"/>
      <c r="BI602" s="829"/>
      <c r="BJ602" s="829"/>
      <c r="BK602" s="829"/>
      <c r="BL602" s="829"/>
      <c r="BM602" s="829"/>
      <c r="BN602" s="829"/>
      <c r="BO602" s="829"/>
      <c r="BP602" s="829"/>
      <c r="BQ602" s="829"/>
      <c r="BR602" s="829"/>
      <c r="BS602" s="829"/>
      <c r="BT602" s="829"/>
      <c r="BU602" s="829"/>
      <c r="BV602" s="829"/>
      <c r="BW602" s="829"/>
      <c r="BX602" s="829"/>
      <c r="BY602" s="829"/>
      <c r="BZ602" s="829"/>
      <c r="CA602" s="829"/>
      <c r="CB602" s="829"/>
      <c r="CC602" s="829"/>
      <c r="CD602" s="829"/>
      <c r="CE602" s="829"/>
      <c r="CF602" s="829"/>
      <c r="CG602" s="829"/>
      <c r="CH602" s="829"/>
      <c r="CI602" s="829"/>
      <c r="CJ602" s="829"/>
      <c r="CK602" s="829"/>
      <c r="CL602" s="829"/>
      <c r="CM602" s="829"/>
      <c r="CN602" s="829"/>
      <c r="CO602" s="829"/>
      <c r="CP602" s="829"/>
      <c r="CQ602" s="829"/>
      <c r="CR602" s="829"/>
      <c r="CS602" s="829"/>
      <c r="CT602" s="829"/>
      <c r="CU602" s="829"/>
      <c r="CV602" s="829"/>
      <c r="CW602" s="829"/>
      <c r="CX602" s="829"/>
      <c r="CY602" s="829"/>
      <c r="CZ602" s="829"/>
      <c r="DA602" s="829"/>
      <c r="DB602" s="829"/>
      <c r="DC602" s="829"/>
      <c r="DD602" s="829"/>
      <c r="DE602" s="829"/>
      <c r="DF602" s="829"/>
      <c r="DG602" s="829"/>
      <c r="DH602" s="829"/>
      <c r="DI602" s="829"/>
      <c r="DJ602" s="829"/>
      <c r="DK602" s="829"/>
      <c r="DL602" s="829"/>
      <c r="DM602" s="829"/>
      <c r="DN602" s="829"/>
      <c r="DO602" s="829"/>
      <c r="DP602" s="829"/>
      <c r="DQ602" s="829"/>
      <c r="DR602" s="829"/>
      <c r="DS602" s="829"/>
      <c r="DT602" s="829"/>
      <c r="DU602" s="829"/>
      <c r="DV602" s="829"/>
      <c r="DW602" s="829"/>
      <c r="DX602" s="829"/>
      <c r="DY602" s="829"/>
      <c r="DZ602" s="829"/>
      <c r="EA602" s="829"/>
      <c r="EB602" s="829"/>
      <c r="EC602" s="829"/>
      <c r="ED602" s="829"/>
      <c r="EE602" s="829"/>
      <c r="EF602" s="829"/>
      <c r="EG602" s="829"/>
      <c r="EH602" s="829"/>
      <c r="EI602" s="829"/>
      <c r="EJ602" s="829"/>
      <c r="EK602" s="829"/>
      <c r="EL602" s="829"/>
      <c r="EM602" s="829"/>
      <c r="EN602" s="829"/>
      <c r="EO602" s="829"/>
      <c r="EP602" s="829"/>
      <c r="EQ602" s="829"/>
      <c r="ER602" s="829"/>
      <c r="ES602" s="829"/>
      <c r="ET602" s="829"/>
      <c r="EU602" s="829"/>
      <c r="EV602" s="829"/>
      <c r="EW602" s="829"/>
      <c r="EX602" s="829"/>
      <c r="EY602" s="829"/>
      <c r="EZ602" s="829"/>
      <c r="FA602" s="829"/>
      <c r="FB602" s="829"/>
      <c r="FC602" s="829"/>
      <c r="FD602" s="829"/>
      <c r="FE602" s="829"/>
      <c r="FF602" s="829"/>
      <c r="FG602" s="829"/>
      <c r="FH602" s="829"/>
      <c r="FI602" s="829"/>
      <c r="FJ602" s="829"/>
      <c r="FK602" s="829"/>
      <c r="FL602" s="829"/>
      <c r="FM602" s="829"/>
      <c r="FN602" s="829"/>
      <c r="FO602" s="829"/>
      <c r="FP602" s="829"/>
      <c r="FQ602" s="829"/>
      <c r="FR602" s="829"/>
      <c r="FS602" s="829"/>
      <c r="FT602" s="829"/>
      <c r="FU602" s="829"/>
      <c r="FV602" s="829"/>
      <c r="FW602" s="829"/>
      <c r="FX602" s="829"/>
      <c r="FY602" s="829"/>
      <c r="FZ602" s="829"/>
      <c r="GA602" s="829"/>
      <c r="GB602" s="829"/>
      <c r="GC602" s="829"/>
      <c r="GD602" s="829"/>
      <c r="GE602" s="829"/>
      <c r="GF602" s="829"/>
      <c r="GG602" s="829"/>
      <c r="GH602" s="829"/>
      <c r="GI602" s="829"/>
      <c r="GJ602" s="829"/>
      <c r="GK602" s="829"/>
      <c r="GL602" s="829"/>
      <c r="GM602" s="829"/>
      <c r="GN602" s="829"/>
      <c r="GO602" s="829"/>
      <c r="GP602" s="829"/>
      <c r="GQ602" s="829"/>
      <c r="GR602" s="829"/>
      <c r="GS602" s="829"/>
      <c r="GT602" s="829"/>
      <c r="GU602" s="829"/>
      <c r="GV602" s="829"/>
      <c r="GW602" s="829"/>
      <c r="GX602" s="829"/>
      <c r="GY602" s="829"/>
      <c r="GZ602" s="829"/>
      <c r="HA602" s="829"/>
      <c r="HB602" s="829"/>
      <c r="HC602" s="829"/>
      <c r="HD602" s="829"/>
      <c r="HE602" s="829"/>
      <c r="HF602" s="829"/>
      <c r="HG602" s="829"/>
      <c r="HH602" s="829"/>
      <c r="HI602" s="829"/>
      <c r="HJ602" s="829"/>
      <c r="HK602" s="829"/>
      <c r="HL602" s="829"/>
      <c r="HM602" s="829"/>
      <c r="HN602" s="829"/>
      <c r="HO602" s="829"/>
      <c r="HP602" s="829"/>
      <c r="HQ602" s="829"/>
      <c r="HR602" s="829"/>
      <c r="HS602" s="829"/>
      <c r="HT602" s="829"/>
      <c r="HU602" s="829"/>
      <c r="HV602" s="829"/>
      <c r="HW602" s="829"/>
      <c r="HX602" s="829"/>
      <c r="HY602" s="829"/>
      <c r="HZ602" s="829"/>
      <c r="IA602" s="829"/>
      <c r="IB602" s="829"/>
      <c r="IC602" s="829"/>
      <c r="ID602" s="829"/>
      <c r="IE602" s="829"/>
      <c r="IF602" s="829"/>
      <c r="IG602" s="829"/>
      <c r="IH602" s="829"/>
      <c r="II602" s="829"/>
      <c r="IJ602" s="829"/>
      <c r="IK602" s="829"/>
      <c r="IL602" s="829"/>
      <c r="IM602" s="829"/>
      <c r="IN602" s="829"/>
      <c r="IO602" s="829"/>
      <c r="IP602" s="829"/>
      <c r="IQ602" s="829"/>
    </row>
    <row r="603" spans="1:251" ht="14.1" customHeight="1">
      <c r="A603" s="888"/>
      <c r="B603" s="891"/>
      <c r="C603" s="944"/>
      <c r="D603" s="874"/>
      <c r="E603" s="360"/>
      <c r="F603" s="296"/>
      <c r="BI603" s="829"/>
      <c r="BJ603" s="829"/>
      <c r="BK603" s="829"/>
      <c r="BL603" s="829"/>
      <c r="BM603" s="829"/>
      <c r="BN603" s="829"/>
      <c r="BO603" s="829"/>
      <c r="BP603" s="829"/>
      <c r="BQ603" s="829"/>
      <c r="BR603" s="829"/>
      <c r="BS603" s="829"/>
      <c r="BT603" s="829"/>
      <c r="BU603" s="829"/>
      <c r="BV603" s="829"/>
      <c r="BW603" s="829"/>
      <c r="BX603" s="829"/>
      <c r="BY603" s="829"/>
      <c r="BZ603" s="829"/>
      <c r="CA603" s="829"/>
      <c r="CB603" s="829"/>
      <c r="CC603" s="829"/>
      <c r="CD603" s="829"/>
      <c r="CE603" s="829"/>
      <c r="CF603" s="829"/>
      <c r="CG603" s="829"/>
      <c r="CH603" s="829"/>
      <c r="CI603" s="829"/>
      <c r="CJ603" s="829"/>
      <c r="CK603" s="829"/>
      <c r="CL603" s="829"/>
      <c r="CM603" s="829"/>
      <c r="CN603" s="829"/>
      <c r="CO603" s="829"/>
      <c r="CP603" s="829"/>
      <c r="CQ603" s="829"/>
      <c r="CR603" s="829"/>
      <c r="CS603" s="829"/>
      <c r="CT603" s="829"/>
      <c r="CU603" s="829"/>
      <c r="CV603" s="829"/>
      <c r="CW603" s="829"/>
      <c r="CX603" s="829"/>
      <c r="CY603" s="829"/>
      <c r="CZ603" s="829"/>
      <c r="DA603" s="829"/>
      <c r="DB603" s="829"/>
      <c r="DC603" s="829"/>
      <c r="DD603" s="829"/>
      <c r="DE603" s="829"/>
      <c r="DF603" s="829"/>
      <c r="DG603" s="829"/>
      <c r="DH603" s="829"/>
      <c r="DI603" s="829"/>
      <c r="DJ603" s="829"/>
      <c r="DK603" s="829"/>
      <c r="DL603" s="829"/>
      <c r="DM603" s="829"/>
      <c r="DN603" s="829"/>
      <c r="DO603" s="829"/>
      <c r="DP603" s="829"/>
      <c r="DQ603" s="829"/>
      <c r="DR603" s="829"/>
      <c r="DS603" s="829"/>
      <c r="DT603" s="829"/>
      <c r="DU603" s="829"/>
      <c r="DV603" s="829"/>
      <c r="DW603" s="829"/>
      <c r="DX603" s="829"/>
      <c r="DY603" s="829"/>
      <c r="DZ603" s="829"/>
      <c r="EA603" s="829"/>
      <c r="EB603" s="829"/>
      <c r="EC603" s="829"/>
      <c r="ED603" s="829"/>
      <c r="EE603" s="829"/>
      <c r="EF603" s="829"/>
      <c r="EG603" s="829"/>
      <c r="EH603" s="829"/>
      <c r="EI603" s="829"/>
      <c r="EJ603" s="829"/>
      <c r="EK603" s="829"/>
      <c r="EL603" s="829"/>
      <c r="EM603" s="829"/>
      <c r="EN603" s="829"/>
      <c r="EO603" s="829"/>
      <c r="EP603" s="829"/>
      <c r="EQ603" s="829"/>
      <c r="ER603" s="829"/>
      <c r="ES603" s="829"/>
      <c r="ET603" s="829"/>
      <c r="EU603" s="829"/>
      <c r="EV603" s="829"/>
      <c r="EW603" s="829"/>
      <c r="EX603" s="829"/>
      <c r="EY603" s="829"/>
      <c r="EZ603" s="829"/>
      <c r="FA603" s="829"/>
      <c r="FB603" s="829"/>
      <c r="FC603" s="829"/>
      <c r="FD603" s="829"/>
      <c r="FE603" s="829"/>
      <c r="FF603" s="829"/>
      <c r="FG603" s="829"/>
      <c r="FH603" s="829"/>
      <c r="FI603" s="829"/>
      <c r="FJ603" s="829"/>
      <c r="FK603" s="829"/>
      <c r="FL603" s="829"/>
      <c r="FM603" s="829"/>
      <c r="FN603" s="829"/>
      <c r="FO603" s="829"/>
      <c r="FP603" s="829"/>
      <c r="FQ603" s="829"/>
      <c r="FR603" s="829"/>
      <c r="FS603" s="829"/>
      <c r="FT603" s="829"/>
      <c r="FU603" s="829"/>
      <c r="FV603" s="829"/>
      <c r="FW603" s="829"/>
      <c r="FX603" s="829"/>
      <c r="FY603" s="829"/>
      <c r="FZ603" s="829"/>
      <c r="GA603" s="829"/>
      <c r="GB603" s="829"/>
      <c r="GC603" s="829"/>
      <c r="GD603" s="829"/>
      <c r="GE603" s="829"/>
      <c r="GF603" s="829"/>
      <c r="GG603" s="829"/>
      <c r="GH603" s="829"/>
      <c r="GI603" s="829"/>
      <c r="GJ603" s="829"/>
      <c r="GK603" s="829"/>
      <c r="GL603" s="829"/>
      <c r="GM603" s="829"/>
      <c r="GN603" s="829"/>
      <c r="GO603" s="829"/>
      <c r="GP603" s="829"/>
      <c r="GQ603" s="829"/>
      <c r="GR603" s="829"/>
      <c r="GS603" s="829"/>
      <c r="GT603" s="829"/>
      <c r="GU603" s="829"/>
      <c r="GV603" s="829"/>
      <c r="GW603" s="829"/>
      <c r="GX603" s="829"/>
      <c r="GY603" s="829"/>
      <c r="GZ603" s="829"/>
      <c r="HA603" s="829"/>
      <c r="HB603" s="829"/>
      <c r="HC603" s="829"/>
      <c r="HD603" s="829"/>
      <c r="HE603" s="829"/>
      <c r="HF603" s="829"/>
      <c r="HG603" s="829"/>
      <c r="HH603" s="829"/>
      <c r="HI603" s="829"/>
      <c r="HJ603" s="829"/>
      <c r="HK603" s="829"/>
      <c r="HL603" s="829"/>
      <c r="HM603" s="829"/>
      <c r="HN603" s="829"/>
      <c r="HO603" s="829"/>
      <c r="HP603" s="829"/>
      <c r="HQ603" s="829"/>
      <c r="HR603" s="829"/>
      <c r="HS603" s="829"/>
      <c r="HT603" s="829"/>
      <c r="HU603" s="829"/>
      <c r="HV603" s="829"/>
      <c r="HW603" s="829"/>
      <c r="HX603" s="829"/>
      <c r="HY603" s="829"/>
      <c r="HZ603" s="829"/>
      <c r="IA603" s="829"/>
      <c r="IB603" s="829"/>
      <c r="IC603" s="829"/>
      <c r="ID603" s="829"/>
      <c r="IE603" s="829"/>
      <c r="IF603" s="829"/>
      <c r="IG603" s="829"/>
      <c r="IH603" s="829"/>
      <c r="II603" s="829"/>
      <c r="IJ603" s="829"/>
      <c r="IK603" s="829"/>
      <c r="IL603" s="829"/>
      <c r="IM603" s="829"/>
      <c r="IN603" s="829"/>
      <c r="IO603" s="829"/>
      <c r="IP603" s="829"/>
      <c r="IQ603" s="829"/>
    </row>
    <row r="604" spans="1:251" ht="14.1" customHeight="1">
      <c r="A604" s="888"/>
      <c r="B604" s="891"/>
      <c r="C604" s="944"/>
      <c r="D604" s="874"/>
      <c r="E604" s="360"/>
      <c r="F604" s="296"/>
      <c r="BI604" s="829"/>
      <c r="BJ604" s="829"/>
      <c r="BK604" s="829"/>
      <c r="BL604" s="829"/>
      <c r="BM604" s="829"/>
      <c r="BN604" s="829"/>
      <c r="BO604" s="829"/>
      <c r="BP604" s="829"/>
      <c r="BQ604" s="829"/>
      <c r="BR604" s="829"/>
      <c r="BS604" s="829"/>
      <c r="BT604" s="829"/>
      <c r="BU604" s="829"/>
      <c r="BV604" s="829"/>
      <c r="BW604" s="829"/>
      <c r="BX604" s="829"/>
      <c r="BY604" s="829"/>
      <c r="BZ604" s="829"/>
      <c r="CA604" s="829"/>
      <c r="CB604" s="829"/>
      <c r="CC604" s="829"/>
      <c r="CD604" s="829"/>
      <c r="CE604" s="829"/>
      <c r="CF604" s="829"/>
      <c r="CG604" s="829"/>
      <c r="CH604" s="829"/>
      <c r="CI604" s="829"/>
      <c r="CJ604" s="829"/>
      <c r="CK604" s="829"/>
      <c r="CL604" s="829"/>
      <c r="CM604" s="829"/>
      <c r="CN604" s="829"/>
      <c r="CO604" s="829"/>
      <c r="CP604" s="829"/>
      <c r="CQ604" s="829"/>
      <c r="CR604" s="829"/>
      <c r="CS604" s="829"/>
      <c r="CT604" s="829"/>
      <c r="CU604" s="829"/>
      <c r="CV604" s="829"/>
      <c r="CW604" s="829"/>
      <c r="CX604" s="829"/>
      <c r="CY604" s="829"/>
      <c r="CZ604" s="829"/>
      <c r="DA604" s="829"/>
      <c r="DB604" s="829"/>
      <c r="DC604" s="829"/>
      <c r="DD604" s="829"/>
      <c r="DE604" s="829"/>
      <c r="DF604" s="829"/>
      <c r="DG604" s="829"/>
      <c r="DH604" s="829"/>
      <c r="DI604" s="829"/>
      <c r="DJ604" s="829"/>
      <c r="DK604" s="829"/>
      <c r="DL604" s="829"/>
      <c r="DM604" s="829"/>
      <c r="DN604" s="829"/>
      <c r="DO604" s="829"/>
      <c r="DP604" s="829"/>
      <c r="DQ604" s="829"/>
      <c r="DR604" s="829"/>
      <c r="DS604" s="829"/>
      <c r="DT604" s="829"/>
      <c r="DU604" s="829"/>
      <c r="DV604" s="829"/>
      <c r="DW604" s="829"/>
      <c r="DX604" s="829"/>
      <c r="DY604" s="829"/>
      <c r="DZ604" s="829"/>
      <c r="EA604" s="829"/>
      <c r="EB604" s="829"/>
      <c r="EC604" s="829"/>
      <c r="ED604" s="829"/>
      <c r="EE604" s="829"/>
      <c r="EF604" s="829"/>
      <c r="EG604" s="829"/>
      <c r="EH604" s="829"/>
      <c r="EI604" s="829"/>
      <c r="EJ604" s="829"/>
      <c r="EK604" s="829"/>
      <c r="EL604" s="829"/>
      <c r="EM604" s="829"/>
      <c r="EN604" s="829"/>
      <c r="EO604" s="829"/>
      <c r="EP604" s="829"/>
      <c r="EQ604" s="829"/>
      <c r="ER604" s="829"/>
      <c r="ES604" s="829"/>
      <c r="ET604" s="829"/>
      <c r="EU604" s="829"/>
      <c r="EV604" s="829"/>
      <c r="EW604" s="829"/>
      <c r="EX604" s="829"/>
      <c r="EY604" s="829"/>
      <c r="EZ604" s="829"/>
      <c r="FA604" s="829"/>
      <c r="FB604" s="829"/>
      <c r="FC604" s="829"/>
      <c r="FD604" s="829"/>
      <c r="FE604" s="829"/>
      <c r="FF604" s="829"/>
      <c r="FG604" s="829"/>
      <c r="FH604" s="829"/>
      <c r="FI604" s="829"/>
      <c r="FJ604" s="829"/>
      <c r="FK604" s="829"/>
      <c r="FL604" s="829"/>
      <c r="FM604" s="829"/>
      <c r="FN604" s="829"/>
      <c r="FO604" s="829"/>
      <c r="FP604" s="829"/>
      <c r="FQ604" s="829"/>
      <c r="FR604" s="829"/>
      <c r="FS604" s="829"/>
      <c r="FT604" s="829"/>
      <c r="FU604" s="829"/>
      <c r="FV604" s="829"/>
      <c r="FW604" s="829"/>
      <c r="FX604" s="829"/>
      <c r="FY604" s="829"/>
      <c r="FZ604" s="829"/>
      <c r="GA604" s="829"/>
      <c r="GB604" s="829"/>
      <c r="GC604" s="829"/>
      <c r="GD604" s="829"/>
      <c r="GE604" s="829"/>
      <c r="GF604" s="829"/>
      <c r="GG604" s="829"/>
      <c r="GH604" s="829"/>
      <c r="GI604" s="829"/>
      <c r="GJ604" s="829"/>
      <c r="GK604" s="829"/>
      <c r="GL604" s="829"/>
      <c r="GM604" s="829"/>
      <c r="GN604" s="829"/>
      <c r="GO604" s="829"/>
      <c r="GP604" s="829"/>
      <c r="GQ604" s="829"/>
      <c r="GR604" s="829"/>
      <c r="GS604" s="829"/>
      <c r="GT604" s="829"/>
      <c r="GU604" s="829"/>
      <c r="GV604" s="829"/>
      <c r="GW604" s="829"/>
      <c r="GX604" s="829"/>
      <c r="GY604" s="829"/>
      <c r="GZ604" s="829"/>
      <c r="HA604" s="829"/>
      <c r="HB604" s="829"/>
      <c r="HC604" s="829"/>
      <c r="HD604" s="829"/>
      <c r="HE604" s="829"/>
      <c r="HF604" s="829"/>
      <c r="HG604" s="829"/>
      <c r="HH604" s="829"/>
      <c r="HI604" s="829"/>
      <c r="HJ604" s="829"/>
      <c r="HK604" s="829"/>
      <c r="HL604" s="829"/>
      <c r="HM604" s="829"/>
      <c r="HN604" s="829"/>
      <c r="HO604" s="829"/>
      <c r="HP604" s="829"/>
      <c r="HQ604" s="829"/>
      <c r="HR604" s="829"/>
      <c r="HS604" s="829"/>
      <c r="HT604" s="829"/>
      <c r="HU604" s="829"/>
      <c r="HV604" s="829"/>
      <c r="HW604" s="829"/>
      <c r="HX604" s="829"/>
      <c r="HY604" s="829"/>
      <c r="HZ604" s="829"/>
      <c r="IA604" s="829"/>
      <c r="IB604" s="829"/>
      <c r="IC604" s="829"/>
      <c r="ID604" s="829"/>
      <c r="IE604" s="829"/>
      <c r="IF604" s="829"/>
      <c r="IG604" s="829"/>
      <c r="IH604" s="829"/>
      <c r="II604" s="829"/>
      <c r="IJ604" s="829"/>
      <c r="IK604" s="829"/>
      <c r="IL604" s="829"/>
      <c r="IM604" s="829"/>
      <c r="IN604" s="829"/>
      <c r="IO604" s="829"/>
      <c r="IP604" s="829"/>
      <c r="IQ604" s="829"/>
    </row>
    <row r="605" spans="1:251" ht="14.1" customHeight="1">
      <c r="A605" s="888"/>
      <c r="B605" s="891"/>
      <c r="C605" s="869"/>
      <c r="D605" s="874"/>
      <c r="E605" s="360"/>
      <c r="F605" s="296"/>
      <c r="BI605" s="829"/>
      <c r="BJ605" s="829"/>
      <c r="BK605" s="829"/>
      <c r="BL605" s="829"/>
      <c r="BM605" s="829"/>
      <c r="BN605" s="829"/>
      <c r="BO605" s="829"/>
      <c r="BP605" s="829"/>
      <c r="BQ605" s="829"/>
      <c r="BR605" s="829"/>
      <c r="BS605" s="829"/>
      <c r="BT605" s="829"/>
      <c r="BU605" s="829"/>
      <c r="BV605" s="829"/>
      <c r="BW605" s="829"/>
      <c r="BX605" s="829"/>
      <c r="BY605" s="829"/>
      <c r="BZ605" s="829"/>
      <c r="CA605" s="829"/>
      <c r="CB605" s="829"/>
      <c r="CC605" s="829"/>
      <c r="CD605" s="829"/>
      <c r="CE605" s="829"/>
      <c r="CF605" s="829"/>
      <c r="CG605" s="829"/>
      <c r="CH605" s="829"/>
      <c r="CI605" s="829"/>
      <c r="CJ605" s="829"/>
      <c r="CK605" s="829"/>
      <c r="CL605" s="829"/>
      <c r="CM605" s="829"/>
      <c r="CN605" s="829"/>
      <c r="CO605" s="829"/>
      <c r="CP605" s="829"/>
      <c r="CQ605" s="829"/>
      <c r="CR605" s="829"/>
      <c r="CS605" s="829"/>
      <c r="CT605" s="829"/>
      <c r="CU605" s="829"/>
      <c r="CV605" s="829"/>
      <c r="CW605" s="829"/>
      <c r="CX605" s="829"/>
      <c r="CY605" s="829"/>
      <c r="CZ605" s="829"/>
      <c r="DA605" s="829"/>
      <c r="DB605" s="829"/>
      <c r="DC605" s="829"/>
      <c r="DD605" s="829"/>
      <c r="DE605" s="829"/>
      <c r="DF605" s="829"/>
      <c r="DG605" s="829"/>
      <c r="DH605" s="829"/>
      <c r="DI605" s="829"/>
      <c r="DJ605" s="829"/>
      <c r="DK605" s="829"/>
      <c r="DL605" s="829"/>
      <c r="DM605" s="829"/>
      <c r="DN605" s="829"/>
      <c r="DO605" s="829"/>
      <c r="DP605" s="829"/>
      <c r="DQ605" s="829"/>
      <c r="DR605" s="829"/>
      <c r="DS605" s="829"/>
      <c r="DT605" s="829"/>
      <c r="DU605" s="829"/>
      <c r="DV605" s="829"/>
      <c r="DW605" s="829"/>
      <c r="DX605" s="829"/>
      <c r="DY605" s="829"/>
      <c r="DZ605" s="829"/>
      <c r="EA605" s="829"/>
      <c r="EB605" s="829"/>
      <c r="EC605" s="829"/>
      <c r="ED605" s="829"/>
      <c r="EE605" s="829"/>
      <c r="EF605" s="829"/>
      <c r="EG605" s="829"/>
      <c r="EH605" s="829"/>
      <c r="EI605" s="829"/>
      <c r="EJ605" s="829"/>
      <c r="EK605" s="829"/>
      <c r="EL605" s="829"/>
      <c r="EM605" s="829"/>
      <c r="EN605" s="829"/>
      <c r="EO605" s="829"/>
      <c r="EP605" s="829"/>
      <c r="EQ605" s="829"/>
      <c r="ER605" s="829"/>
      <c r="ES605" s="829"/>
      <c r="ET605" s="829"/>
      <c r="EU605" s="829"/>
      <c r="EV605" s="829"/>
      <c r="EW605" s="829"/>
      <c r="EX605" s="829"/>
      <c r="EY605" s="829"/>
      <c r="EZ605" s="829"/>
      <c r="FA605" s="829"/>
      <c r="FB605" s="829"/>
      <c r="FC605" s="829"/>
      <c r="FD605" s="829"/>
      <c r="FE605" s="829"/>
      <c r="FF605" s="829"/>
      <c r="FG605" s="829"/>
      <c r="FH605" s="829"/>
      <c r="FI605" s="829"/>
      <c r="FJ605" s="829"/>
      <c r="FK605" s="829"/>
      <c r="FL605" s="829"/>
      <c r="FM605" s="829"/>
      <c r="FN605" s="829"/>
      <c r="FO605" s="829"/>
      <c r="FP605" s="829"/>
      <c r="FQ605" s="829"/>
      <c r="FR605" s="829"/>
      <c r="FS605" s="829"/>
      <c r="FT605" s="829"/>
      <c r="FU605" s="829"/>
      <c r="FV605" s="829"/>
      <c r="FW605" s="829"/>
      <c r="FX605" s="829"/>
      <c r="FY605" s="829"/>
      <c r="FZ605" s="829"/>
      <c r="GA605" s="829"/>
      <c r="GB605" s="829"/>
      <c r="GC605" s="829"/>
      <c r="GD605" s="829"/>
      <c r="GE605" s="829"/>
      <c r="GF605" s="829"/>
      <c r="GG605" s="829"/>
      <c r="GH605" s="829"/>
      <c r="GI605" s="829"/>
      <c r="GJ605" s="829"/>
      <c r="GK605" s="829"/>
      <c r="GL605" s="829"/>
      <c r="GM605" s="829"/>
      <c r="GN605" s="829"/>
      <c r="GO605" s="829"/>
      <c r="GP605" s="829"/>
      <c r="GQ605" s="829"/>
      <c r="GR605" s="829"/>
      <c r="GS605" s="829"/>
      <c r="GT605" s="829"/>
      <c r="GU605" s="829"/>
      <c r="GV605" s="829"/>
      <c r="GW605" s="829"/>
      <c r="GX605" s="829"/>
      <c r="GY605" s="829"/>
      <c r="GZ605" s="829"/>
      <c r="HA605" s="829"/>
      <c r="HB605" s="829"/>
      <c r="HC605" s="829"/>
      <c r="HD605" s="829"/>
      <c r="HE605" s="829"/>
      <c r="HF605" s="829"/>
      <c r="HG605" s="829"/>
      <c r="HH605" s="829"/>
      <c r="HI605" s="829"/>
      <c r="HJ605" s="829"/>
      <c r="HK605" s="829"/>
      <c r="HL605" s="829"/>
      <c r="HM605" s="829"/>
      <c r="HN605" s="829"/>
      <c r="HO605" s="829"/>
      <c r="HP605" s="829"/>
      <c r="HQ605" s="829"/>
      <c r="HR605" s="829"/>
      <c r="HS605" s="829"/>
      <c r="HT605" s="829"/>
      <c r="HU605" s="829"/>
      <c r="HV605" s="829"/>
      <c r="HW605" s="829"/>
      <c r="HX605" s="829"/>
      <c r="HY605" s="829"/>
      <c r="HZ605" s="829"/>
      <c r="IA605" s="829"/>
      <c r="IB605" s="829"/>
      <c r="IC605" s="829"/>
      <c r="ID605" s="829"/>
      <c r="IE605" s="829"/>
      <c r="IF605" s="829"/>
      <c r="IG605" s="829"/>
      <c r="IH605" s="829"/>
      <c r="II605" s="829"/>
      <c r="IJ605" s="829"/>
      <c r="IK605" s="829"/>
      <c r="IL605" s="829"/>
      <c r="IM605" s="829"/>
      <c r="IN605" s="829"/>
      <c r="IO605" s="829"/>
      <c r="IP605" s="829"/>
      <c r="IQ605" s="829"/>
    </row>
    <row r="606" spans="1:251" ht="14.1" customHeight="1">
      <c r="A606" s="888"/>
      <c r="B606" s="891" t="s">
        <v>2008</v>
      </c>
      <c r="C606" s="944" t="s">
        <v>2009</v>
      </c>
      <c r="D606" s="874" t="s">
        <v>2004</v>
      </c>
      <c r="E606" s="360">
        <f>'[4]COSTO CDMX,QRO,GDL '!I602</f>
        <v>12340.588235294119</v>
      </c>
      <c r="F606" s="217" t="s">
        <v>284</v>
      </c>
      <c r="BI606" s="829"/>
      <c r="BJ606" s="829"/>
      <c r="BK606" s="829"/>
      <c r="BL606" s="829"/>
      <c r="BM606" s="829"/>
      <c r="BN606" s="829"/>
      <c r="BO606" s="829"/>
      <c r="BP606" s="829"/>
      <c r="BQ606" s="829"/>
      <c r="BR606" s="829"/>
      <c r="BS606" s="829"/>
      <c r="BT606" s="829"/>
      <c r="BU606" s="829"/>
      <c r="BV606" s="829"/>
      <c r="BW606" s="829"/>
      <c r="BX606" s="829"/>
      <c r="BY606" s="829"/>
      <c r="BZ606" s="829"/>
      <c r="CA606" s="829"/>
      <c r="CB606" s="829"/>
      <c r="CC606" s="829"/>
      <c r="CD606" s="829"/>
      <c r="CE606" s="829"/>
      <c r="CF606" s="829"/>
      <c r="CG606" s="829"/>
      <c r="CH606" s="829"/>
      <c r="CI606" s="829"/>
      <c r="CJ606" s="829"/>
      <c r="CK606" s="829"/>
      <c r="CL606" s="829"/>
      <c r="CM606" s="829"/>
      <c r="CN606" s="829"/>
      <c r="CO606" s="829"/>
      <c r="CP606" s="829"/>
      <c r="CQ606" s="829"/>
      <c r="CR606" s="829"/>
      <c r="CS606" s="829"/>
      <c r="CT606" s="829"/>
      <c r="CU606" s="829"/>
      <c r="CV606" s="829"/>
      <c r="CW606" s="829"/>
      <c r="CX606" s="829"/>
      <c r="CY606" s="829"/>
      <c r="CZ606" s="829"/>
      <c r="DA606" s="829"/>
      <c r="DB606" s="829"/>
      <c r="DC606" s="829"/>
      <c r="DD606" s="829"/>
      <c r="DE606" s="829"/>
      <c r="DF606" s="829"/>
      <c r="DG606" s="829"/>
      <c r="DH606" s="829"/>
      <c r="DI606" s="829"/>
      <c r="DJ606" s="829"/>
      <c r="DK606" s="829"/>
      <c r="DL606" s="829"/>
      <c r="DM606" s="829"/>
      <c r="DN606" s="829"/>
      <c r="DO606" s="829"/>
      <c r="DP606" s="829"/>
      <c r="DQ606" s="829"/>
      <c r="DR606" s="829"/>
      <c r="DS606" s="829"/>
      <c r="DT606" s="829"/>
      <c r="DU606" s="829"/>
      <c r="DV606" s="829"/>
      <c r="DW606" s="829"/>
      <c r="DX606" s="829"/>
      <c r="DY606" s="829"/>
      <c r="DZ606" s="829"/>
      <c r="EA606" s="829"/>
      <c r="EB606" s="829"/>
      <c r="EC606" s="829"/>
      <c r="ED606" s="829"/>
      <c r="EE606" s="829"/>
      <c r="EF606" s="829"/>
      <c r="EG606" s="829"/>
      <c r="EH606" s="829"/>
      <c r="EI606" s="829"/>
      <c r="EJ606" s="829"/>
      <c r="EK606" s="829"/>
      <c r="EL606" s="829"/>
      <c r="EM606" s="829"/>
      <c r="EN606" s="829"/>
      <c r="EO606" s="829"/>
      <c r="EP606" s="829"/>
      <c r="EQ606" s="829"/>
      <c r="ER606" s="829"/>
      <c r="ES606" s="829"/>
      <c r="ET606" s="829"/>
      <c r="EU606" s="829"/>
      <c r="EV606" s="829"/>
      <c r="EW606" s="829"/>
      <c r="EX606" s="829"/>
      <c r="EY606" s="829"/>
      <c r="EZ606" s="829"/>
      <c r="FA606" s="829"/>
      <c r="FB606" s="829"/>
      <c r="FC606" s="829"/>
      <c r="FD606" s="829"/>
      <c r="FE606" s="829"/>
      <c r="FF606" s="829"/>
      <c r="FG606" s="829"/>
      <c r="FH606" s="829"/>
      <c r="FI606" s="829"/>
      <c r="FJ606" s="829"/>
      <c r="FK606" s="829"/>
      <c r="FL606" s="829"/>
      <c r="FM606" s="829"/>
      <c r="FN606" s="829"/>
      <c r="FO606" s="829"/>
      <c r="FP606" s="829"/>
      <c r="FQ606" s="829"/>
      <c r="FR606" s="829"/>
      <c r="FS606" s="829"/>
      <c r="FT606" s="829"/>
      <c r="FU606" s="829"/>
      <c r="FV606" s="829"/>
      <c r="FW606" s="829"/>
      <c r="FX606" s="829"/>
      <c r="FY606" s="829"/>
      <c r="FZ606" s="829"/>
      <c r="GA606" s="829"/>
      <c r="GB606" s="829"/>
      <c r="GC606" s="829"/>
      <c r="GD606" s="829"/>
      <c r="GE606" s="829"/>
      <c r="GF606" s="829"/>
      <c r="GG606" s="829"/>
      <c r="GH606" s="829"/>
      <c r="GI606" s="829"/>
      <c r="GJ606" s="829"/>
      <c r="GK606" s="829"/>
      <c r="GL606" s="829"/>
      <c r="GM606" s="829"/>
      <c r="GN606" s="829"/>
      <c r="GO606" s="829"/>
      <c r="GP606" s="829"/>
      <c r="GQ606" s="829"/>
      <c r="GR606" s="829"/>
      <c r="GS606" s="829"/>
      <c r="GT606" s="829"/>
      <c r="GU606" s="829"/>
      <c r="GV606" s="829"/>
      <c r="GW606" s="829"/>
      <c r="GX606" s="829"/>
      <c r="GY606" s="829"/>
      <c r="GZ606" s="829"/>
      <c r="HA606" s="829"/>
      <c r="HB606" s="829"/>
      <c r="HC606" s="829"/>
      <c r="HD606" s="829"/>
      <c r="HE606" s="829"/>
      <c r="HF606" s="829"/>
      <c r="HG606" s="829"/>
      <c r="HH606" s="829"/>
      <c r="HI606" s="829"/>
      <c r="HJ606" s="829"/>
      <c r="HK606" s="829"/>
      <c r="HL606" s="829"/>
      <c r="HM606" s="829"/>
      <c r="HN606" s="829"/>
      <c r="HO606" s="829"/>
      <c r="HP606" s="829"/>
      <c r="HQ606" s="829"/>
      <c r="HR606" s="829"/>
      <c r="HS606" s="829"/>
      <c r="HT606" s="829"/>
      <c r="HU606" s="829"/>
      <c r="HV606" s="829"/>
      <c r="HW606" s="829"/>
      <c r="HX606" s="829"/>
      <c r="HY606" s="829"/>
      <c r="HZ606" s="829"/>
      <c r="IA606" s="829"/>
      <c r="IB606" s="829"/>
      <c r="IC606" s="829"/>
      <c r="ID606" s="829"/>
      <c r="IE606" s="829"/>
      <c r="IF606" s="829"/>
      <c r="IG606" s="829"/>
      <c r="IH606" s="829"/>
      <c r="II606" s="829"/>
      <c r="IJ606" s="829"/>
      <c r="IK606" s="829"/>
      <c r="IL606" s="829"/>
      <c r="IM606" s="829"/>
      <c r="IN606" s="829"/>
      <c r="IO606" s="829"/>
      <c r="IP606" s="829"/>
      <c r="IQ606" s="829"/>
    </row>
    <row r="607" spans="1:251" ht="14.1" customHeight="1">
      <c r="A607" s="888"/>
      <c r="B607" s="891"/>
      <c r="C607" s="944" t="s">
        <v>2010</v>
      </c>
      <c r="D607" s="874"/>
      <c r="E607" s="360"/>
      <c r="F607" s="296"/>
      <c r="BI607" s="829"/>
      <c r="BJ607" s="829"/>
      <c r="BK607" s="829"/>
      <c r="BL607" s="829"/>
      <c r="BM607" s="829"/>
      <c r="BN607" s="829"/>
      <c r="BO607" s="829"/>
      <c r="BP607" s="829"/>
      <c r="BQ607" s="829"/>
      <c r="BR607" s="829"/>
      <c r="BS607" s="829"/>
      <c r="BT607" s="829"/>
      <c r="BU607" s="829"/>
      <c r="BV607" s="829"/>
      <c r="BW607" s="829"/>
      <c r="BX607" s="829"/>
      <c r="BY607" s="829"/>
      <c r="BZ607" s="829"/>
      <c r="CA607" s="829"/>
      <c r="CB607" s="829"/>
      <c r="CC607" s="829"/>
      <c r="CD607" s="829"/>
      <c r="CE607" s="829"/>
      <c r="CF607" s="829"/>
      <c r="CG607" s="829"/>
      <c r="CH607" s="829"/>
      <c r="CI607" s="829"/>
      <c r="CJ607" s="829"/>
      <c r="CK607" s="829"/>
      <c r="CL607" s="829"/>
      <c r="CM607" s="829"/>
      <c r="CN607" s="829"/>
      <c r="CO607" s="829"/>
      <c r="CP607" s="829"/>
      <c r="CQ607" s="829"/>
      <c r="CR607" s="829"/>
      <c r="CS607" s="829"/>
      <c r="CT607" s="829"/>
      <c r="CU607" s="829"/>
      <c r="CV607" s="829"/>
      <c r="CW607" s="829"/>
      <c r="CX607" s="829"/>
      <c r="CY607" s="829"/>
      <c r="CZ607" s="829"/>
      <c r="DA607" s="829"/>
      <c r="DB607" s="829"/>
      <c r="DC607" s="829"/>
      <c r="DD607" s="829"/>
      <c r="DE607" s="829"/>
      <c r="DF607" s="829"/>
      <c r="DG607" s="829"/>
      <c r="DH607" s="829"/>
      <c r="DI607" s="829"/>
      <c r="DJ607" s="829"/>
      <c r="DK607" s="829"/>
      <c r="DL607" s="829"/>
      <c r="DM607" s="829"/>
      <c r="DN607" s="829"/>
      <c r="DO607" s="829"/>
      <c r="DP607" s="829"/>
      <c r="DQ607" s="829"/>
      <c r="DR607" s="829"/>
      <c r="DS607" s="829"/>
      <c r="DT607" s="829"/>
      <c r="DU607" s="829"/>
      <c r="DV607" s="829"/>
      <c r="DW607" s="829"/>
      <c r="DX607" s="829"/>
      <c r="DY607" s="829"/>
      <c r="DZ607" s="829"/>
      <c r="EA607" s="829"/>
      <c r="EB607" s="829"/>
      <c r="EC607" s="829"/>
      <c r="ED607" s="829"/>
      <c r="EE607" s="829"/>
      <c r="EF607" s="829"/>
      <c r="EG607" s="829"/>
      <c r="EH607" s="829"/>
      <c r="EI607" s="829"/>
      <c r="EJ607" s="829"/>
      <c r="EK607" s="829"/>
      <c r="EL607" s="829"/>
      <c r="EM607" s="829"/>
      <c r="EN607" s="829"/>
      <c r="EO607" s="829"/>
      <c r="EP607" s="829"/>
      <c r="EQ607" s="829"/>
      <c r="ER607" s="829"/>
      <c r="ES607" s="829"/>
      <c r="ET607" s="829"/>
      <c r="EU607" s="829"/>
      <c r="EV607" s="829"/>
      <c r="EW607" s="829"/>
      <c r="EX607" s="829"/>
      <c r="EY607" s="829"/>
      <c r="EZ607" s="829"/>
      <c r="FA607" s="829"/>
      <c r="FB607" s="829"/>
      <c r="FC607" s="829"/>
      <c r="FD607" s="829"/>
      <c r="FE607" s="829"/>
      <c r="FF607" s="829"/>
      <c r="FG607" s="829"/>
      <c r="FH607" s="829"/>
      <c r="FI607" s="829"/>
      <c r="FJ607" s="829"/>
      <c r="FK607" s="829"/>
      <c r="FL607" s="829"/>
      <c r="FM607" s="829"/>
      <c r="FN607" s="829"/>
      <c r="FO607" s="829"/>
      <c r="FP607" s="829"/>
      <c r="FQ607" s="829"/>
      <c r="FR607" s="829"/>
      <c r="FS607" s="829"/>
      <c r="FT607" s="829"/>
      <c r="FU607" s="829"/>
      <c r="FV607" s="829"/>
      <c r="FW607" s="829"/>
      <c r="FX607" s="829"/>
      <c r="FY607" s="829"/>
      <c r="FZ607" s="829"/>
      <c r="GA607" s="829"/>
      <c r="GB607" s="829"/>
      <c r="GC607" s="829"/>
      <c r="GD607" s="829"/>
      <c r="GE607" s="829"/>
      <c r="GF607" s="829"/>
      <c r="GG607" s="829"/>
      <c r="GH607" s="829"/>
      <c r="GI607" s="829"/>
      <c r="GJ607" s="829"/>
      <c r="GK607" s="829"/>
      <c r="GL607" s="829"/>
      <c r="GM607" s="829"/>
      <c r="GN607" s="829"/>
      <c r="GO607" s="829"/>
      <c r="GP607" s="829"/>
      <c r="GQ607" s="829"/>
      <c r="GR607" s="829"/>
      <c r="GS607" s="829"/>
      <c r="GT607" s="829"/>
      <c r="GU607" s="829"/>
      <c r="GV607" s="829"/>
      <c r="GW607" s="829"/>
      <c r="GX607" s="829"/>
      <c r="GY607" s="829"/>
      <c r="GZ607" s="829"/>
      <c r="HA607" s="829"/>
      <c r="HB607" s="829"/>
      <c r="HC607" s="829"/>
      <c r="HD607" s="829"/>
      <c r="HE607" s="829"/>
      <c r="HF607" s="829"/>
      <c r="HG607" s="829"/>
      <c r="HH607" s="829"/>
      <c r="HI607" s="829"/>
      <c r="HJ607" s="829"/>
      <c r="HK607" s="829"/>
      <c r="HL607" s="829"/>
      <c r="HM607" s="829"/>
      <c r="HN607" s="829"/>
      <c r="HO607" s="829"/>
      <c r="HP607" s="829"/>
      <c r="HQ607" s="829"/>
      <c r="HR607" s="829"/>
      <c r="HS607" s="829"/>
      <c r="HT607" s="829"/>
      <c r="HU607" s="829"/>
      <c r="HV607" s="829"/>
      <c r="HW607" s="829"/>
      <c r="HX607" s="829"/>
      <c r="HY607" s="829"/>
      <c r="HZ607" s="829"/>
      <c r="IA607" s="829"/>
      <c r="IB607" s="829"/>
      <c r="IC607" s="829"/>
      <c r="ID607" s="829"/>
      <c r="IE607" s="829"/>
      <c r="IF607" s="829"/>
      <c r="IG607" s="829"/>
      <c r="IH607" s="829"/>
      <c r="II607" s="829"/>
      <c r="IJ607" s="829"/>
      <c r="IK607" s="829"/>
      <c r="IL607" s="829"/>
      <c r="IM607" s="829"/>
      <c r="IN607" s="829"/>
      <c r="IO607" s="829"/>
      <c r="IP607" s="829"/>
      <c r="IQ607" s="829"/>
    </row>
    <row r="608" spans="1:251" ht="14.1" customHeight="1">
      <c r="A608" s="888"/>
      <c r="B608" s="891"/>
      <c r="C608" s="944" t="s">
        <v>2011</v>
      </c>
      <c r="D608" s="874"/>
      <c r="E608" s="360"/>
      <c r="F608" s="296"/>
      <c r="BI608" s="829"/>
      <c r="BJ608" s="829"/>
      <c r="BK608" s="829"/>
      <c r="BL608" s="829"/>
      <c r="BM608" s="829"/>
      <c r="BN608" s="829"/>
      <c r="BO608" s="829"/>
      <c r="BP608" s="829"/>
      <c r="BQ608" s="829"/>
      <c r="BR608" s="829"/>
      <c r="BS608" s="829"/>
      <c r="BT608" s="829"/>
      <c r="BU608" s="829"/>
      <c r="BV608" s="829"/>
      <c r="BW608" s="829"/>
      <c r="BX608" s="829"/>
      <c r="BY608" s="829"/>
      <c r="BZ608" s="829"/>
      <c r="CA608" s="829"/>
      <c r="CB608" s="829"/>
      <c r="CC608" s="829"/>
      <c r="CD608" s="829"/>
      <c r="CE608" s="829"/>
      <c r="CF608" s="829"/>
      <c r="CG608" s="829"/>
      <c r="CH608" s="829"/>
      <c r="CI608" s="829"/>
      <c r="CJ608" s="829"/>
      <c r="CK608" s="829"/>
      <c r="CL608" s="829"/>
      <c r="CM608" s="829"/>
      <c r="CN608" s="829"/>
      <c r="CO608" s="829"/>
      <c r="CP608" s="829"/>
      <c r="CQ608" s="829"/>
      <c r="CR608" s="829"/>
      <c r="CS608" s="829"/>
      <c r="CT608" s="829"/>
      <c r="CU608" s="829"/>
      <c r="CV608" s="829"/>
      <c r="CW608" s="829"/>
      <c r="CX608" s="829"/>
      <c r="CY608" s="829"/>
      <c r="CZ608" s="829"/>
      <c r="DA608" s="829"/>
      <c r="DB608" s="829"/>
      <c r="DC608" s="829"/>
      <c r="DD608" s="829"/>
      <c r="DE608" s="829"/>
      <c r="DF608" s="829"/>
      <c r="DG608" s="829"/>
      <c r="DH608" s="829"/>
      <c r="DI608" s="829"/>
      <c r="DJ608" s="829"/>
      <c r="DK608" s="829"/>
      <c r="DL608" s="829"/>
      <c r="DM608" s="829"/>
      <c r="DN608" s="829"/>
      <c r="DO608" s="829"/>
      <c r="DP608" s="829"/>
      <c r="DQ608" s="829"/>
      <c r="DR608" s="829"/>
      <c r="DS608" s="829"/>
      <c r="DT608" s="829"/>
      <c r="DU608" s="829"/>
      <c r="DV608" s="829"/>
      <c r="DW608" s="829"/>
      <c r="DX608" s="829"/>
      <c r="DY608" s="829"/>
      <c r="DZ608" s="829"/>
      <c r="EA608" s="829"/>
      <c r="EB608" s="829"/>
      <c r="EC608" s="829"/>
      <c r="ED608" s="829"/>
      <c r="EE608" s="829"/>
      <c r="EF608" s="829"/>
      <c r="EG608" s="829"/>
      <c r="EH608" s="829"/>
      <c r="EI608" s="829"/>
      <c r="EJ608" s="829"/>
      <c r="EK608" s="829"/>
      <c r="EL608" s="829"/>
      <c r="EM608" s="829"/>
      <c r="EN608" s="829"/>
      <c r="EO608" s="829"/>
      <c r="EP608" s="829"/>
      <c r="EQ608" s="829"/>
      <c r="ER608" s="829"/>
      <c r="ES608" s="829"/>
      <c r="ET608" s="829"/>
      <c r="EU608" s="829"/>
      <c r="EV608" s="829"/>
      <c r="EW608" s="829"/>
      <c r="EX608" s="829"/>
      <c r="EY608" s="829"/>
      <c r="EZ608" s="829"/>
      <c r="FA608" s="829"/>
      <c r="FB608" s="829"/>
      <c r="FC608" s="829"/>
      <c r="FD608" s="829"/>
      <c r="FE608" s="829"/>
      <c r="FF608" s="829"/>
      <c r="FG608" s="829"/>
      <c r="FH608" s="829"/>
      <c r="FI608" s="829"/>
      <c r="FJ608" s="829"/>
      <c r="FK608" s="829"/>
      <c r="FL608" s="829"/>
      <c r="FM608" s="829"/>
      <c r="FN608" s="829"/>
      <c r="FO608" s="829"/>
      <c r="FP608" s="829"/>
      <c r="FQ608" s="829"/>
      <c r="FR608" s="829"/>
      <c r="FS608" s="829"/>
      <c r="FT608" s="829"/>
      <c r="FU608" s="829"/>
      <c r="FV608" s="829"/>
      <c r="FW608" s="829"/>
      <c r="FX608" s="829"/>
      <c r="FY608" s="829"/>
      <c r="FZ608" s="829"/>
      <c r="GA608" s="829"/>
      <c r="GB608" s="829"/>
      <c r="GC608" s="829"/>
      <c r="GD608" s="829"/>
      <c r="GE608" s="829"/>
      <c r="GF608" s="829"/>
      <c r="GG608" s="829"/>
      <c r="GH608" s="829"/>
      <c r="GI608" s="829"/>
      <c r="GJ608" s="829"/>
      <c r="GK608" s="829"/>
      <c r="GL608" s="829"/>
      <c r="GM608" s="829"/>
      <c r="GN608" s="829"/>
      <c r="GO608" s="829"/>
      <c r="GP608" s="829"/>
      <c r="GQ608" s="829"/>
      <c r="GR608" s="829"/>
      <c r="GS608" s="829"/>
      <c r="GT608" s="829"/>
      <c r="GU608" s="829"/>
      <c r="GV608" s="829"/>
      <c r="GW608" s="829"/>
      <c r="GX608" s="829"/>
      <c r="GY608" s="829"/>
      <c r="GZ608" s="829"/>
      <c r="HA608" s="829"/>
      <c r="HB608" s="829"/>
      <c r="HC608" s="829"/>
      <c r="HD608" s="829"/>
      <c r="HE608" s="829"/>
      <c r="HF608" s="829"/>
      <c r="HG608" s="829"/>
      <c r="HH608" s="829"/>
      <c r="HI608" s="829"/>
      <c r="HJ608" s="829"/>
      <c r="HK608" s="829"/>
      <c r="HL608" s="829"/>
      <c r="HM608" s="829"/>
      <c r="HN608" s="829"/>
      <c r="HO608" s="829"/>
      <c r="HP608" s="829"/>
      <c r="HQ608" s="829"/>
      <c r="HR608" s="829"/>
      <c r="HS608" s="829"/>
      <c r="HT608" s="829"/>
      <c r="HU608" s="829"/>
      <c r="HV608" s="829"/>
      <c r="HW608" s="829"/>
      <c r="HX608" s="829"/>
      <c r="HY608" s="829"/>
      <c r="HZ608" s="829"/>
      <c r="IA608" s="829"/>
      <c r="IB608" s="829"/>
      <c r="IC608" s="829"/>
      <c r="ID608" s="829"/>
      <c r="IE608" s="829"/>
      <c r="IF608" s="829"/>
      <c r="IG608" s="829"/>
      <c r="IH608" s="829"/>
      <c r="II608" s="829"/>
      <c r="IJ608" s="829"/>
      <c r="IK608" s="829"/>
      <c r="IL608" s="829"/>
      <c r="IM608" s="829"/>
      <c r="IN608" s="829"/>
      <c r="IO608" s="829"/>
      <c r="IP608" s="829"/>
      <c r="IQ608" s="829"/>
    </row>
    <row r="609" spans="1:251" ht="14.1" customHeight="1">
      <c r="A609" s="888"/>
      <c r="B609" s="891"/>
      <c r="C609" s="944" t="s">
        <v>2012</v>
      </c>
      <c r="D609" s="874"/>
      <c r="E609" s="360"/>
      <c r="F609" s="296"/>
      <c r="BI609" s="829"/>
      <c r="BJ609" s="829"/>
      <c r="BK609" s="829"/>
      <c r="BL609" s="829"/>
      <c r="BM609" s="829"/>
      <c r="BN609" s="829"/>
      <c r="BO609" s="829"/>
      <c r="BP609" s="829"/>
      <c r="BQ609" s="829"/>
      <c r="BR609" s="829"/>
      <c r="BS609" s="829"/>
      <c r="BT609" s="829"/>
      <c r="BU609" s="829"/>
      <c r="BV609" s="829"/>
      <c r="BW609" s="829"/>
      <c r="BX609" s="829"/>
      <c r="BY609" s="829"/>
      <c r="BZ609" s="829"/>
      <c r="CA609" s="829"/>
      <c r="CB609" s="829"/>
      <c r="CC609" s="829"/>
      <c r="CD609" s="829"/>
      <c r="CE609" s="829"/>
      <c r="CF609" s="829"/>
      <c r="CG609" s="829"/>
      <c r="CH609" s="829"/>
      <c r="CI609" s="829"/>
      <c r="CJ609" s="829"/>
      <c r="CK609" s="829"/>
      <c r="CL609" s="829"/>
      <c r="CM609" s="829"/>
      <c r="CN609" s="829"/>
      <c r="CO609" s="829"/>
      <c r="CP609" s="829"/>
      <c r="CQ609" s="829"/>
      <c r="CR609" s="829"/>
      <c r="CS609" s="829"/>
      <c r="CT609" s="829"/>
      <c r="CU609" s="829"/>
      <c r="CV609" s="829"/>
      <c r="CW609" s="829"/>
      <c r="CX609" s="829"/>
      <c r="CY609" s="829"/>
      <c r="CZ609" s="829"/>
      <c r="DA609" s="829"/>
      <c r="DB609" s="829"/>
      <c r="DC609" s="829"/>
      <c r="DD609" s="829"/>
      <c r="DE609" s="829"/>
      <c r="DF609" s="829"/>
      <c r="DG609" s="829"/>
      <c r="DH609" s="829"/>
      <c r="DI609" s="829"/>
      <c r="DJ609" s="829"/>
      <c r="DK609" s="829"/>
      <c r="DL609" s="829"/>
      <c r="DM609" s="829"/>
      <c r="DN609" s="829"/>
      <c r="DO609" s="829"/>
      <c r="DP609" s="829"/>
      <c r="DQ609" s="829"/>
      <c r="DR609" s="829"/>
      <c r="DS609" s="829"/>
      <c r="DT609" s="829"/>
      <c r="DU609" s="829"/>
      <c r="DV609" s="829"/>
      <c r="DW609" s="829"/>
      <c r="DX609" s="829"/>
      <c r="DY609" s="829"/>
      <c r="DZ609" s="829"/>
      <c r="EA609" s="829"/>
      <c r="EB609" s="829"/>
      <c r="EC609" s="829"/>
      <c r="ED609" s="829"/>
      <c r="EE609" s="829"/>
      <c r="EF609" s="829"/>
      <c r="EG609" s="829"/>
      <c r="EH609" s="829"/>
      <c r="EI609" s="829"/>
      <c r="EJ609" s="829"/>
      <c r="EK609" s="829"/>
      <c r="EL609" s="829"/>
      <c r="EM609" s="829"/>
      <c r="EN609" s="829"/>
      <c r="EO609" s="829"/>
      <c r="EP609" s="829"/>
      <c r="EQ609" s="829"/>
      <c r="ER609" s="829"/>
      <c r="ES609" s="829"/>
      <c r="ET609" s="829"/>
      <c r="EU609" s="829"/>
      <c r="EV609" s="829"/>
      <c r="EW609" s="829"/>
      <c r="EX609" s="829"/>
      <c r="EY609" s="829"/>
      <c r="EZ609" s="829"/>
      <c r="FA609" s="829"/>
      <c r="FB609" s="829"/>
      <c r="FC609" s="829"/>
      <c r="FD609" s="829"/>
      <c r="FE609" s="829"/>
      <c r="FF609" s="829"/>
      <c r="FG609" s="829"/>
      <c r="FH609" s="829"/>
      <c r="FI609" s="829"/>
      <c r="FJ609" s="829"/>
      <c r="FK609" s="829"/>
      <c r="FL609" s="829"/>
      <c r="FM609" s="829"/>
      <c r="FN609" s="829"/>
      <c r="FO609" s="829"/>
      <c r="FP609" s="829"/>
      <c r="FQ609" s="829"/>
      <c r="FR609" s="829"/>
      <c r="FS609" s="829"/>
      <c r="FT609" s="829"/>
      <c r="FU609" s="829"/>
      <c r="FV609" s="829"/>
      <c r="FW609" s="829"/>
      <c r="FX609" s="829"/>
      <c r="FY609" s="829"/>
      <c r="FZ609" s="829"/>
      <c r="GA609" s="829"/>
      <c r="GB609" s="829"/>
      <c r="GC609" s="829"/>
      <c r="GD609" s="829"/>
      <c r="GE609" s="829"/>
      <c r="GF609" s="829"/>
      <c r="GG609" s="829"/>
      <c r="GH609" s="829"/>
      <c r="GI609" s="829"/>
      <c r="GJ609" s="829"/>
      <c r="GK609" s="829"/>
      <c r="GL609" s="829"/>
      <c r="GM609" s="829"/>
      <c r="GN609" s="829"/>
      <c r="GO609" s="829"/>
      <c r="GP609" s="829"/>
      <c r="GQ609" s="829"/>
      <c r="GR609" s="829"/>
      <c r="GS609" s="829"/>
      <c r="GT609" s="829"/>
      <c r="GU609" s="829"/>
      <c r="GV609" s="829"/>
      <c r="GW609" s="829"/>
      <c r="GX609" s="829"/>
      <c r="GY609" s="829"/>
      <c r="GZ609" s="829"/>
      <c r="HA609" s="829"/>
      <c r="HB609" s="829"/>
      <c r="HC609" s="829"/>
      <c r="HD609" s="829"/>
      <c r="HE609" s="829"/>
      <c r="HF609" s="829"/>
      <c r="HG609" s="829"/>
      <c r="HH609" s="829"/>
      <c r="HI609" s="829"/>
      <c r="HJ609" s="829"/>
      <c r="HK609" s="829"/>
      <c r="HL609" s="829"/>
      <c r="HM609" s="829"/>
      <c r="HN609" s="829"/>
      <c r="HO609" s="829"/>
      <c r="HP609" s="829"/>
      <c r="HQ609" s="829"/>
      <c r="HR609" s="829"/>
      <c r="HS609" s="829"/>
      <c r="HT609" s="829"/>
      <c r="HU609" s="829"/>
      <c r="HV609" s="829"/>
      <c r="HW609" s="829"/>
      <c r="HX609" s="829"/>
      <c r="HY609" s="829"/>
      <c r="HZ609" s="829"/>
      <c r="IA609" s="829"/>
      <c r="IB609" s="829"/>
      <c r="IC609" s="829"/>
      <c r="ID609" s="829"/>
      <c r="IE609" s="829"/>
      <c r="IF609" s="829"/>
      <c r="IG609" s="829"/>
      <c r="IH609" s="829"/>
      <c r="II609" s="829"/>
      <c r="IJ609" s="829"/>
      <c r="IK609" s="829"/>
      <c r="IL609" s="829"/>
      <c r="IM609" s="829"/>
      <c r="IN609" s="829"/>
      <c r="IO609" s="829"/>
      <c r="IP609" s="829"/>
      <c r="IQ609" s="829"/>
    </row>
    <row r="610" spans="1:251" ht="14.1" customHeight="1">
      <c r="A610" s="888"/>
      <c r="B610" s="891"/>
      <c r="C610" s="931" t="s">
        <v>2007</v>
      </c>
      <c r="D610" s="874"/>
      <c r="E610" s="360"/>
      <c r="F610" s="296"/>
      <c r="BI610" s="829"/>
      <c r="BJ610" s="829"/>
      <c r="BK610" s="829"/>
      <c r="BL610" s="829"/>
      <c r="BM610" s="829"/>
      <c r="BN610" s="829"/>
      <c r="BO610" s="829"/>
      <c r="BP610" s="829"/>
      <c r="BQ610" s="829"/>
      <c r="BR610" s="829"/>
      <c r="BS610" s="829"/>
      <c r="BT610" s="829"/>
      <c r="BU610" s="829"/>
      <c r="BV610" s="829"/>
      <c r="BW610" s="829"/>
      <c r="BX610" s="829"/>
      <c r="BY610" s="829"/>
      <c r="BZ610" s="829"/>
      <c r="CA610" s="829"/>
      <c r="CB610" s="829"/>
      <c r="CC610" s="829"/>
      <c r="CD610" s="829"/>
      <c r="CE610" s="829"/>
      <c r="CF610" s="829"/>
      <c r="CG610" s="829"/>
      <c r="CH610" s="829"/>
      <c r="CI610" s="829"/>
      <c r="CJ610" s="829"/>
      <c r="CK610" s="829"/>
      <c r="CL610" s="829"/>
      <c r="CM610" s="829"/>
      <c r="CN610" s="829"/>
      <c r="CO610" s="829"/>
      <c r="CP610" s="829"/>
      <c r="CQ610" s="829"/>
      <c r="CR610" s="829"/>
      <c r="CS610" s="829"/>
      <c r="CT610" s="829"/>
      <c r="CU610" s="829"/>
      <c r="CV610" s="829"/>
      <c r="CW610" s="829"/>
      <c r="CX610" s="829"/>
      <c r="CY610" s="829"/>
      <c r="CZ610" s="829"/>
      <c r="DA610" s="829"/>
      <c r="DB610" s="829"/>
      <c r="DC610" s="829"/>
      <c r="DD610" s="829"/>
      <c r="DE610" s="829"/>
      <c r="DF610" s="829"/>
      <c r="DG610" s="829"/>
      <c r="DH610" s="829"/>
      <c r="DI610" s="829"/>
      <c r="DJ610" s="829"/>
      <c r="DK610" s="829"/>
      <c r="DL610" s="829"/>
      <c r="DM610" s="829"/>
      <c r="DN610" s="829"/>
      <c r="DO610" s="829"/>
      <c r="DP610" s="829"/>
      <c r="DQ610" s="829"/>
      <c r="DR610" s="829"/>
      <c r="DS610" s="829"/>
      <c r="DT610" s="829"/>
      <c r="DU610" s="829"/>
      <c r="DV610" s="829"/>
      <c r="DW610" s="829"/>
      <c r="DX610" s="829"/>
      <c r="DY610" s="829"/>
      <c r="DZ610" s="829"/>
      <c r="EA610" s="829"/>
      <c r="EB610" s="829"/>
      <c r="EC610" s="829"/>
      <c r="ED610" s="829"/>
      <c r="EE610" s="829"/>
      <c r="EF610" s="829"/>
      <c r="EG610" s="829"/>
      <c r="EH610" s="829"/>
      <c r="EI610" s="829"/>
      <c r="EJ610" s="829"/>
      <c r="EK610" s="829"/>
      <c r="EL610" s="829"/>
      <c r="EM610" s="829"/>
      <c r="EN610" s="829"/>
      <c r="EO610" s="829"/>
      <c r="EP610" s="829"/>
      <c r="EQ610" s="829"/>
      <c r="ER610" s="829"/>
      <c r="ES610" s="829"/>
      <c r="ET610" s="829"/>
      <c r="EU610" s="829"/>
      <c r="EV610" s="829"/>
      <c r="EW610" s="829"/>
      <c r="EX610" s="829"/>
      <c r="EY610" s="829"/>
      <c r="EZ610" s="829"/>
      <c r="FA610" s="829"/>
      <c r="FB610" s="829"/>
      <c r="FC610" s="829"/>
      <c r="FD610" s="829"/>
      <c r="FE610" s="829"/>
      <c r="FF610" s="829"/>
      <c r="FG610" s="829"/>
      <c r="FH610" s="829"/>
      <c r="FI610" s="829"/>
      <c r="FJ610" s="829"/>
      <c r="FK610" s="829"/>
      <c r="FL610" s="829"/>
      <c r="FM610" s="829"/>
      <c r="FN610" s="829"/>
      <c r="FO610" s="829"/>
      <c r="FP610" s="829"/>
      <c r="FQ610" s="829"/>
      <c r="FR610" s="829"/>
      <c r="FS610" s="829"/>
      <c r="FT610" s="829"/>
      <c r="FU610" s="829"/>
      <c r="FV610" s="829"/>
      <c r="FW610" s="829"/>
      <c r="FX610" s="829"/>
      <c r="FY610" s="829"/>
      <c r="FZ610" s="829"/>
      <c r="GA610" s="829"/>
      <c r="GB610" s="829"/>
      <c r="GC610" s="829"/>
      <c r="GD610" s="829"/>
      <c r="GE610" s="829"/>
      <c r="GF610" s="829"/>
      <c r="GG610" s="829"/>
      <c r="GH610" s="829"/>
      <c r="GI610" s="829"/>
      <c r="GJ610" s="829"/>
      <c r="GK610" s="829"/>
      <c r="GL610" s="829"/>
      <c r="GM610" s="829"/>
      <c r="GN610" s="829"/>
      <c r="GO610" s="829"/>
      <c r="GP610" s="829"/>
      <c r="GQ610" s="829"/>
      <c r="GR610" s="829"/>
      <c r="GS610" s="829"/>
      <c r="GT610" s="829"/>
      <c r="GU610" s="829"/>
      <c r="GV610" s="829"/>
      <c r="GW610" s="829"/>
      <c r="GX610" s="829"/>
      <c r="GY610" s="829"/>
      <c r="GZ610" s="829"/>
      <c r="HA610" s="829"/>
      <c r="HB610" s="829"/>
      <c r="HC610" s="829"/>
      <c r="HD610" s="829"/>
      <c r="HE610" s="829"/>
      <c r="HF610" s="829"/>
      <c r="HG610" s="829"/>
      <c r="HH610" s="829"/>
      <c r="HI610" s="829"/>
      <c r="HJ610" s="829"/>
      <c r="HK610" s="829"/>
      <c r="HL610" s="829"/>
      <c r="HM610" s="829"/>
      <c r="HN610" s="829"/>
      <c r="HO610" s="829"/>
      <c r="HP610" s="829"/>
      <c r="HQ610" s="829"/>
      <c r="HR610" s="829"/>
      <c r="HS610" s="829"/>
      <c r="HT610" s="829"/>
      <c r="HU610" s="829"/>
      <c r="HV610" s="829"/>
      <c r="HW610" s="829"/>
      <c r="HX610" s="829"/>
      <c r="HY610" s="829"/>
      <c r="HZ610" s="829"/>
      <c r="IA610" s="829"/>
      <c r="IB610" s="829"/>
      <c r="IC610" s="829"/>
      <c r="ID610" s="829"/>
      <c r="IE610" s="829"/>
      <c r="IF610" s="829"/>
      <c r="IG610" s="829"/>
      <c r="IH610" s="829"/>
      <c r="II610" s="829"/>
      <c r="IJ610" s="829"/>
      <c r="IK610" s="829"/>
      <c r="IL610" s="829"/>
      <c r="IM610" s="829"/>
      <c r="IN610" s="829"/>
      <c r="IO610" s="829"/>
      <c r="IP610" s="829"/>
      <c r="IQ610" s="829"/>
    </row>
    <row r="611" spans="1:251" ht="14.1" customHeight="1">
      <c r="A611" s="888"/>
      <c r="B611" s="891"/>
      <c r="C611" s="944"/>
      <c r="D611" s="874"/>
      <c r="E611" s="360"/>
      <c r="F611" s="296"/>
      <c r="BI611" s="829"/>
      <c r="BJ611" s="829"/>
      <c r="BK611" s="829"/>
      <c r="BL611" s="829"/>
      <c r="BM611" s="829"/>
      <c r="BN611" s="829"/>
      <c r="BO611" s="829"/>
      <c r="BP611" s="829"/>
      <c r="BQ611" s="829"/>
      <c r="BR611" s="829"/>
      <c r="BS611" s="829"/>
      <c r="BT611" s="829"/>
      <c r="BU611" s="829"/>
      <c r="BV611" s="829"/>
      <c r="BW611" s="829"/>
      <c r="BX611" s="829"/>
      <c r="BY611" s="829"/>
      <c r="BZ611" s="829"/>
      <c r="CA611" s="829"/>
      <c r="CB611" s="829"/>
      <c r="CC611" s="829"/>
      <c r="CD611" s="829"/>
      <c r="CE611" s="829"/>
      <c r="CF611" s="829"/>
      <c r="CG611" s="829"/>
      <c r="CH611" s="829"/>
      <c r="CI611" s="829"/>
      <c r="CJ611" s="829"/>
      <c r="CK611" s="829"/>
      <c r="CL611" s="829"/>
      <c r="CM611" s="829"/>
      <c r="CN611" s="829"/>
      <c r="CO611" s="829"/>
      <c r="CP611" s="829"/>
      <c r="CQ611" s="829"/>
      <c r="CR611" s="829"/>
      <c r="CS611" s="829"/>
      <c r="CT611" s="829"/>
      <c r="CU611" s="829"/>
      <c r="CV611" s="829"/>
      <c r="CW611" s="829"/>
      <c r="CX611" s="829"/>
      <c r="CY611" s="829"/>
      <c r="CZ611" s="829"/>
      <c r="DA611" s="829"/>
      <c r="DB611" s="829"/>
      <c r="DC611" s="829"/>
      <c r="DD611" s="829"/>
      <c r="DE611" s="829"/>
      <c r="DF611" s="829"/>
      <c r="DG611" s="829"/>
      <c r="DH611" s="829"/>
      <c r="DI611" s="829"/>
      <c r="DJ611" s="829"/>
      <c r="DK611" s="829"/>
      <c r="DL611" s="829"/>
      <c r="DM611" s="829"/>
      <c r="DN611" s="829"/>
      <c r="DO611" s="829"/>
      <c r="DP611" s="829"/>
      <c r="DQ611" s="829"/>
      <c r="DR611" s="829"/>
      <c r="DS611" s="829"/>
      <c r="DT611" s="829"/>
      <c r="DU611" s="829"/>
      <c r="DV611" s="829"/>
      <c r="DW611" s="829"/>
      <c r="DX611" s="829"/>
      <c r="DY611" s="829"/>
      <c r="DZ611" s="829"/>
      <c r="EA611" s="829"/>
      <c r="EB611" s="829"/>
      <c r="EC611" s="829"/>
      <c r="ED611" s="829"/>
      <c r="EE611" s="829"/>
      <c r="EF611" s="829"/>
      <c r="EG611" s="829"/>
      <c r="EH611" s="829"/>
      <c r="EI611" s="829"/>
      <c r="EJ611" s="829"/>
      <c r="EK611" s="829"/>
      <c r="EL611" s="829"/>
      <c r="EM611" s="829"/>
      <c r="EN611" s="829"/>
      <c r="EO611" s="829"/>
      <c r="EP611" s="829"/>
      <c r="EQ611" s="829"/>
      <c r="ER611" s="829"/>
      <c r="ES611" s="829"/>
      <c r="ET611" s="829"/>
      <c r="EU611" s="829"/>
      <c r="EV611" s="829"/>
      <c r="EW611" s="829"/>
      <c r="EX611" s="829"/>
      <c r="EY611" s="829"/>
      <c r="EZ611" s="829"/>
      <c r="FA611" s="829"/>
      <c r="FB611" s="829"/>
      <c r="FC611" s="829"/>
      <c r="FD611" s="829"/>
      <c r="FE611" s="829"/>
      <c r="FF611" s="829"/>
      <c r="FG611" s="829"/>
      <c r="FH611" s="829"/>
      <c r="FI611" s="829"/>
      <c r="FJ611" s="829"/>
      <c r="FK611" s="829"/>
      <c r="FL611" s="829"/>
      <c r="FM611" s="829"/>
      <c r="FN611" s="829"/>
      <c r="FO611" s="829"/>
      <c r="FP611" s="829"/>
      <c r="FQ611" s="829"/>
      <c r="FR611" s="829"/>
      <c r="FS611" s="829"/>
      <c r="FT611" s="829"/>
      <c r="FU611" s="829"/>
      <c r="FV611" s="829"/>
      <c r="FW611" s="829"/>
      <c r="FX611" s="829"/>
      <c r="FY611" s="829"/>
      <c r="FZ611" s="829"/>
      <c r="GA611" s="829"/>
      <c r="GB611" s="829"/>
      <c r="GC611" s="829"/>
      <c r="GD611" s="829"/>
      <c r="GE611" s="829"/>
      <c r="GF611" s="829"/>
      <c r="GG611" s="829"/>
      <c r="GH611" s="829"/>
      <c r="GI611" s="829"/>
      <c r="GJ611" s="829"/>
      <c r="GK611" s="829"/>
      <c r="GL611" s="829"/>
      <c r="GM611" s="829"/>
      <c r="GN611" s="829"/>
      <c r="GO611" s="829"/>
      <c r="GP611" s="829"/>
      <c r="GQ611" s="829"/>
      <c r="GR611" s="829"/>
      <c r="GS611" s="829"/>
      <c r="GT611" s="829"/>
      <c r="GU611" s="829"/>
      <c r="GV611" s="829"/>
      <c r="GW611" s="829"/>
      <c r="GX611" s="829"/>
      <c r="GY611" s="829"/>
      <c r="GZ611" s="829"/>
      <c r="HA611" s="829"/>
      <c r="HB611" s="829"/>
      <c r="HC611" s="829"/>
      <c r="HD611" s="829"/>
      <c r="HE611" s="829"/>
      <c r="HF611" s="829"/>
      <c r="HG611" s="829"/>
      <c r="HH611" s="829"/>
      <c r="HI611" s="829"/>
      <c r="HJ611" s="829"/>
      <c r="HK611" s="829"/>
      <c r="HL611" s="829"/>
      <c r="HM611" s="829"/>
      <c r="HN611" s="829"/>
      <c r="HO611" s="829"/>
      <c r="HP611" s="829"/>
      <c r="HQ611" s="829"/>
      <c r="HR611" s="829"/>
      <c r="HS611" s="829"/>
      <c r="HT611" s="829"/>
      <c r="HU611" s="829"/>
      <c r="HV611" s="829"/>
      <c r="HW611" s="829"/>
      <c r="HX611" s="829"/>
      <c r="HY611" s="829"/>
      <c r="HZ611" s="829"/>
      <c r="IA611" s="829"/>
      <c r="IB611" s="829"/>
      <c r="IC611" s="829"/>
      <c r="ID611" s="829"/>
      <c r="IE611" s="829"/>
      <c r="IF611" s="829"/>
      <c r="IG611" s="829"/>
      <c r="IH611" s="829"/>
      <c r="II611" s="829"/>
      <c r="IJ611" s="829"/>
      <c r="IK611" s="829"/>
      <c r="IL611" s="829"/>
      <c r="IM611" s="829"/>
      <c r="IN611" s="829"/>
      <c r="IO611" s="829"/>
      <c r="IP611" s="829"/>
      <c r="IQ611" s="829"/>
    </row>
    <row r="612" spans="1:251" ht="14.1" customHeight="1">
      <c r="A612" s="888"/>
      <c r="B612" s="891"/>
      <c r="C612" s="944"/>
      <c r="D612" s="874"/>
      <c r="E612" s="476"/>
      <c r="F612" s="296"/>
      <c r="BI612" s="829"/>
      <c r="BJ612" s="829"/>
      <c r="BK612" s="829"/>
      <c r="BL612" s="829"/>
      <c r="BM612" s="829"/>
      <c r="BN612" s="829"/>
      <c r="BO612" s="829"/>
      <c r="BP612" s="829"/>
      <c r="BQ612" s="829"/>
      <c r="BR612" s="829"/>
      <c r="BS612" s="829"/>
      <c r="BT612" s="829"/>
      <c r="BU612" s="829"/>
      <c r="BV612" s="829"/>
      <c r="BW612" s="829"/>
      <c r="BX612" s="829"/>
      <c r="BY612" s="829"/>
      <c r="BZ612" s="829"/>
      <c r="CA612" s="829"/>
      <c r="CB612" s="829"/>
      <c r="CC612" s="829"/>
      <c r="CD612" s="829"/>
      <c r="CE612" s="829"/>
      <c r="CF612" s="829"/>
      <c r="CG612" s="829"/>
      <c r="CH612" s="829"/>
      <c r="CI612" s="829"/>
      <c r="CJ612" s="829"/>
      <c r="CK612" s="829"/>
      <c r="CL612" s="829"/>
      <c r="CM612" s="829"/>
      <c r="CN612" s="829"/>
      <c r="CO612" s="829"/>
      <c r="CP612" s="829"/>
      <c r="CQ612" s="829"/>
      <c r="CR612" s="829"/>
      <c r="CS612" s="829"/>
      <c r="CT612" s="829"/>
      <c r="CU612" s="829"/>
      <c r="CV612" s="829"/>
      <c r="CW612" s="829"/>
      <c r="CX612" s="829"/>
      <c r="CY612" s="829"/>
      <c r="CZ612" s="829"/>
      <c r="DA612" s="829"/>
      <c r="DB612" s="829"/>
      <c r="DC612" s="829"/>
      <c r="DD612" s="829"/>
      <c r="DE612" s="829"/>
      <c r="DF612" s="829"/>
      <c r="DG612" s="829"/>
      <c r="DH612" s="829"/>
      <c r="DI612" s="829"/>
      <c r="DJ612" s="829"/>
      <c r="DK612" s="829"/>
      <c r="DL612" s="829"/>
      <c r="DM612" s="829"/>
      <c r="DN612" s="829"/>
      <c r="DO612" s="829"/>
      <c r="DP612" s="829"/>
      <c r="DQ612" s="829"/>
      <c r="DR612" s="829"/>
      <c r="DS612" s="829"/>
      <c r="DT612" s="829"/>
      <c r="DU612" s="829"/>
      <c r="DV612" s="829"/>
      <c r="DW612" s="829"/>
      <c r="DX612" s="829"/>
      <c r="DY612" s="829"/>
      <c r="DZ612" s="829"/>
      <c r="EA612" s="829"/>
      <c r="EB612" s="829"/>
      <c r="EC612" s="829"/>
      <c r="ED612" s="829"/>
      <c r="EE612" s="829"/>
      <c r="EF612" s="829"/>
      <c r="EG612" s="829"/>
      <c r="EH612" s="829"/>
      <c r="EI612" s="829"/>
      <c r="EJ612" s="829"/>
      <c r="EK612" s="829"/>
      <c r="EL612" s="829"/>
      <c r="EM612" s="829"/>
      <c r="EN612" s="829"/>
      <c r="EO612" s="829"/>
      <c r="EP612" s="829"/>
      <c r="EQ612" s="829"/>
      <c r="ER612" s="829"/>
      <c r="ES612" s="829"/>
      <c r="ET612" s="829"/>
      <c r="EU612" s="829"/>
      <c r="EV612" s="829"/>
      <c r="EW612" s="829"/>
      <c r="EX612" s="829"/>
      <c r="EY612" s="829"/>
      <c r="EZ612" s="829"/>
      <c r="FA612" s="829"/>
      <c r="FB612" s="829"/>
      <c r="FC612" s="829"/>
      <c r="FD612" s="829"/>
      <c r="FE612" s="829"/>
      <c r="FF612" s="829"/>
      <c r="FG612" s="829"/>
      <c r="FH612" s="829"/>
      <c r="FI612" s="829"/>
      <c r="FJ612" s="829"/>
      <c r="FK612" s="829"/>
      <c r="FL612" s="829"/>
      <c r="FM612" s="829"/>
      <c r="FN612" s="829"/>
      <c r="FO612" s="829"/>
      <c r="FP612" s="829"/>
      <c r="FQ612" s="829"/>
      <c r="FR612" s="829"/>
      <c r="FS612" s="829"/>
      <c r="FT612" s="829"/>
      <c r="FU612" s="829"/>
      <c r="FV612" s="829"/>
      <c r="FW612" s="829"/>
      <c r="FX612" s="829"/>
      <c r="FY612" s="829"/>
      <c r="FZ612" s="829"/>
      <c r="GA612" s="829"/>
      <c r="GB612" s="829"/>
      <c r="GC612" s="829"/>
      <c r="GD612" s="829"/>
      <c r="GE612" s="829"/>
      <c r="GF612" s="829"/>
      <c r="GG612" s="829"/>
      <c r="GH612" s="829"/>
      <c r="GI612" s="829"/>
      <c r="GJ612" s="829"/>
      <c r="GK612" s="829"/>
      <c r="GL612" s="829"/>
      <c r="GM612" s="829"/>
      <c r="GN612" s="829"/>
      <c r="GO612" s="829"/>
      <c r="GP612" s="829"/>
      <c r="GQ612" s="829"/>
      <c r="GR612" s="829"/>
      <c r="GS612" s="829"/>
      <c r="GT612" s="829"/>
      <c r="GU612" s="829"/>
      <c r="GV612" s="829"/>
      <c r="GW612" s="829"/>
      <c r="GX612" s="829"/>
      <c r="GY612" s="829"/>
      <c r="GZ612" s="829"/>
      <c r="HA612" s="829"/>
      <c r="HB612" s="829"/>
      <c r="HC612" s="829"/>
      <c r="HD612" s="829"/>
      <c r="HE612" s="829"/>
      <c r="HF612" s="829"/>
      <c r="HG612" s="829"/>
      <c r="HH612" s="829"/>
      <c r="HI612" s="829"/>
      <c r="HJ612" s="829"/>
      <c r="HK612" s="829"/>
      <c r="HL612" s="829"/>
      <c r="HM612" s="829"/>
      <c r="HN612" s="829"/>
      <c r="HO612" s="829"/>
      <c r="HP612" s="829"/>
      <c r="HQ612" s="829"/>
      <c r="HR612" s="829"/>
      <c r="HS612" s="829"/>
      <c r="HT612" s="829"/>
      <c r="HU612" s="829"/>
      <c r="HV612" s="829"/>
      <c r="HW612" s="829"/>
      <c r="HX612" s="829"/>
      <c r="HY612" s="829"/>
      <c r="HZ612" s="829"/>
      <c r="IA612" s="829"/>
      <c r="IB612" s="829"/>
      <c r="IC612" s="829"/>
      <c r="ID612" s="829"/>
      <c r="IE612" s="829"/>
      <c r="IF612" s="829"/>
      <c r="IG612" s="829"/>
      <c r="IH612" s="829"/>
      <c r="II612" s="829"/>
      <c r="IJ612" s="829"/>
      <c r="IK612" s="829"/>
      <c r="IL612" s="829"/>
      <c r="IM612" s="829"/>
      <c r="IN612" s="829"/>
      <c r="IO612" s="829"/>
      <c r="IP612" s="829"/>
      <c r="IQ612" s="829"/>
    </row>
    <row r="613" spans="1:251" s="841" customFormat="1" ht="15" customHeight="1">
      <c r="A613" s="842" t="s">
        <v>2013</v>
      </c>
      <c r="B613" s="843"/>
      <c r="C613" s="1511" t="s">
        <v>2014</v>
      </c>
      <c r="D613" s="842"/>
      <c r="E613" s="235"/>
      <c r="F613" s="481"/>
      <c r="G613" s="840"/>
      <c r="H613" s="840"/>
      <c r="I613" s="840"/>
      <c r="J613" s="840"/>
      <c r="K613" s="840"/>
      <c r="L613" s="840"/>
      <c r="M613" s="840"/>
      <c r="N613" s="848"/>
      <c r="O613" s="848"/>
      <c r="P613" s="848"/>
      <c r="Q613" s="848"/>
      <c r="R613" s="848"/>
      <c r="S613" s="848"/>
      <c r="T613" s="848"/>
      <c r="U613" s="848"/>
      <c r="V613" s="848"/>
      <c r="W613" s="848"/>
      <c r="X613" s="848"/>
      <c r="Y613" s="848"/>
      <c r="Z613" s="848"/>
      <c r="AA613" s="848"/>
      <c r="AB613" s="848"/>
      <c r="AC613" s="848"/>
      <c r="AD613" s="848"/>
      <c r="AE613" s="848"/>
      <c r="AF613" s="848"/>
      <c r="AG613" s="848"/>
      <c r="AH613" s="848"/>
      <c r="AI613" s="848"/>
      <c r="AJ613" s="848"/>
      <c r="AK613" s="848"/>
      <c r="AL613" s="848"/>
      <c r="AM613" s="848"/>
      <c r="AN613" s="848"/>
      <c r="AO613" s="848"/>
      <c r="AP613" s="848"/>
      <c r="AQ613" s="848"/>
      <c r="AR613" s="848"/>
      <c r="AS613" s="848"/>
      <c r="AT613" s="848"/>
      <c r="AU613" s="848"/>
      <c r="AV613" s="848"/>
      <c r="AW613" s="848"/>
      <c r="AX613" s="848"/>
      <c r="AY613" s="848"/>
      <c r="AZ613" s="848"/>
      <c r="BA613" s="848"/>
      <c r="BB613" s="848"/>
      <c r="BC613" s="848"/>
      <c r="BD613" s="848"/>
      <c r="BE613" s="848"/>
      <c r="BF613" s="848"/>
      <c r="BG613" s="848"/>
      <c r="BH613" s="848"/>
    </row>
    <row r="614" spans="1:251" s="857" customFormat="1" ht="15" customHeight="1">
      <c r="A614" s="849" t="s">
        <v>2015</v>
      </c>
      <c r="B614" s="850"/>
      <c r="C614" s="1512"/>
      <c r="D614" s="851"/>
      <c r="E614" s="286"/>
      <c r="F614" s="482"/>
      <c r="G614" s="855"/>
      <c r="H614" s="855"/>
      <c r="I614" s="855"/>
      <c r="J614" s="855"/>
      <c r="K614" s="855"/>
      <c r="L614" s="855"/>
      <c r="M614" s="855"/>
      <c r="N614" s="856"/>
      <c r="O614" s="856"/>
      <c r="P614" s="856"/>
      <c r="Q614" s="856"/>
      <c r="R614" s="856"/>
      <c r="S614" s="856"/>
      <c r="T614" s="856"/>
      <c r="U614" s="856"/>
      <c r="V614" s="856"/>
      <c r="W614" s="856"/>
      <c r="X614" s="856"/>
      <c r="Y614" s="856"/>
      <c r="Z614" s="856"/>
      <c r="AA614" s="856"/>
      <c r="AB614" s="856"/>
      <c r="AC614" s="856"/>
      <c r="AD614" s="856"/>
      <c r="AE614" s="856"/>
      <c r="AF614" s="856"/>
      <c r="AG614" s="856"/>
      <c r="AH614" s="856"/>
      <c r="AI614" s="856"/>
      <c r="AJ614" s="856"/>
      <c r="AK614" s="856"/>
      <c r="AL614" s="856"/>
      <c r="AM614" s="856"/>
      <c r="AN614" s="856"/>
      <c r="AO614" s="856"/>
      <c r="AP614" s="856"/>
      <c r="AQ614" s="856"/>
      <c r="AR614" s="856"/>
      <c r="AS614" s="856"/>
      <c r="AT614" s="856"/>
      <c r="AU614" s="856"/>
      <c r="AV614" s="856"/>
      <c r="AW614" s="856"/>
      <c r="AX614" s="856"/>
      <c r="AY614" s="856"/>
      <c r="AZ614" s="856"/>
      <c r="BA614" s="856"/>
      <c r="BB614" s="856"/>
      <c r="BC614" s="856"/>
      <c r="BD614" s="856"/>
      <c r="BE614" s="856"/>
      <c r="BF614" s="856"/>
      <c r="BG614" s="856"/>
      <c r="BH614" s="856"/>
    </row>
    <row r="615" spans="1:251" s="860" customFormat="1">
      <c r="A615" s="858" t="s">
        <v>512</v>
      </c>
      <c r="B615" s="859" t="s">
        <v>513</v>
      </c>
      <c r="C615" s="201" t="s">
        <v>514</v>
      </c>
      <c r="D615" s="858" t="s">
        <v>515</v>
      </c>
      <c r="E615" s="202" t="s">
        <v>516</v>
      </c>
      <c r="F615" s="203" t="s">
        <v>1670</v>
      </c>
      <c r="G615" s="841"/>
      <c r="N615" s="861"/>
      <c r="O615" s="861"/>
      <c r="P615" s="861"/>
      <c r="Q615" s="861"/>
      <c r="R615" s="861"/>
      <c r="S615" s="861"/>
      <c r="T615" s="861"/>
      <c r="U615" s="861"/>
      <c r="V615" s="861"/>
      <c r="W615" s="861"/>
      <c r="X615" s="861"/>
      <c r="Y615" s="861"/>
      <c r="Z615" s="861"/>
      <c r="AA615" s="861"/>
      <c r="AB615" s="861"/>
      <c r="AC615" s="861"/>
      <c r="AD615" s="861"/>
      <c r="AE615" s="861"/>
      <c r="AF615" s="861"/>
      <c r="AG615" s="861"/>
      <c r="AH615" s="861"/>
      <c r="AI615" s="861"/>
      <c r="AJ615" s="861"/>
      <c r="AK615" s="861"/>
      <c r="AL615" s="861"/>
      <c r="AM615" s="861"/>
      <c r="AN615" s="861"/>
      <c r="AO615" s="861"/>
      <c r="AP615" s="861"/>
      <c r="AQ615" s="861"/>
      <c r="AR615" s="861"/>
      <c r="AS615" s="861"/>
      <c r="AT615" s="861"/>
      <c r="AU615" s="861"/>
      <c r="AV615" s="861"/>
      <c r="AW615" s="861"/>
      <c r="AX615" s="861"/>
      <c r="AY615" s="861"/>
      <c r="AZ615" s="861"/>
      <c r="BA615" s="861"/>
      <c r="BB615" s="861"/>
      <c r="BC615" s="861"/>
      <c r="BD615" s="861"/>
      <c r="BE615" s="861"/>
      <c r="BF615" s="861"/>
      <c r="BG615" s="861"/>
      <c r="BH615" s="861"/>
    </row>
    <row r="616" spans="1:251" ht="14.1" customHeight="1">
      <c r="A616" s="862"/>
      <c r="B616" s="863"/>
      <c r="C616" s="864" t="s">
        <v>2016</v>
      </c>
      <c r="D616" s="865"/>
      <c r="E616" s="450"/>
      <c r="F616" s="483"/>
    </row>
    <row r="617" spans="1:251" ht="14.1" customHeight="1">
      <c r="A617" s="903"/>
      <c r="B617" s="899" t="s">
        <v>2017</v>
      </c>
      <c r="C617" s="914" t="s">
        <v>2018</v>
      </c>
      <c r="D617" s="870"/>
      <c r="E617" s="506">
        <f>'[4]COSTO CDMX,QRO,GDL '!I613</f>
        <v>2850</v>
      </c>
      <c r="F617" s="217" t="s">
        <v>284</v>
      </c>
    </row>
    <row r="618" spans="1:251" ht="14.1" customHeight="1">
      <c r="A618" s="888"/>
      <c r="B618" s="889"/>
      <c r="C618" s="915" t="s">
        <v>2019</v>
      </c>
      <c r="D618" s="874"/>
      <c r="E618" s="380"/>
      <c r="F618" s="284"/>
    </row>
    <row r="619" spans="1:251" ht="14.1" customHeight="1">
      <c r="A619" s="888"/>
      <c r="B619" s="889"/>
      <c r="C619" s="915" t="s">
        <v>2020</v>
      </c>
      <c r="D619" s="874"/>
      <c r="E619" s="380"/>
      <c r="F619" s="284"/>
    </row>
    <row r="620" spans="1:251" ht="14.1" customHeight="1">
      <c r="A620" s="888"/>
      <c r="B620" s="889"/>
      <c r="C620" s="920"/>
      <c r="D620" s="874"/>
      <c r="E620" s="380"/>
      <c r="F620" s="284"/>
    </row>
    <row r="621" spans="1:251" ht="14.1" customHeight="1">
      <c r="A621" s="888"/>
      <c r="B621" s="889"/>
      <c r="C621" s="950"/>
      <c r="D621" s="874"/>
      <c r="E621" s="380"/>
      <c r="F621" s="284"/>
    </row>
    <row r="622" spans="1:251" ht="14.1" customHeight="1">
      <c r="A622" s="888"/>
      <c r="B622" s="889"/>
      <c r="C622" s="915"/>
      <c r="D622" s="874"/>
      <c r="E622" s="380"/>
      <c r="F622" s="284"/>
    </row>
    <row r="623" spans="1:251" ht="14.1" customHeight="1">
      <c r="A623" s="888"/>
      <c r="B623" s="889"/>
      <c r="C623" s="950"/>
      <c r="D623" s="874"/>
      <c r="E623" s="380"/>
      <c r="F623" s="284"/>
    </row>
    <row r="624" spans="1:251" ht="14.1" customHeight="1">
      <c r="A624" s="888"/>
      <c r="B624" s="889"/>
      <c r="C624" s="950"/>
      <c r="D624" s="874"/>
      <c r="E624" s="380"/>
      <c r="F624" s="284"/>
    </row>
    <row r="625" spans="1:6" ht="14.1" customHeight="1">
      <c r="A625" s="888"/>
      <c r="B625" s="919"/>
      <c r="C625" s="920"/>
      <c r="D625" s="906"/>
      <c r="E625" s="380"/>
      <c r="F625" s="284"/>
    </row>
    <row r="626" spans="1:6" ht="14.1" customHeight="1">
      <c r="A626" s="888"/>
      <c r="B626" s="889" t="s">
        <v>2021</v>
      </c>
      <c r="C626" s="915" t="s">
        <v>2022</v>
      </c>
      <c r="D626" s="874"/>
      <c r="E626" s="360">
        <f>'[4]COSTO CDMX,QRO,GDL '!I622</f>
        <v>5130</v>
      </c>
      <c r="F626" s="217" t="s">
        <v>284</v>
      </c>
    </row>
    <row r="627" spans="1:6" ht="14.1" customHeight="1">
      <c r="A627" s="888"/>
      <c r="B627" s="889"/>
      <c r="C627" s="915" t="s">
        <v>2019</v>
      </c>
      <c r="D627" s="874"/>
      <c r="E627" s="380"/>
      <c r="F627" s="284"/>
    </row>
    <row r="628" spans="1:6" ht="14.1" customHeight="1">
      <c r="A628" s="888"/>
      <c r="B628" s="889"/>
      <c r="C628" s="915" t="s">
        <v>2020</v>
      </c>
      <c r="D628" s="874"/>
      <c r="E628" s="380"/>
      <c r="F628" s="284"/>
    </row>
    <row r="629" spans="1:6" ht="14.1" customHeight="1">
      <c r="A629" s="888"/>
      <c r="B629" s="889"/>
      <c r="C629" s="950"/>
      <c r="D629" s="874"/>
      <c r="E629" s="380"/>
      <c r="F629" s="507"/>
    </row>
    <row r="630" spans="1:6" ht="14.1" customHeight="1">
      <c r="A630" s="888"/>
      <c r="B630" s="889"/>
      <c r="C630" s="950"/>
      <c r="D630" s="874"/>
      <c r="E630" s="380"/>
      <c r="F630" s="507"/>
    </row>
    <row r="631" spans="1:6" ht="14.1" customHeight="1">
      <c r="A631" s="888"/>
      <c r="B631" s="889"/>
      <c r="C631" s="950"/>
      <c r="D631" s="874"/>
      <c r="E631" s="380"/>
      <c r="F631" s="507"/>
    </row>
    <row r="632" spans="1:6" ht="14.1" customHeight="1">
      <c r="A632" s="888"/>
      <c r="B632" s="889"/>
      <c r="C632" s="950"/>
      <c r="D632" s="874"/>
      <c r="E632" s="380"/>
      <c r="F632" s="507"/>
    </row>
    <row r="633" spans="1:6" ht="14.1" customHeight="1">
      <c r="A633" s="908"/>
      <c r="B633" s="901"/>
      <c r="C633" s="910"/>
      <c r="D633" s="902"/>
      <c r="E633" s="508"/>
      <c r="F633" s="509"/>
    </row>
    <row r="634" spans="1:6">
      <c r="A634" s="829"/>
      <c r="B634" s="951"/>
      <c r="C634" s="879"/>
      <c r="D634" s="829"/>
      <c r="E634" s="511"/>
      <c r="F634" s="512"/>
    </row>
    <row r="635" spans="1:6">
      <c r="A635" s="829"/>
      <c r="B635" s="951"/>
      <c r="C635" s="879"/>
      <c r="D635" s="829"/>
      <c r="E635" s="511"/>
      <c r="F635" s="512"/>
    </row>
    <row r="636" spans="1:6">
      <c r="A636" s="829"/>
      <c r="B636" s="951"/>
      <c r="C636" s="879"/>
      <c r="D636" s="829"/>
      <c r="E636" s="511"/>
      <c r="F636" s="512"/>
    </row>
    <row r="637" spans="1:6">
      <c r="A637" s="829"/>
      <c r="B637" s="951"/>
      <c r="C637" s="879"/>
      <c r="D637" s="829"/>
      <c r="E637" s="511"/>
      <c r="F637" s="512"/>
    </row>
    <row r="638" spans="1:6">
      <c r="A638" s="829"/>
      <c r="B638" s="951"/>
      <c r="C638" s="879"/>
      <c r="D638" s="829"/>
      <c r="E638" s="511"/>
      <c r="F638" s="512"/>
    </row>
    <row r="639" spans="1:6">
      <c r="A639" s="829"/>
      <c r="B639" s="951"/>
      <c r="C639" s="879"/>
      <c r="D639" s="829"/>
      <c r="E639" s="511"/>
      <c r="F639" s="512"/>
    </row>
    <row r="640" spans="1:6">
      <c r="A640" s="829"/>
      <c r="B640" s="951"/>
      <c r="C640" s="879"/>
      <c r="D640" s="829"/>
      <c r="E640" s="511"/>
      <c r="F640" s="512"/>
    </row>
    <row r="641" spans="1:6">
      <c r="A641" s="829"/>
      <c r="B641" s="951"/>
      <c r="C641" s="879"/>
      <c r="D641" s="829"/>
      <c r="E641" s="511"/>
      <c r="F641" s="512"/>
    </row>
    <row r="642" spans="1:6">
      <c r="A642" s="829"/>
      <c r="B642" s="951"/>
      <c r="C642" s="879"/>
      <c r="D642" s="829"/>
      <c r="E642" s="511"/>
      <c r="F642" s="512"/>
    </row>
    <row r="643" spans="1:6">
      <c r="A643" s="829"/>
      <c r="B643" s="951"/>
      <c r="C643" s="879"/>
      <c r="D643" s="829"/>
      <c r="E643" s="511"/>
      <c r="F643" s="512"/>
    </row>
    <row r="644" spans="1:6">
      <c r="A644" s="829"/>
      <c r="B644" s="951"/>
      <c r="C644" s="879"/>
      <c r="D644" s="829"/>
      <c r="E644" s="511"/>
      <c r="F644" s="512"/>
    </row>
    <row r="645" spans="1:6">
      <c r="A645" s="829"/>
      <c r="B645" s="951"/>
      <c r="C645" s="879"/>
      <c r="D645" s="829"/>
      <c r="E645" s="511"/>
      <c r="F645" s="512"/>
    </row>
    <row r="646" spans="1:6">
      <c r="A646" s="829"/>
      <c r="B646" s="951"/>
      <c r="C646" s="879"/>
      <c r="D646" s="829"/>
      <c r="E646" s="511"/>
      <c r="F646" s="512"/>
    </row>
    <row r="647" spans="1:6">
      <c r="A647" s="829"/>
      <c r="B647" s="951"/>
      <c r="C647" s="879"/>
      <c r="D647" s="829"/>
      <c r="E647" s="511"/>
      <c r="F647" s="512"/>
    </row>
    <row r="648" spans="1:6">
      <c r="A648" s="829"/>
      <c r="B648" s="951"/>
      <c r="C648" s="879"/>
      <c r="D648" s="829"/>
      <c r="E648" s="511"/>
      <c r="F648" s="512"/>
    </row>
    <row r="649" spans="1:6">
      <c r="A649" s="829"/>
      <c r="B649" s="951"/>
      <c r="C649" s="879"/>
      <c r="D649" s="829"/>
      <c r="E649" s="511"/>
      <c r="F649" s="512"/>
    </row>
    <row r="650" spans="1:6">
      <c r="A650" s="829"/>
      <c r="B650" s="951"/>
      <c r="C650" s="879"/>
      <c r="D650" s="829"/>
      <c r="E650" s="511"/>
      <c r="F650" s="512"/>
    </row>
    <row r="651" spans="1:6">
      <c r="A651" s="829"/>
      <c r="B651" s="951"/>
      <c r="C651" s="879"/>
      <c r="D651" s="829"/>
      <c r="E651" s="511"/>
      <c r="F651" s="512"/>
    </row>
    <row r="652" spans="1:6">
      <c r="A652" s="829"/>
      <c r="B652" s="951"/>
      <c r="C652" s="879"/>
      <c r="D652" s="829"/>
      <c r="E652" s="511"/>
      <c r="F652" s="512"/>
    </row>
    <row r="653" spans="1:6">
      <c r="A653" s="829"/>
      <c r="B653" s="951"/>
      <c r="C653" s="879"/>
      <c r="D653" s="829"/>
      <c r="E653" s="511"/>
      <c r="F653" s="512"/>
    </row>
    <row r="654" spans="1:6">
      <c r="A654" s="829"/>
      <c r="B654" s="951"/>
      <c r="C654" s="879"/>
      <c r="D654" s="829"/>
      <c r="E654" s="511"/>
      <c r="F654" s="512"/>
    </row>
    <row r="655" spans="1:6">
      <c r="A655" s="829"/>
      <c r="B655" s="951"/>
      <c r="C655" s="879"/>
      <c r="D655" s="829"/>
      <c r="E655" s="511"/>
      <c r="F655" s="512"/>
    </row>
    <row r="656" spans="1:6">
      <c r="A656" s="829"/>
      <c r="B656" s="951"/>
      <c r="C656" s="879"/>
      <c r="D656" s="829"/>
      <c r="E656" s="511"/>
      <c r="F656" s="512"/>
    </row>
    <row r="657" spans="1:6">
      <c r="A657" s="829"/>
      <c r="B657" s="951"/>
      <c r="C657" s="879"/>
      <c r="D657" s="829"/>
      <c r="E657" s="511"/>
      <c r="F657" s="512"/>
    </row>
    <row r="658" spans="1:6">
      <c r="A658" s="829"/>
      <c r="B658" s="951"/>
      <c r="C658" s="879"/>
      <c r="D658" s="829"/>
      <c r="E658" s="511"/>
      <c r="F658" s="512"/>
    </row>
    <row r="659" spans="1:6">
      <c r="A659" s="829"/>
      <c r="B659" s="951"/>
      <c r="C659" s="879"/>
      <c r="D659" s="829"/>
      <c r="E659" s="511"/>
      <c r="F659" s="512"/>
    </row>
    <row r="660" spans="1:6">
      <c r="A660" s="829"/>
      <c r="B660" s="951"/>
      <c r="C660" s="879"/>
      <c r="D660" s="829"/>
      <c r="E660" s="511"/>
      <c r="F660" s="512"/>
    </row>
    <row r="661" spans="1:6">
      <c r="A661" s="829"/>
      <c r="B661" s="951"/>
      <c r="C661" s="879"/>
      <c r="D661" s="829"/>
      <c r="E661" s="511"/>
      <c r="F661" s="512"/>
    </row>
    <row r="662" spans="1:6">
      <c r="A662" s="829"/>
      <c r="B662" s="951"/>
      <c r="C662" s="879"/>
      <c r="D662" s="829"/>
      <c r="E662" s="511"/>
      <c r="F662" s="512"/>
    </row>
    <row r="663" spans="1:6">
      <c r="A663" s="829"/>
      <c r="B663" s="951"/>
      <c r="C663" s="879"/>
      <c r="D663" s="829"/>
      <c r="E663" s="511"/>
      <c r="F663" s="512"/>
    </row>
    <row r="664" spans="1:6">
      <c r="A664" s="829"/>
      <c r="B664" s="951"/>
      <c r="C664" s="879"/>
      <c r="D664" s="829"/>
      <c r="E664" s="511"/>
      <c r="F664" s="512"/>
    </row>
    <row r="665" spans="1:6">
      <c r="A665" s="829"/>
      <c r="B665" s="951"/>
      <c r="C665" s="879"/>
      <c r="D665" s="829"/>
      <c r="E665" s="511"/>
      <c r="F665" s="512"/>
    </row>
    <row r="666" spans="1:6">
      <c r="A666" s="829"/>
      <c r="B666" s="951"/>
      <c r="C666" s="879"/>
      <c r="D666" s="829"/>
      <c r="E666" s="511"/>
      <c r="F666" s="512"/>
    </row>
    <row r="667" spans="1:6">
      <c r="A667" s="829"/>
      <c r="B667" s="951"/>
      <c r="C667" s="879"/>
      <c r="D667" s="829"/>
      <c r="E667" s="511"/>
      <c r="F667" s="512"/>
    </row>
    <row r="668" spans="1:6">
      <c r="A668" s="829"/>
      <c r="B668" s="951"/>
      <c r="C668" s="879"/>
      <c r="D668" s="829"/>
      <c r="E668" s="511"/>
      <c r="F668" s="512"/>
    </row>
    <row r="669" spans="1:6">
      <c r="A669" s="829"/>
      <c r="B669" s="951"/>
      <c r="C669" s="879"/>
      <c r="D669" s="829"/>
      <c r="E669" s="511"/>
      <c r="F669" s="512"/>
    </row>
    <row r="670" spans="1:6">
      <c r="A670" s="829"/>
      <c r="B670" s="951"/>
      <c r="C670" s="879"/>
      <c r="D670" s="829"/>
      <c r="E670" s="511"/>
      <c r="F670" s="512"/>
    </row>
    <row r="671" spans="1:6">
      <c r="A671" s="829"/>
      <c r="B671" s="951"/>
      <c r="C671" s="879"/>
      <c r="D671" s="829"/>
      <c r="E671" s="511"/>
      <c r="F671" s="512"/>
    </row>
    <row r="672" spans="1:6">
      <c r="A672" s="829"/>
      <c r="B672" s="951"/>
      <c r="C672" s="879"/>
      <c r="D672" s="829"/>
      <c r="E672" s="511"/>
      <c r="F672" s="512"/>
    </row>
    <row r="673" spans="1:6">
      <c r="A673" s="829"/>
      <c r="B673" s="951"/>
      <c r="C673" s="879"/>
      <c r="D673" s="829"/>
      <c r="E673" s="511"/>
      <c r="F673" s="512"/>
    </row>
    <row r="674" spans="1:6">
      <c r="A674" s="829"/>
      <c r="B674" s="951"/>
      <c r="C674" s="879"/>
      <c r="D674" s="829"/>
      <c r="E674" s="511"/>
      <c r="F674" s="512"/>
    </row>
    <row r="675" spans="1:6">
      <c r="A675" s="829"/>
      <c r="B675" s="951"/>
      <c r="C675" s="879"/>
      <c r="D675" s="829"/>
      <c r="E675" s="511"/>
      <c r="F675" s="512"/>
    </row>
    <row r="676" spans="1:6">
      <c r="A676" s="829"/>
      <c r="B676" s="951"/>
      <c r="C676" s="879"/>
      <c r="D676" s="829"/>
      <c r="E676" s="511"/>
      <c r="F676" s="512"/>
    </row>
    <row r="677" spans="1:6">
      <c r="A677" s="829"/>
      <c r="B677" s="951"/>
      <c r="C677" s="879"/>
      <c r="D677" s="829"/>
      <c r="E677" s="511"/>
      <c r="F677" s="512"/>
    </row>
    <row r="678" spans="1:6">
      <c r="A678" s="829"/>
      <c r="B678" s="951"/>
      <c r="C678" s="879"/>
      <c r="D678" s="829"/>
      <c r="E678" s="511"/>
      <c r="F678" s="512"/>
    </row>
    <row r="679" spans="1:6">
      <c r="A679" s="829"/>
      <c r="B679" s="951"/>
      <c r="C679" s="879"/>
      <c r="D679" s="829"/>
      <c r="E679" s="511"/>
      <c r="F679" s="512"/>
    </row>
    <row r="680" spans="1:6">
      <c r="A680" s="829"/>
      <c r="B680" s="951"/>
      <c r="C680" s="879"/>
      <c r="D680" s="829"/>
      <c r="E680" s="511"/>
      <c r="F680" s="512"/>
    </row>
    <row r="681" spans="1:6">
      <c r="A681" s="829"/>
      <c r="B681" s="951"/>
      <c r="C681" s="879"/>
      <c r="D681" s="829"/>
      <c r="E681" s="511"/>
      <c r="F681" s="512"/>
    </row>
    <row r="682" spans="1:6">
      <c r="A682" s="829"/>
      <c r="B682" s="951"/>
      <c r="C682" s="879"/>
      <c r="D682" s="829"/>
      <c r="E682" s="511"/>
      <c r="F682" s="512"/>
    </row>
    <row r="683" spans="1:6">
      <c r="A683" s="829"/>
      <c r="B683" s="951"/>
      <c r="C683" s="879"/>
      <c r="D683" s="829"/>
      <c r="E683" s="511"/>
      <c r="F683" s="512"/>
    </row>
    <row r="684" spans="1:6">
      <c r="A684" s="829"/>
      <c r="B684" s="951"/>
      <c r="C684" s="879"/>
      <c r="D684" s="829"/>
      <c r="E684" s="511"/>
      <c r="F684" s="512"/>
    </row>
    <row r="685" spans="1:6">
      <c r="A685" s="829"/>
      <c r="B685" s="951"/>
      <c r="C685" s="879"/>
      <c r="D685" s="829"/>
      <c r="E685" s="511"/>
      <c r="F685" s="512"/>
    </row>
    <row r="686" spans="1:6">
      <c r="A686" s="829"/>
      <c r="B686" s="951"/>
      <c r="C686" s="879"/>
      <c r="D686" s="829"/>
      <c r="E686" s="511"/>
      <c r="F686" s="512"/>
    </row>
    <row r="687" spans="1:6">
      <c r="A687" s="829"/>
      <c r="B687" s="951"/>
      <c r="C687" s="879"/>
      <c r="D687" s="829"/>
      <c r="E687" s="511"/>
      <c r="F687" s="512"/>
    </row>
    <row r="688" spans="1:6">
      <c r="A688" s="829"/>
      <c r="B688" s="951"/>
      <c r="C688" s="879"/>
      <c r="D688" s="829"/>
      <c r="E688" s="511"/>
      <c r="F688" s="512"/>
    </row>
    <row r="689" spans="1:6">
      <c r="A689" s="829"/>
      <c r="B689" s="951"/>
      <c r="C689" s="879"/>
      <c r="D689" s="829"/>
      <c r="E689" s="511"/>
      <c r="F689" s="512"/>
    </row>
    <row r="690" spans="1:6">
      <c r="A690" s="829"/>
      <c r="B690" s="951"/>
      <c r="C690" s="879"/>
      <c r="D690" s="829"/>
      <c r="E690" s="511"/>
      <c r="F690" s="512"/>
    </row>
    <row r="691" spans="1:6">
      <c r="A691" s="829"/>
      <c r="B691" s="951"/>
      <c r="C691" s="879"/>
      <c r="D691" s="829"/>
      <c r="E691" s="511"/>
      <c r="F691" s="512"/>
    </row>
    <row r="692" spans="1:6">
      <c r="A692" s="829"/>
      <c r="B692" s="951"/>
      <c r="C692" s="879"/>
      <c r="D692" s="829"/>
      <c r="E692" s="511"/>
      <c r="F692" s="512"/>
    </row>
    <row r="693" spans="1:6">
      <c r="A693" s="829"/>
      <c r="B693" s="951"/>
      <c r="C693" s="879"/>
      <c r="D693" s="829"/>
      <c r="E693" s="511"/>
      <c r="F693" s="512"/>
    </row>
    <row r="694" spans="1:6">
      <c r="A694" s="829"/>
      <c r="B694" s="951"/>
      <c r="C694" s="879"/>
      <c r="D694" s="829"/>
      <c r="E694" s="511"/>
      <c r="F694" s="512"/>
    </row>
    <row r="695" spans="1:6">
      <c r="A695" s="829"/>
      <c r="B695" s="951"/>
      <c r="C695" s="879"/>
      <c r="D695" s="829"/>
      <c r="E695" s="511"/>
      <c r="F695" s="512"/>
    </row>
    <row r="696" spans="1:6">
      <c r="A696" s="829"/>
      <c r="B696" s="951"/>
      <c r="C696" s="879"/>
      <c r="D696" s="829"/>
      <c r="E696" s="511"/>
      <c r="F696" s="512"/>
    </row>
    <row r="697" spans="1:6">
      <c r="A697" s="829"/>
      <c r="B697" s="951"/>
      <c r="C697" s="879"/>
      <c r="D697" s="829"/>
      <c r="E697" s="511"/>
      <c r="F697" s="512"/>
    </row>
    <row r="698" spans="1:6">
      <c r="A698" s="829"/>
      <c r="B698" s="951"/>
      <c r="C698" s="879"/>
      <c r="D698" s="829"/>
      <c r="E698" s="511"/>
      <c r="F698" s="512"/>
    </row>
    <row r="699" spans="1:6">
      <c r="A699" s="829"/>
      <c r="B699" s="951"/>
      <c r="C699" s="879"/>
      <c r="D699" s="829"/>
      <c r="E699" s="511"/>
      <c r="F699" s="512"/>
    </row>
    <row r="700" spans="1:6">
      <c r="A700" s="829"/>
      <c r="B700" s="951"/>
      <c r="C700" s="879"/>
      <c r="D700" s="829"/>
      <c r="E700" s="511"/>
      <c r="F700" s="512"/>
    </row>
    <row r="701" spans="1:6">
      <c r="A701" s="829"/>
      <c r="B701" s="951"/>
      <c r="C701" s="879"/>
      <c r="D701" s="829"/>
      <c r="E701" s="511"/>
      <c r="F701" s="512"/>
    </row>
    <row r="702" spans="1:6">
      <c r="A702" s="829"/>
      <c r="B702" s="951"/>
      <c r="C702" s="879"/>
      <c r="D702" s="829"/>
      <c r="E702" s="511"/>
      <c r="F702" s="512"/>
    </row>
    <row r="703" spans="1:6">
      <c r="A703" s="829"/>
      <c r="B703" s="951"/>
      <c r="C703" s="879"/>
      <c r="D703" s="829"/>
      <c r="E703" s="511"/>
      <c r="F703" s="512"/>
    </row>
    <row r="704" spans="1:6">
      <c r="A704" s="829"/>
      <c r="B704" s="951"/>
      <c r="C704" s="879"/>
      <c r="D704" s="829"/>
      <c r="E704" s="511"/>
      <c r="F704" s="512"/>
    </row>
    <row r="705" spans="1:6">
      <c r="A705" s="829"/>
      <c r="B705" s="951"/>
      <c r="C705" s="879"/>
      <c r="D705" s="829"/>
      <c r="E705" s="511"/>
      <c r="F705" s="512"/>
    </row>
    <row r="706" spans="1:6">
      <c r="A706" s="829"/>
      <c r="B706" s="951"/>
      <c r="C706" s="879"/>
      <c r="D706" s="829"/>
      <c r="E706" s="511"/>
      <c r="F706" s="512"/>
    </row>
    <row r="707" spans="1:6">
      <c r="A707" s="829"/>
      <c r="B707" s="951"/>
      <c r="C707" s="879"/>
      <c r="D707" s="829"/>
      <c r="E707" s="511"/>
      <c r="F707" s="512"/>
    </row>
    <row r="708" spans="1:6">
      <c r="A708" s="829"/>
      <c r="B708" s="951"/>
      <c r="C708" s="879"/>
      <c r="D708" s="829"/>
      <c r="E708" s="511"/>
      <c r="F708" s="512"/>
    </row>
    <row r="709" spans="1:6">
      <c r="A709" s="829"/>
      <c r="B709" s="951"/>
      <c r="C709" s="879"/>
      <c r="D709" s="829"/>
      <c r="E709" s="511"/>
      <c r="F709" s="512"/>
    </row>
    <row r="710" spans="1:6">
      <c r="A710" s="829"/>
      <c r="B710" s="951"/>
      <c r="C710" s="879"/>
      <c r="D710" s="829"/>
      <c r="E710" s="511"/>
      <c r="F710" s="512"/>
    </row>
    <row r="711" spans="1:6">
      <c r="A711" s="829"/>
      <c r="B711" s="951"/>
      <c r="C711" s="879"/>
      <c r="D711" s="829"/>
      <c r="E711" s="511"/>
      <c r="F711" s="512"/>
    </row>
    <row r="712" spans="1:6">
      <c r="A712" s="829"/>
      <c r="B712" s="951"/>
      <c r="C712" s="879"/>
      <c r="D712" s="829"/>
      <c r="E712" s="511"/>
      <c r="F712" s="512"/>
    </row>
    <row r="713" spans="1:6">
      <c r="A713" s="829"/>
      <c r="B713" s="951"/>
      <c r="C713" s="879"/>
      <c r="D713" s="829"/>
      <c r="E713" s="511"/>
      <c r="F713" s="512"/>
    </row>
    <row r="714" spans="1:6">
      <c r="A714" s="829"/>
      <c r="B714" s="951"/>
      <c r="C714" s="879"/>
      <c r="D714" s="829"/>
      <c r="E714" s="511"/>
      <c r="F714" s="512"/>
    </row>
    <row r="715" spans="1:6">
      <c r="A715" s="829"/>
      <c r="B715" s="951"/>
      <c r="C715" s="879"/>
      <c r="D715" s="829"/>
      <c r="E715" s="511"/>
      <c r="F715" s="512"/>
    </row>
    <row r="716" spans="1:6">
      <c r="A716" s="829"/>
      <c r="B716" s="951"/>
      <c r="C716" s="879"/>
      <c r="D716" s="829"/>
      <c r="E716" s="511"/>
      <c r="F716" s="512"/>
    </row>
    <row r="717" spans="1:6">
      <c r="A717" s="829"/>
      <c r="B717" s="951"/>
      <c r="C717" s="879"/>
      <c r="D717" s="829"/>
      <c r="E717" s="511"/>
      <c r="F717" s="512"/>
    </row>
    <row r="718" spans="1:6">
      <c r="A718" s="829"/>
      <c r="B718" s="951"/>
      <c r="C718" s="879"/>
      <c r="D718" s="829"/>
      <c r="E718" s="511"/>
      <c r="F718" s="512"/>
    </row>
    <row r="719" spans="1:6">
      <c r="A719" s="829"/>
      <c r="B719" s="951"/>
      <c r="C719" s="879"/>
      <c r="D719" s="829"/>
      <c r="E719" s="511"/>
      <c r="F719" s="512"/>
    </row>
    <row r="720" spans="1:6">
      <c r="A720" s="829"/>
      <c r="B720" s="951"/>
      <c r="C720" s="879"/>
      <c r="D720" s="829"/>
      <c r="E720" s="511"/>
      <c r="F720" s="512"/>
    </row>
    <row r="721" spans="1:6">
      <c r="A721" s="829"/>
      <c r="B721" s="951"/>
      <c r="C721" s="879"/>
      <c r="D721" s="829"/>
      <c r="E721" s="511"/>
      <c r="F721" s="512"/>
    </row>
    <row r="722" spans="1:6">
      <c r="A722" s="829"/>
      <c r="B722" s="951"/>
      <c r="C722" s="879"/>
      <c r="D722" s="829"/>
      <c r="E722" s="511"/>
      <c r="F722" s="512"/>
    </row>
    <row r="723" spans="1:6">
      <c r="A723" s="829"/>
      <c r="B723" s="951"/>
      <c r="C723" s="879"/>
      <c r="D723" s="829"/>
      <c r="E723" s="511"/>
      <c r="F723" s="512"/>
    </row>
    <row r="724" spans="1:6">
      <c r="A724" s="829"/>
      <c r="B724" s="951"/>
      <c r="C724" s="879"/>
      <c r="D724" s="829"/>
      <c r="E724" s="511"/>
      <c r="F724" s="512"/>
    </row>
    <row r="725" spans="1:6">
      <c r="A725" s="829"/>
      <c r="B725" s="951"/>
      <c r="C725" s="879"/>
      <c r="D725" s="829"/>
      <c r="E725" s="511"/>
      <c r="F725" s="512"/>
    </row>
    <row r="726" spans="1:6">
      <c r="A726" s="829"/>
      <c r="B726" s="951"/>
      <c r="C726" s="879"/>
      <c r="D726" s="829"/>
      <c r="E726" s="511"/>
      <c r="F726" s="512"/>
    </row>
  </sheetData>
  <mergeCells count="19">
    <mergeCell ref="A5:B5"/>
    <mergeCell ref="E5:F5"/>
    <mergeCell ref="C327:C328"/>
    <mergeCell ref="D1:F1"/>
    <mergeCell ref="D2:F2"/>
    <mergeCell ref="D3:F3"/>
    <mergeCell ref="D4:F4"/>
    <mergeCell ref="C6:C7"/>
    <mergeCell ref="C19:C20"/>
    <mergeCell ref="C103:C104"/>
    <mergeCell ref="C202:C203"/>
    <mergeCell ref="C267:C268"/>
    <mergeCell ref="C613:C614"/>
    <mergeCell ref="C426:C427"/>
    <mergeCell ref="C480:C481"/>
    <mergeCell ref="C484:C485"/>
    <mergeCell ref="C488:C489"/>
    <mergeCell ref="C492:C493"/>
    <mergeCell ref="C526:C527"/>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defaultColWidth="10.85546875" defaultRowHeight="14.1"/>
  <cols>
    <col min="1" max="1" width="42.42578125" style="170" customWidth="1"/>
    <col min="2" max="2" width="17.28515625" style="513" bestFit="1" customWidth="1"/>
    <col min="3" max="3" width="98.85546875" style="297" customWidth="1"/>
    <col min="4" max="4" width="17.85546875" style="170" customWidth="1"/>
    <col min="5" max="5" width="15.42578125" style="330" customWidth="1"/>
    <col min="6" max="6" width="13.140625" style="514" customWidth="1"/>
    <col min="7" max="8" width="12" style="170" bestFit="1" customWidth="1"/>
    <col min="9" max="13" width="10.85546875" style="170"/>
    <col min="14" max="60" width="10.85546875" style="171"/>
    <col min="61" max="16384" width="10.85546875" style="170"/>
  </cols>
  <sheetData>
    <row r="1" spans="1:60" ht="15" customHeight="1">
      <c r="A1" s="167"/>
      <c r="B1" s="168"/>
      <c r="C1" s="169"/>
      <c r="D1" s="1516" t="s">
        <v>2023</v>
      </c>
      <c r="E1" s="1516"/>
      <c r="F1" s="1517"/>
    </row>
    <row r="2" spans="1:60" s="176" customFormat="1" ht="27.75" customHeight="1">
      <c r="A2" s="172"/>
      <c r="B2" s="173"/>
      <c r="C2" s="174"/>
      <c r="D2" s="1531"/>
      <c r="E2" s="1531"/>
      <c r="F2" s="1532"/>
      <c r="G2" s="175"/>
    </row>
    <row r="3" spans="1:60" s="176" customFormat="1" ht="15" customHeight="1">
      <c r="A3" s="172"/>
      <c r="B3" s="173"/>
      <c r="C3" s="177"/>
      <c r="D3" s="1520" t="s">
        <v>1665</v>
      </c>
      <c r="E3" s="1520"/>
      <c r="F3" s="1521"/>
      <c r="G3" s="175"/>
    </row>
    <row r="4" spans="1:60" s="176" customFormat="1">
      <c r="A4" s="178"/>
      <c r="B4" s="179"/>
      <c r="C4" s="180"/>
      <c r="D4" s="1533" t="s">
        <v>1666</v>
      </c>
      <c r="E4" s="1533"/>
      <c r="F4" s="1534"/>
      <c r="G4" s="175"/>
    </row>
    <row r="5" spans="1:60" s="184" customFormat="1" ht="15" customHeight="1">
      <c r="A5" s="1529"/>
      <c r="B5" s="1530"/>
      <c r="C5" s="181" t="s">
        <v>507</v>
      </c>
      <c r="D5" s="182" t="s">
        <v>508</v>
      </c>
      <c r="E5" s="1509">
        <f ca="1">(TODAY())</f>
        <v>46278</v>
      </c>
      <c r="F5" s="1510"/>
      <c r="G5" s="175"/>
      <c r="H5" s="183"/>
      <c r="I5" s="183"/>
      <c r="J5" s="183"/>
      <c r="K5" s="183"/>
      <c r="L5" s="183"/>
      <c r="M5" s="183"/>
      <c r="N5" s="183"/>
      <c r="O5" s="183"/>
      <c r="P5" s="183"/>
      <c r="Q5" s="183"/>
      <c r="R5" s="183"/>
      <c r="S5" s="183"/>
      <c r="T5" s="183"/>
      <c r="U5" s="183"/>
    </row>
    <row r="6" spans="1:60" s="184" customFormat="1" ht="15" customHeight="1">
      <c r="A6" s="185" t="s">
        <v>2013</v>
      </c>
      <c r="B6" s="186"/>
      <c r="C6" s="1535" t="s">
        <v>2024</v>
      </c>
      <c r="D6" s="187"/>
      <c r="E6" s="188"/>
      <c r="F6" s="189"/>
      <c r="G6" s="176"/>
      <c r="H6" s="183"/>
      <c r="I6" s="183"/>
      <c r="J6" s="183"/>
      <c r="K6" s="183"/>
      <c r="L6" s="183"/>
      <c r="M6" s="183"/>
      <c r="N6" s="190"/>
      <c r="O6" s="190"/>
      <c r="P6" s="190"/>
      <c r="Q6" s="190"/>
      <c r="R6" s="190"/>
      <c r="S6" s="190"/>
      <c r="T6" s="190"/>
      <c r="U6" s="190"/>
      <c r="V6" s="190"/>
      <c r="W6" s="190"/>
      <c r="X6" s="190"/>
      <c r="Y6" s="190"/>
      <c r="Z6" s="190"/>
      <c r="AA6" s="190"/>
      <c r="AB6" s="190"/>
      <c r="AC6" s="190"/>
      <c r="AD6" s="190"/>
      <c r="AE6" s="190"/>
      <c r="AF6" s="190"/>
      <c r="AG6" s="190"/>
      <c r="AH6" s="190"/>
      <c r="AI6" s="190"/>
      <c r="AJ6" s="190"/>
      <c r="AK6" s="190"/>
      <c r="AL6" s="190"/>
      <c r="AM6" s="190"/>
      <c r="AN6" s="190"/>
      <c r="AO6" s="190"/>
      <c r="AP6" s="190"/>
      <c r="AQ6" s="190"/>
      <c r="AR6" s="190"/>
      <c r="AS6" s="190"/>
      <c r="AT6" s="190"/>
      <c r="AU6" s="190"/>
      <c r="AV6" s="190"/>
      <c r="AW6" s="190"/>
      <c r="AX6" s="190"/>
      <c r="AY6" s="190"/>
      <c r="AZ6" s="190"/>
      <c r="BA6" s="190"/>
      <c r="BB6" s="190"/>
      <c r="BC6" s="190"/>
      <c r="BD6" s="190"/>
      <c r="BE6" s="190"/>
      <c r="BF6" s="190"/>
      <c r="BG6" s="190"/>
      <c r="BH6" s="190"/>
    </row>
    <row r="7" spans="1:60" s="198" customFormat="1" ht="20.25" customHeight="1">
      <c r="A7" s="191" t="s">
        <v>2025</v>
      </c>
      <c r="B7" s="192"/>
      <c r="C7" s="1536"/>
      <c r="D7" s="193"/>
      <c r="E7" s="194"/>
      <c r="F7" s="195"/>
      <c r="G7" s="176"/>
      <c r="H7" s="196"/>
      <c r="I7" s="196"/>
      <c r="J7" s="196"/>
      <c r="K7" s="196"/>
      <c r="L7" s="196"/>
      <c r="M7" s="196"/>
      <c r="N7" s="197"/>
      <c r="O7" s="197"/>
      <c r="P7" s="197"/>
      <c r="Q7" s="197"/>
      <c r="R7" s="197"/>
      <c r="S7" s="197"/>
      <c r="T7" s="197"/>
      <c r="U7" s="197"/>
      <c r="V7" s="197"/>
      <c r="W7" s="197"/>
      <c r="X7" s="197"/>
      <c r="Y7" s="197"/>
      <c r="Z7" s="197"/>
      <c r="AA7" s="197"/>
      <c r="AB7" s="197"/>
      <c r="AC7" s="197"/>
      <c r="AD7" s="197"/>
      <c r="AE7" s="197"/>
      <c r="AF7" s="197"/>
      <c r="AG7" s="197"/>
      <c r="AH7" s="197"/>
      <c r="AI7" s="197"/>
      <c r="AJ7" s="197"/>
      <c r="AK7" s="197"/>
      <c r="AL7" s="197"/>
      <c r="AM7" s="197"/>
      <c r="AN7" s="197"/>
      <c r="AO7" s="197"/>
      <c r="AP7" s="197"/>
      <c r="AQ7" s="197"/>
      <c r="AR7" s="197"/>
      <c r="AS7" s="197"/>
      <c r="AT7" s="197"/>
      <c r="AU7" s="197"/>
      <c r="AV7" s="197"/>
      <c r="AW7" s="197"/>
      <c r="AX7" s="197"/>
      <c r="AY7" s="197"/>
      <c r="AZ7" s="197"/>
      <c r="BA7" s="197"/>
      <c r="BB7" s="197"/>
      <c r="BC7" s="197"/>
      <c r="BD7" s="197"/>
      <c r="BE7" s="197"/>
      <c r="BF7" s="197"/>
      <c r="BG7" s="197"/>
      <c r="BH7" s="197"/>
    </row>
    <row r="8" spans="1:60" s="204" customFormat="1">
      <c r="A8" s="199" t="s">
        <v>512</v>
      </c>
      <c r="B8" s="200" t="s">
        <v>513</v>
      </c>
      <c r="C8" s="201" t="s">
        <v>514</v>
      </c>
      <c r="D8" s="199" t="s">
        <v>515</v>
      </c>
      <c r="E8" s="202" t="s">
        <v>516</v>
      </c>
      <c r="F8" s="203" t="s">
        <v>1670</v>
      </c>
      <c r="G8" s="184"/>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row>
    <row r="9" spans="1:60" ht="15" customHeight="1">
      <c r="A9" s="206"/>
      <c r="B9" s="207"/>
      <c r="C9" s="208" t="s">
        <v>2026</v>
      </c>
      <c r="D9" s="209"/>
      <c r="E9" s="210"/>
      <c r="F9" s="211"/>
      <c r="G9" s="176"/>
    </row>
    <row r="10" spans="1:60" ht="14.25" customHeight="1">
      <c r="A10" s="212"/>
      <c r="B10" s="213" t="s">
        <v>2027</v>
      </c>
      <c r="C10" s="214" t="s">
        <v>2028</v>
      </c>
      <c r="D10" s="215" t="s">
        <v>2029</v>
      </c>
      <c r="E10" s="216">
        <f>'[5]COSTO CDMX,QRO,GDL '!I10</f>
        <v>36519.229836580729</v>
      </c>
      <c r="F10" s="217" t="s">
        <v>1928</v>
      </c>
    </row>
    <row r="11" spans="1:60" ht="14.25" customHeight="1">
      <c r="A11" s="212"/>
      <c r="B11" s="213" t="s">
        <v>2030</v>
      </c>
      <c r="C11" s="218" t="s">
        <v>2031</v>
      </c>
      <c r="D11" s="215" t="s">
        <v>2032</v>
      </c>
      <c r="E11" s="216">
        <f>'[5]COSTO CDMX,QRO,GDL '!I11</f>
        <v>37199.424331317576</v>
      </c>
      <c r="F11" s="217" t="s">
        <v>1928</v>
      </c>
    </row>
    <row r="12" spans="1:60" ht="14.25" customHeight="1">
      <c r="A12" s="212"/>
      <c r="B12" s="219" t="s">
        <v>2033</v>
      </c>
      <c r="C12" s="218" t="s">
        <v>2034</v>
      </c>
      <c r="D12" s="215" t="s">
        <v>2035</v>
      </c>
      <c r="E12" s="216">
        <f>'[5]COSTO CDMX,QRO,GDL '!I12</f>
        <v>36409.521047107046</v>
      </c>
      <c r="F12" s="217" t="s">
        <v>1928</v>
      </c>
    </row>
    <row r="13" spans="1:60" ht="14.25" customHeight="1">
      <c r="A13" s="212"/>
      <c r="B13" s="213" t="s">
        <v>2036</v>
      </c>
      <c r="C13" s="218"/>
      <c r="D13" s="215" t="s">
        <v>2037</v>
      </c>
      <c r="E13" s="216">
        <f>'[5]COSTO CDMX,QRO,GDL '!I13</f>
        <v>37089.715541843885</v>
      </c>
      <c r="F13" s="217" t="s">
        <v>1928</v>
      </c>
    </row>
    <row r="14" spans="1:60" ht="14.25" customHeight="1">
      <c r="A14" s="212"/>
      <c r="B14" s="213" t="s">
        <v>2038</v>
      </c>
      <c r="C14" s="218"/>
      <c r="D14" s="215" t="s">
        <v>2039</v>
      </c>
      <c r="E14" s="216">
        <f>'[5]COSTO CDMX,QRO,GDL '!I14</f>
        <v>37576.785442932473</v>
      </c>
      <c r="F14" s="217" t="s">
        <v>1928</v>
      </c>
    </row>
    <row r="15" spans="1:60" ht="14.25" customHeight="1">
      <c r="A15" s="212"/>
      <c r="B15" s="213" t="s">
        <v>2040</v>
      </c>
      <c r="C15" s="220"/>
      <c r="D15" s="215" t="s">
        <v>2041</v>
      </c>
      <c r="E15" s="216">
        <f>'[5]COSTO CDMX,QRO,GDL '!I15</f>
        <v>38256.979937669319</v>
      </c>
      <c r="F15" s="217" t="s">
        <v>1928</v>
      </c>
    </row>
    <row r="16" spans="1:60" ht="14.25" customHeight="1">
      <c r="A16" s="212"/>
      <c r="B16" s="213" t="s">
        <v>2042</v>
      </c>
      <c r="C16" s="220"/>
      <c r="D16" s="215" t="s">
        <v>2043</v>
      </c>
      <c r="E16" s="216">
        <f>'[5]COSTO CDMX,QRO,GDL '!I16</f>
        <v>38282.578655213176</v>
      </c>
      <c r="F16" s="217" t="s">
        <v>1928</v>
      </c>
    </row>
    <row r="17" spans="1:60" ht="14.25" customHeight="1">
      <c r="A17" s="212"/>
      <c r="B17" s="221"/>
      <c r="C17" s="218"/>
      <c r="D17" s="215"/>
      <c r="E17" s="222"/>
      <c r="F17" s="223"/>
    </row>
    <row r="18" spans="1:60" ht="14.25" customHeight="1">
      <c r="A18" s="212"/>
      <c r="B18" s="224"/>
      <c r="C18" s="225"/>
      <c r="D18" s="226"/>
      <c r="E18" s="227"/>
      <c r="F18" s="228"/>
    </row>
    <row r="19" spans="1:60" ht="15" customHeight="1">
      <c r="A19" s="206"/>
      <c r="B19" s="207"/>
      <c r="C19" s="208" t="s">
        <v>2044</v>
      </c>
      <c r="D19" s="209"/>
      <c r="E19" s="210"/>
      <c r="F19" s="211"/>
    </row>
    <row r="20" spans="1:60" ht="14.25" customHeight="1">
      <c r="A20" s="212"/>
      <c r="B20" s="229" t="s">
        <v>2045</v>
      </c>
      <c r="C20" s="214" t="s">
        <v>2046</v>
      </c>
      <c r="D20" s="215" t="s">
        <v>2047</v>
      </c>
      <c r="E20" s="230">
        <f>'[5]COSTO CDMX,QRO,GDL '!I20</f>
        <v>21705.294749570869</v>
      </c>
      <c r="F20" s="217" t="s">
        <v>284</v>
      </c>
    </row>
    <row r="21" spans="1:60" ht="14.25" customHeight="1">
      <c r="A21" s="212"/>
      <c r="B21" s="219" t="s">
        <v>2048</v>
      </c>
      <c r="C21" s="218" t="s">
        <v>2049</v>
      </c>
      <c r="D21" s="215" t="s">
        <v>2050</v>
      </c>
      <c r="E21" s="230">
        <f>'[5]COSTO CDMX,QRO,GDL '!I21</f>
        <v>22571.994186412969</v>
      </c>
      <c r="F21" s="217" t="s">
        <v>284</v>
      </c>
    </row>
    <row r="22" spans="1:60" ht="14.25" customHeight="1">
      <c r="A22" s="212"/>
      <c r="B22" s="219" t="s">
        <v>2051</v>
      </c>
      <c r="C22" s="218"/>
      <c r="D22" s="215" t="s">
        <v>2052</v>
      </c>
      <c r="E22" s="230">
        <f>'[5]COSTO CDMX,QRO,GDL '!I22</f>
        <v>22597.592903956836</v>
      </c>
      <c r="F22" s="217" t="s">
        <v>284</v>
      </c>
    </row>
    <row r="23" spans="1:60" ht="14.25" customHeight="1">
      <c r="A23" s="212"/>
      <c r="B23" s="219" t="s">
        <v>2053</v>
      </c>
      <c r="C23" s="218"/>
      <c r="D23" s="215" t="s">
        <v>2054</v>
      </c>
      <c r="E23" s="230">
        <f>'[5]COSTO CDMX,QRO,GDL '!I23</f>
        <v>22907.884934325692</v>
      </c>
      <c r="F23" s="217" t="s">
        <v>284</v>
      </c>
    </row>
    <row r="24" spans="1:60" ht="14.25" customHeight="1">
      <c r="A24" s="212"/>
      <c r="B24" s="219" t="s">
        <v>2055</v>
      </c>
      <c r="C24" s="218"/>
      <c r="D24" s="215" t="s">
        <v>2054</v>
      </c>
      <c r="E24" s="230">
        <f>'[5]COSTO CDMX,QRO,GDL '!I24</f>
        <v>22798.176144852001</v>
      </c>
      <c r="F24" s="217" t="s">
        <v>284</v>
      </c>
    </row>
    <row r="25" spans="1:60" ht="14.25" customHeight="1">
      <c r="A25" s="212"/>
      <c r="B25" s="219" t="s">
        <v>2056</v>
      </c>
      <c r="C25" s="220"/>
      <c r="D25" s="215" t="s">
        <v>2057</v>
      </c>
      <c r="E25" s="230">
        <f>'[5]COSTO CDMX,QRO,GDL '!I25</f>
        <v>22827.43182204499</v>
      </c>
      <c r="F25" s="217" t="s">
        <v>284</v>
      </c>
    </row>
    <row r="26" spans="1:60" ht="14.25" customHeight="1">
      <c r="A26" s="212"/>
      <c r="B26" s="219" t="s">
        <v>2058</v>
      </c>
      <c r="C26" s="220"/>
      <c r="D26" s="215" t="s">
        <v>2059</v>
      </c>
      <c r="E26" s="230">
        <f>'[5]COSTO CDMX,QRO,GDL '!I26</f>
        <v>23876.42970153665</v>
      </c>
      <c r="F26" s="217" t="s">
        <v>284</v>
      </c>
    </row>
    <row r="27" spans="1:60" ht="14.25" customHeight="1">
      <c r="A27" s="212"/>
      <c r="B27" s="219" t="s">
        <v>2060</v>
      </c>
      <c r="C27" s="220"/>
      <c r="D27" s="215" t="s">
        <v>2059</v>
      </c>
      <c r="E27" s="230">
        <f>'[5]COSTO CDMX,QRO,GDL '!I27</f>
        <v>23902.028419080507</v>
      </c>
      <c r="F27" s="217" t="s">
        <v>284</v>
      </c>
    </row>
    <row r="28" spans="1:60" ht="14.25" customHeight="1">
      <c r="A28" s="212"/>
      <c r="B28" s="219" t="s">
        <v>2061</v>
      </c>
      <c r="C28" s="220"/>
      <c r="D28" s="215" t="s">
        <v>2062</v>
      </c>
      <c r="E28" s="230">
        <f>'[5]COSTO CDMX,QRO,GDL '!I28</f>
        <v>23927.627136624371</v>
      </c>
      <c r="F28" s="217" t="s">
        <v>284</v>
      </c>
    </row>
    <row r="29" spans="1:60" ht="14.25" customHeight="1">
      <c r="A29" s="212"/>
      <c r="B29" s="219" t="s">
        <v>2063</v>
      </c>
      <c r="C29" s="218"/>
      <c r="D29" s="215" t="s">
        <v>2064</v>
      </c>
      <c r="E29" s="230">
        <f>'[5]COSTO CDMX,QRO,GDL '!I29</f>
        <v>24297.67432894103</v>
      </c>
      <c r="F29" s="217" t="s">
        <v>284</v>
      </c>
    </row>
    <row r="30" spans="1:60" ht="14.25" customHeight="1">
      <c r="A30" s="212"/>
      <c r="B30" s="219"/>
      <c r="C30" s="218"/>
      <c r="D30" s="215"/>
      <c r="E30" s="231"/>
      <c r="F30" s="217"/>
    </row>
    <row r="31" spans="1:60" s="184" customFormat="1" ht="15" customHeight="1">
      <c r="A31" s="232" t="s">
        <v>2013</v>
      </c>
      <c r="B31" s="233"/>
      <c r="C31" s="1524" t="s">
        <v>2065</v>
      </c>
      <c r="D31" s="1537"/>
      <c r="E31" s="235"/>
      <c r="F31" s="236"/>
      <c r="G31" s="170"/>
      <c r="H31" s="183"/>
      <c r="I31" s="183"/>
      <c r="J31" s="183"/>
      <c r="K31" s="183"/>
      <c r="L31" s="183"/>
      <c r="M31" s="183"/>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c r="AV31" s="190"/>
      <c r="AW31" s="190"/>
      <c r="AX31" s="190"/>
      <c r="AY31" s="190"/>
      <c r="AZ31" s="190"/>
      <c r="BA31" s="190"/>
      <c r="BB31" s="190"/>
      <c r="BC31" s="190"/>
      <c r="BD31" s="190"/>
      <c r="BE31" s="190"/>
      <c r="BF31" s="190"/>
      <c r="BG31" s="190"/>
      <c r="BH31" s="190"/>
    </row>
    <row r="32" spans="1:60" s="198" customFormat="1" ht="15" customHeight="1">
      <c r="A32" s="237" t="s">
        <v>1669</v>
      </c>
      <c r="B32" s="238"/>
      <c r="C32" s="1525"/>
      <c r="D32" s="1538"/>
      <c r="E32" s="239"/>
      <c r="F32" s="240"/>
      <c r="G32" s="170"/>
      <c r="H32" s="196"/>
      <c r="I32" s="196"/>
      <c r="J32" s="196"/>
      <c r="K32" s="196"/>
      <c r="L32" s="196"/>
      <c r="M32" s="196"/>
      <c r="N32" s="197"/>
      <c r="O32" s="197"/>
      <c r="P32" s="197"/>
      <c r="Q32" s="197"/>
      <c r="R32" s="197"/>
      <c r="S32" s="197"/>
      <c r="T32" s="197"/>
      <c r="U32" s="197"/>
      <c r="V32" s="197"/>
      <c r="W32" s="197"/>
      <c r="X32" s="197"/>
      <c r="Y32" s="197"/>
      <c r="Z32" s="197"/>
      <c r="AA32" s="197"/>
      <c r="AB32" s="197"/>
      <c r="AC32" s="197"/>
      <c r="AD32" s="197"/>
      <c r="AE32" s="197"/>
      <c r="AF32" s="197"/>
      <c r="AG32" s="197"/>
      <c r="AH32" s="197"/>
      <c r="AI32" s="197"/>
      <c r="AJ32" s="197"/>
      <c r="AK32" s="197"/>
      <c r="AL32" s="197"/>
      <c r="AM32" s="197"/>
      <c r="AN32" s="197"/>
      <c r="AO32" s="197"/>
      <c r="AP32" s="197"/>
      <c r="AQ32" s="197"/>
      <c r="AR32" s="197"/>
      <c r="AS32" s="197"/>
      <c r="AT32" s="197"/>
      <c r="AU32" s="197"/>
      <c r="AV32" s="197"/>
      <c r="AW32" s="197"/>
      <c r="AX32" s="197"/>
      <c r="AY32" s="197"/>
      <c r="AZ32" s="197"/>
      <c r="BA32" s="197"/>
      <c r="BB32" s="197"/>
      <c r="BC32" s="197"/>
      <c r="BD32" s="197"/>
      <c r="BE32" s="197"/>
      <c r="BF32" s="197"/>
      <c r="BG32" s="197"/>
      <c r="BH32" s="197"/>
    </row>
    <row r="33" spans="1:60" s="204" customFormat="1">
      <c r="A33" s="199" t="s">
        <v>512</v>
      </c>
      <c r="B33" s="200" t="s">
        <v>513</v>
      </c>
      <c r="C33" s="201" t="s">
        <v>514</v>
      </c>
      <c r="D33" s="199" t="s">
        <v>515</v>
      </c>
      <c r="E33" s="202" t="s">
        <v>516</v>
      </c>
      <c r="F33" s="203" t="s">
        <v>1670</v>
      </c>
      <c r="G33" s="184"/>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c r="AS33" s="205"/>
      <c r="AT33" s="205"/>
      <c r="AU33" s="205"/>
      <c r="AV33" s="205"/>
      <c r="AW33" s="205"/>
      <c r="AX33" s="205"/>
      <c r="AY33" s="205"/>
      <c r="AZ33" s="205"/>
      <c r="BA33" s="205"/>
      <c r="BB33" s="205"/>
      <c r="BC33" s="205"/>
      <c r="BD33" s="205"/>
      <c r="BE33" s="205"/>
      <c r="BF33" s="205"/>
      <c r="BG33" s="205"/>
      <c r="BH33" s="205"/>
    </row>
    <row r="34" spans="1:60" ht="15" customHeight="1">
      <c r="A34" s="206"/>
      <c r="B34" s="207"/>
      <c r="C34" s="208" t="s">
        <v>2066</v>
      </c>
      <c r="D34" s="209"/>
      <c r="E34" s="210"/>
      <c r="F34" s="211"/>
    </row>
    <row r="35" spans="1:60" s="171" customFormat="1" ht="14.25" customHeight="1">
      <c r="A35" s="212"/>
      <c r="B35" s="221" t="s">
        <v>2067</v>
      </c>
      <c r="C35" s="241" t="s">
        <v>2068</v>
      </c>
      <c r="D35" s="226" t="s">
        <v>1693</v>
      </c>
      <c r="E35" s="242">
        <f>'[5]COSTO CDMX,QRO,GDL '!I35</f>
        <v>27243.185062914192</v>
      </c>
      <c r="F35" s="217" t="s">
        <v>284</v>
      </c>
      <c r="H35" s="170"/>
    </row>
    <row r="36" spans="1:60" s="171" customFormat="1" ht="14.25" customHeight="1">
      <c r="A36" s="212"/>
      <c r="B36" s="221" t="s">
        <v>2069</v>
      </c>
      <c r="C36" s="243" t="s">
        <v>2070</v>
      </c>
      <c r="D36" s="226" t="s">
        <v>1789</v>
      </c>
      <c r="E36" s="242">
        <f>'[5]COSTO CDMX,QRO,GDL '!I36</f>
        <v>27842.787546726231</v>
      </c>
      <c r="F36" s="217" t="s">
        <v>284</v>
      </c>
      <c r="H36" s="170"/>
    </row>
    <row r="37" spans="1:60" s="171" customFormat="1" ht="14.25" customHeight="1">
      <c r="A37" s="212"/>
      <c r="B37" s="221" t="s">
        <v>2071</v>
      </c>
      <c r="C37" s="243" t="s">
        <v>2072</v>
      </c>
      <c r="D37" s="226" t="s">
        <v>1695</v>
      </c>
      <c r="E37" s="242">
        <f>'[5]COSTO CDMX,QRO,GDL '!I37</f>
        <v>28460.264519783836</v>
      </c>
      <c r="F37" s="217" t="s">
        <v>284</v>
      </c>
      <c r="H37" s="170"/>
    </row>
    <row r="38" spans="1:60" s="171" customFormat="1" ht="14.25" customHeight="1">
      <c r="A38" s="212"/>
      <c r="B38" s="221" t="s">
        <v>2073</v>
      </c>
      <c r="C38" s="243" t="s">
        <v>2074</v>
      </c>
      <c r="D38" s="226" t="s">
        <v>1792</v>
      </c>
      <c r="E38" s="242">
        <f>'[5]COSTO CDMX,QRO,GDL '!I38</f>
        <v>29021.522589538283</v>
      </c>
      <c r="F38" s="217" t="s">
        <v>284</v>
      </c>
      <c r="H38" s="170"/>
    </row>
    <row r="39" spans="1:60" s="171" customFormat="1" ht="14.25" customHeight="1">
      <c r="A39" s="212"/>
      <c r="B39" s="221" t="s">
        <v>2075</v>
      </c>
      <c r="C39" s="243" t="s">
        <v>2076</v>
      </c>
      <c r="D39" s="226" t="s">
        <v>1700</v>
      </c>
      <c r="E39" s="242">
        <f>'[5]COSTO CDMX,QRO,GDL '!I39</f>
        <v>29641.594998162349</v>
      </c>
      <c r="F39" s="217" t="s">
        <v>284</v>
      </c>
      <c r="H39" s="170"/>
    </row>
    <row r="40" spans="1:60" s="171" customFormat="1" ht="14.25" customHeight="1">
      <c r="A40" s="212"/>
      <c r="B40" s="221" t="s">
        <v>2077</v>
      </c>
      <c r="C40" s="225" t="s">
        <v>2078</v>
      </c>
      <c r="D40" s="226" t="s">
        <v>1795</v>
      </c>
      <c r="E40" s="242">
        <f>'[5]COSTO CDMX,QRO,GDL '!I40</f>
        <v>30241.197481974392</v>
      </c>
      <c r="F40" s="217" t="s">
        <v>284</v>
      </c>
      <c r="H40" s="170"/>
    </row>
    <row r="41" spans="1:60" s="171" customFormat="1" ht="14.25" customHeight="1">
      <c r="A41" s="212"/>
      <c r="B41" s="221" t="s">
        <v>2079</v>
      </c>
      <c r="C41" s="225"/>
      <c r="D41" s="226" t="s">
        <v>1797</v>
      </c>
      <c r="E41" s="242">
        <f>'[5]COSTO CDMX,QRO,GDL '!I41</f>
        <v>31004.559364282672</v>
      </c>
      <c r="F41" s="217" t="s">
        <v>284</v>
      </c>
      <c r="H41" s="170"/>
    </row>
    <row r="42" spans="1:60" s="171" customFormat="1" ht="14.25" customHeight="1">
      <c r="A42" s="212"/>
      <c r="B42" s="221"/>
      <c r="C42" s="243"/>
      <c r="D42" s="226"/>
      <c r="E42" s="227"/>
      <c r="F42" s="228"/>
      <c r="H42" s="170"/>
    </row>
    <row r="43" spans="1:60" s="171" customFormat="1" ht="14.25" customHeight="1">
      <c r="A43" s="212"/>
      <c r="B43" s="221"/>
      <c r="C43" s="244"/>
      <c r="D43" s="226"/>
      <c r="E43" s="227"/>
      <c r="F43" s="228"/>
      <c r="H43" s="170"/>
    </row>
    <row r="44" spans="1:60" ht="14.25" customHeight="1">
      <c r="A44" s="245"/>
      <c r="B44" s="246"/>
      <c r="C44" s="208" t="s">
        <v>2080</v>
      </c>
      <c r="D44" s="247"/>
      <c r="E44" s="248"/>
      <c r="F44" s="249"/>
    </row>
    <row r="45" spans="1:60" s="171" customFormat="1" ht="14.25" customHeight="1">
      <c r="A45" s="212"/>
      <c r="B45" s="221" t="s">
        <v>2081</v>
      </c>
      <c r="C45" s="243" t="s">
        <v>2082</v>
      </c>
      <c r="D45" s="226" t="s">
        <v>2083</v>
      </c>
      <c r="E45" s="242">
        <f>'[5]COSTO CDMX,QRO,GDL '!I45</f>
        <v>36259.97174673064</v>
      </c>
      <c r="F45" s="217" t="s">
        <v>284</v>
      </c>
    </row>
    <row r="46" spans="1:60" s="171" customFormat="1" ht="14.25" customHeight="1">
      <c r="A46" s="212"/>
      <c r="B46" s="221" t="s">
        <v>2084</v>
      </c>
      <c r="C46" s="243" t="s">
        <v>2070</v>
      </c>
      <c r="D46" s="226" t="s">
        <v>2085</v>
      </c>
      <c r="E46" s="242">
        <f>'[5]COSTO CDMX,QRO,GDL '!I46</f>
        <v>36698.18671806038</v>
      </c>
      <c r="F46" s="217" t="s">
        <v>284</v>
      </c>
    </row>
    <row r="47" spans="1:60" s="171" customFormat="1" ht="14.25" customHeight="1">
      <c r="A47" s="212"/>
      <c r="B47" s="221" t="s">
        <v>2086</v>
      </c>
      <c r="C47" s="243" t="s">
        <v>2072</v>
      </c>
      <c r="D47" s="226" t="s">
        <v>2087</v>
      </c>
      <c r="E47" s="242">
        <f>'[5]COSTO CDMX,QRO,GDL '!I47</f>
        <v>37033.933762918517</v>
      </c>
      <c r="F47" s="217" t="s">
        <v>284</v>
      </c>
    </row>
    <row r="48" spans="1:60" s="171" customFormat="1" ht="14.25" customHeight="1">
      <c r="A48" s="212"/>
      <c r="B48" s="221" t="s">
        <v>2088</v>
      </c>
      <c r="C48" s="243" t="s">
        <v>2074</v>
      </c>
      <c r="D48" s="226" t="s">
        <v>2089</v>
      </c>
      <c r="E48" s="242">
        <f>'[5]COSTO CDMX,QRO,GDL '!I48</f>
        <v>37265.298147614689</v>
      </c>
      <c r="F48" s="217" t="s">
        <v>284</v>
      </c>
    </row>
    <row r="49" spans="1:10" s="171" customFormat="1" ht="14.25" customHeight="1">
      <c r="A49" s="212"/>
      <c r="B49" s="221" t="s">
        <v>2090</v>
      </c>
      <c r="C49" s="243" t="s">
        <v>2076</v>
      </c>
      <c r="D49" s="226" t="s">
        <v>2091</v>
      </c>
      <c r="E49" s="242">
        <f>'[5]COSTO CDMX,QRO,GDL '!I49</f>
        <v>37148.795338733697</v>
      </c>
      <c r="F49" s="217" t="s">
        <v>284</v>
      </c>
    </row>
    <row r="50" spans="1:10" s="171" customFormat="1" ht="14.25" customHeight="1">
      <c r="A50" s="212"/>
      <c r="B50" s="221" t="s">
        <v>2092</v>
      </c>
      <c r="C50" s="225" t="s">
        <v>2093</v>
      </c>
      <c r="D50" s="226" t="s">
        <v>2094</v>
      </c>
      <c r="E50" s="242">
        <f>'[5]COSTO CDMX,QRO,GDL '!I50</f>
        <v>37577.835990207837</v>
      </c>
      <c r="F50" s="217" t="s">
        <v>284</v>
      </c>
    </row>
    <row r="51" spans="1:10" s="171" customFormat="1" ht="14.25" customHeight="1">
      <c r="A51" s="212"/>
      <c r="B51" s="221" t="s">
        <v>2095</v>
      </c>
      <c r="C51" s="243"/>
      <c r="D51" s="226" t="s">
        <v>2096</v>
      </c>
      <c r="E51" s="242">
        <f>'[5]COSTO CDMX,QRO,GDL '!I51</f>
        <v>37985.676847511946</v>
      </c>
      <c r="F51" s="217" t="s">
        <v>284</v>
      </c>
    </row>
    <row r="52" spans="1:10" s="171" customFormat="1" ht="14.25" customHeight="1">
      <c r="A52" s="212"/>
      <c r="B52" s="221" t="s">
        <v>2097</v>
      </c>
      <c r="C52" s="250"/>
      <c r="D52" s="226" t="s">
        <v>2098</v>
      </c>
      <c r="E52" s="242">
        <f>'[5]COSTO CDMX,QRO,GDL '!I52</f>
        <v>38089.452348360159</v>
      </c>
      <c r="F52" s="217" t="s">
        <v>284</v>
      </c>
    </row>
    <row r="53" spans="1:10" s="171" customFormat="1" ht="14.25" customHeight="1">
      <c r="A53" s="212"/>
      <c r="B53" s="221"/>
      <c r="C53" s="250"/>
      <c r="E53" s="227"/>
      <c r="F53" s="228"/>
    </row>
    <row r="54" spans="1:10" ht="14.25" customHeight="1">
      <c r="A54" s="251"/>
      <c r="B54" s="252"/>
      <c r="C54" s="253" t="s">
        <v>2099</v>
      </c>
      <c r="D54" s="209"/>
      <c r="E54" s="210"/>
      <c r="F54" s="254"/>
    </row>
    <row r="55" spans="1:10" s="263" customFormat="1" ht="14.25" customHeight="1">
      <c r="A55" s="255"/>
      <c r="B55" s="256" t="s">
        <v>2100</v>
      </c>
      <c r="C55" s="257" t="s">
        <v>2101</v>
      </c>
      <c r="D55" s="258" t="s">
        <v>2102</v>
      </c>
      <c r="E55" s="242">
        <f>'[5]COSTO CDMX,QRO,GDL '!I55</f>
        <v>1791.812865497076</v>
      </c>
      <c r="F55" s="259" t="s">
        <v>284</v>
      </c>
      <c r="G55" s="260"/>
      <c r="H55" s="261"/>
      <c r="I55" s="262"/>
      <c r="J55" s="262"/>
    </row>
    <row r="56" spans="1:10" s="263" customFormat="1" ht="14.25" customHeight="1">
      <c r="A56" s="255"/>
      <c r="B56" s="256" t="s">
        <v>2103</v>
      </c>
      <c r="C56" s="257" t="s">
        <v>2104</v>
      </c>
      <c r="D56" s="258" t="s">
        <v>2105</v>
      </c>
      <c r="E56" s="242">
        <f>'[5]COSTO CDMX,QRO,GDL '!I56</f>
        <v>2107.6023391812864</v>
      </c>
      <c r="F56" s="259" t="s">
        <v>284</v>
      </c>
      <c r="G56" s="260"/>
      <c r="H56" s="261"/>
      <c r="I56" s="262"/>
      <c r="J56" s="262"/>
    </row>
    <row r="57" spans="1:10" s="263" customFormat="1" ht="14.25" customHeight="1">
      <c r="A57" s="255"/>
      <c r="B57" s="256" t="s">
        <v>2106</v>
      </c>
      <c r="C57" s="257" t="s">
        <v>2107</v>
      </c>
      <c r="D57" s="258" t="s">
        <v>2108</v>
      </c>
      <c r="E57" s="242">
        <f>'[5]COSTO CDMX,QRO,GDL '!I57</f>
        <v>2231.5789473684208</v>
      </c>
      <c r="F57" s="259" t="s">
        <v>284</v>
      </c>
      <c r="G57" s="260"/>
      <c r="H57" s="261"/>
      <c r="I57" s="262"/>
      <c r="J57" s="262"/>
    </row>
    <row r="58" spans="1:10" s="263" customFormat="1" ht="14.25" customHeight="1">
      <c r="A58" s="255"/>
      <c r="B58" s="256" t="s">
        <v>2109</v>
      </c>
      <c r="C58" s="257"/>
      <c r="D58" s="258" t="s">
        <v>2110</v>
      </c>
      <c r="E58" s="242">
        <f>'[5]COSTO CDMX,QRO,GDL '!I58</f>
        <v>2341.5204678362575</v>
      </c>
      <c r="F58" s="259" t="s">
        <v>284</v>
      </c>
      <c r="G58" s="260"/>
      <c r="H58" s="261"/>
      <c r="I58" s="262"/>
      <c r="J58" s="262"/>
    </row>
    <row r="59" spans="1:10" s="263" customFormat="1" ht="14.25" customHeight="1">
      <c r="A59" s="255"/>
      <c r="B59" s="256" t="s">
        <v>2111</v>
      </c>
      <c r="C59" s="257"/>
      <c r="D59" s="258" t="s">
        <v>2112</v>
      </c>
      <c r="E59" s="242">
        <f>'[5]COSTO CDMX,QRO,GDL '!I59</f>
        <v>2502.9239766081869</v>
      </c>
      <c r="F59" s="259" t="s">
        <v>284</v>
      </c>
      <c r="G59" s="260"/>
      <c r="H59" s="261"/>
      <c r="I59" s="262"/>
      <c r="J59" s="262"/>
    </row>
    <row r="60" spans="1:10" s="263" customFormat="1" ht="15">
      <c r="A60" s="255"/>
      <c r="B60" s="256" t="s">
        <v>2113</v>
      </c>
      <c r="C60" s="257"/>
      <c r="D60" s="258" t="s">
        <v>2114</v>
      </c>
      <c r="E60" s="242">
        <f>'[5]COSTO CDMX,QRO,GDL '!I60</f>
        <v>2842.105263157895</v>
      </c>
      <c r="F60" s="259" t="s">
        <v>284</v>
      </c>
      <c r="G60" s="260"/>
      <c r="H60" s="262"/>
      <c r="I60" s="262"/>
      <c r="J60" s="262"/>
    </row>
    <row r="61" spans="1:10" s="263" customFormat="1">
      <c r="A61" s="255"/>
      <c r="B61" s="264"/>
      <c r="C61" s="257"/>
      <c r="D61" s="258"/>
      <c r="E61" s="265"/>
      <c r="F61" s="266"/>
      <c r="G61" s="260"/>
      <c r="H61" s="262"/>
      <c r="I61" s="262"/>
      <c r="J61" s="262"/>
    </row>
    <row r="62" spans="1:10" s="263" customFormat="1">
      <c r="A62" s="255"/>
      <c r="B62" s="264"/>
      <c r="C62" s="267"/>
      <c r="D62" s="258"/>
      <c r="E62" s="265"/>
      <c r="F62" s="268"/>
      <c r="G62" s="260"/>
      <c r="H62" s="261"/>
      <c r="I62" s="262"/>
      <c r="J62" s="262"/>
    </row>
    <row r="63" spans="1:10" s="263" customFormat="1">
      <c r="A63" s="255"/>
      <c r="B63" s="264"/>
      <c r="C63" s="267"/>
      <c r="D63" s="258"/>
      <c r="E63" s="269"/>
      <c r="F63" s="268"/>
      <c r="G63" s="260"/>
      <c r="H63" s="261"/>
      <c r="I63" s="262"/>
      <c r="J63" s="262"/>
    </row>
    <row r="64" spans="1:10" ht="15" customHeight="1">
      <c r="A64" s="206"/>
      <c r="B64" s="207"/>
      <c r="C64" s="270" t="s">
        <v>2115</v>
      </c>
      <c r="D64" s="209"/>
      <c r="E64" s="210"/>
      <c r="F64" s="271"/>
    </row>
    <row r="65" spans="1:6" ht="14.25" customHeight="1">
      <c r="A65" s="272"/>
      <c r="B65" s="215" t="s">
        <v>2116</v>
      </c>
      <c r="C65" s="1539" t="s">
        <v>2117</v>
      </c>
      <c r="D65" s="274" t="s">
        <v>2118</v>
      </c>
      <c r="E65" s="275">
        <f>'[5]COSTO CDMX,QRO,GDL '!I65</f>
        <v>718.36680947873697</v>
      </c>
      <c r="F65" s="217" t="s">
        <v>284</v>
      </c>
    </row>
    <row r="66" spans="1:6" ht="14.25" customHeight="1">
      <c r="A66" s="272"/>
      <c r="B66" s="215" t="s">
        <v>2119</v>
      </c>
      <c r="C66" s="1540"/>
      <c r="D66" s="274" t="s">
        <v>2120</v>
      </c>
      <c r="E66" s="275">
        <f>'[5]COSTO CDMX,QRO,GDL '!I66</f>
        <v>958.23084025854109</v>
      </c>
      <c r="F66" s="217" t="s">
        <v>284</v>
      </c>
    </row>
    <row r="67" spans="1:6" ht="14.25" customHeight="1">
      <c r="A67" s="272"/>
      <c r="B67" s="215" t="s">
        <v>2121</v>
      </c>
      <c r="C67" s="1540"/>
      <c r="D67" s="274" t="s">
        <v>2122</v>
      </c>
      <c r="E67" s="275">
        <f>'[5]COSTO CDMX,QRO,GDL '!I67</f>
        <v>1244.6685133887352</v>
      </c>
      <c r="F67" s="217" t="s">
        <v>284</v>
      </c>
    </row>
    <row r="68" spans="1:6" ht="14.25" customHeight="1">
      <c r="A68" s="272"/>
      <c r="B68" s="215" t="s">
        <v>2123</v>
      </c>
      <c r="C68" s="1540"/>
      <c r="D68" s="274" t="s">
        <v>2124</v>
      </c>
      <c r="E68" s="275">
        <f>'[5]COSTO CDMX,QRO,GDL '!I68</f>
        <v>1387.926131117267</v>
      </c>
      <c r="F68" s="217" t="s">
        <v>284</v>
      </c>
    </row>
    <row r="69" spans="1:6" ht="14.25" customHeight="1">
      <c r="A69" s="272"/>
      <c r="B69" s="215" t="s">
        <v>2125</v>
      </c>
      <c r="C69" s="1540"/>
      <c r="D69" s="274" t="s">
        <v>2126</v>
      </c>
      <c r="E69" s="275">
        <f>'[5]COSTO CDMX,QRO,GDL '!I69</f>
        <v>1531.1837488457991</v>
      </c>
      <c r="F69" s="217" t="s">
        <v>284</v>
      </c>
    </row>
    <row r="70" spans="1:6" ht="14.25" customHeight="1">
      <c r="A70" s="272"/>
      <c r="B70" s="215" t="s">
        <v>2127</v>
      </c>
      <c r="C70" s="1540"/>
      <c r="D70" s="274" t="s">
        <v>2128</v>
      </c>
      <c r="E70" s="275">
        <f>'[5]COSTO CDMX,QRO,GDL '!I70</f>
        <v>1674.4672206832875</v>
      </c>
      <c r="F70" s="217" t="s">
        <v>284</v>
      </c>
    </row>
    <row r="71" spans="1:6" ht="14.25" customHeight="1">
      <c r="A71" s="272"/>
      <c r="B71" s="215" t="s">
        <v>2129</v>
      </c>
      <c r="C71" s="1540"/>
      <c r="D71" s="274" t="s">
        <v>2130</v>
      </c>
      <c r="E71" s="275">
        <f>'[5]COSTO CDMX,QRO,GDL '!I71</f>
        <v>1817.6214219759927</v>
      </c>
      <c r="F71" s="217" t="s">
        <v>284</v>
      </c>
    </row>
    <row r="72" spans="1:6" ht="14.25" customHeight="1">
      <c r="A72" s="272"/>
      <c r="B72" s="215" t="s">
        <v>2131</v>
      </c>
      <c r="C72" s="1540"/>
      <c r="D72" s="274" t="s">
        <v>2132</v>
      </c>
      <c r="E72" s="275">
        <f>'[5]COSTO CDMX,QRO,GDL '!I72</f>
        <v>1960.9048938134815</v>
      </c>
      <c r="F72" s="217" t="s">
        <v>284</v>
      </c>
    </row>
    <row r="73" spans="1:6" ht="14.25" customHeight="1">
      <c r="A73" s="272"/>
      <c r="B73" s="226"/>
      <c r="C73" s="1540"/>
      <c r="D73" s="274"/>
      <c r="E73" s="277"/>
      <c r="F73" s="278"/>
    </row>
    <row r="74" spans="1:6" ht="15" customHeight="1">
      <c r="A74" s="206"/>
      <c r="B74" s="207"/>
      <c r="C74" s="270" t="s">
        <v>2133</v>
      </c>
      <c r="D74" s="209"/>
      <c r="E74" s="210"/>
      <c r="F74" s="271"/>
    </row>
    <row r="75" spans="1:6" ht="14.25" customHeight="1">
      <c r="A75" s="272"/>
      <c r="B75" s="215" t="s">
        <v>2134</v>
      </c>
      <c r="C75" s="273" t="s">
        <v>2135</v>
      </c>
      <c r="D75" s="274" t="s">
        <v>2136</v>
      </c>
      <c r="E75" s="279">
        <f>'[5]COSTO CDMX,QRO,GDL '!I75</f>
        <v>3770.7602339181285</v>
      </c>
      <c r="F75" s="217" t="s">
        <v>284</v>
      </c>
    </row>
    <row r="76" spans="1:6" ht="14.25" customHeight="1">
      <c r="A76" s="272"/>
      <c r="B76" s="215"/>
      <c r="C76" s="276" t="s">
        <v>2137</v>
      </c>
      <c r="D76" s="274"/>
      <c r="E76" s="279"/>
      <c r="F76" s="280"/>
    </row>
    <row r="77" spans="1:6" ht="14.25" customHeight="1">
      <c r="A77" s="272"/>
      <c r="B77" s="215"/>
      <c r="C77" s="281"/>
      <c r="D77" s="274"/>
      <c r="E77" s="279"/>
      <c r="F77" s="280"/>
    </row>
    <row r="78" spans="1:6" ht="14.25" customHeight="1">
      <c r="A78" s="272"/>
      <c r="B78" s="215" t="s">
        <v>2138</v>
      </c>
      <c r="C78" s="276" t="s">
        <v>2135</v>
      </c>
      <c r="D78" s="274" t="s">
        <v>2139</v>
      </c>
      <c r="E78" s="279">
        <f>'[5]COSTO CDMX,QRO,GDL '!I78</f>
        <v>3992.9824561403507</v>
      </c>
      <c r="F78" s="217" t="s">
        <v>284</v>
      </c>
    </row>
    <row r="79" spans="1:6" ht="14.25" customHeight="1">
      <c r="A79" s="272"/>
      <c r="B79" s="215"/>
      <c r="C79" s="276" t="s">
        <v>2137</v>
      </c>
      <c r="D79" s="274"/>
      <c r="E79" s="279"/>
      <c r="F79" s="280"/>
    </row>
    <row r="80" spans="1:6" ht="14.25" customHeight="1">
      <c r="A80" s="272"/>
      <c r="B80" s="215"/>
      <c r="C80" s="281"/>
      <c r="D80" s="274"/>
      <c r="E80" s="279"/>
      <c r="F80" s="280"/>
    </row>
    <row r="81" spans="1:60" ht="14.25" customHeight="1">
      <c r="A81" s="272"/>
      <c r="B81" s="215" t="s">
        <v>2140</v>
      </c>
      <c r="C81" s="276" t="s">
        <v>2135</v>
      </c>
      <c r="D81" s="274" t="s">
        <v>2141</v>
      </c>
      <c r="E81" s="279">
        <f>'[5]COSTO CDMX,QRO,GDL '!I81</f>
        <v>4748.5380116959068</v>
      </c>
      <c r="F81" s="217" t="s">
        <v>284</v>
      </c>
    </row>
    <row r="82" spans="1:60" ht="14.25" customHeight="1">
      <c r="A82" s="272"/>
      <c r="B82" s="215"/>
      <c r="C82" s="276" t="s">
        <v>2137</v>
      </c>
      <c r="D82" s="274"/>
      <c r="E82" s="282"/>
      <c r="F82" s="280"/>
    </row>
    <row r="83" spans="1:60" ht="14.25" customHeight="1">
      <c r="A83" s="272"/>
      <c r="B83" s="215"/>
      <c r="C83" s="281"/>
      <c r="D83" s="274"/>
      <c r="E83" s="283"/>
      <c r="F83" s="284"/>
    </row>
    <row r="84" spans="1:60" s="184" customFormat="1" ht="15" customHeight="1">
      <c r="A84" s="232" t="s">
        <v>2013</v>
      </c>
      <c r="B84" s="233"/>
      <c r="C84" s="1524" t="s">
        <v>2142</v>
      </c>
      <c r="D84" s="232"/>
      <c r="E84" s="235"/>
      <c r="F84" s="236"/>
      <c r="G84" s="183"/>
      <c r="H84" s="183"/>
      <c r="I84" s="183"/>
      <c r="J84" s="183"/>
      <c r="K84" s="183"/>
      <c r="L84" s="183"/>
      <c r="M84" s="183"/>
      <c r="N84" s="190"/>
      <c r="O84" s="190"/>
      <c r="P84" s="190"/>
      <c r="Q84" s="190"/>
      <c r="R84" s="190"/>
      <c r="S84" s="190"/>
      <c r="T84" s="190"/>
      <c r="U84" s="190"/>
      <c r="V84" s="190"/>
      <c r="W84" s="190"/>
      <c r="X84" s="190"/>
      <c r="Y84" s="190"/>
      <c r="Z84" s="190"/>
      <c r="AA84" s="190"/>
      <c r="AB84" s="190"/>
      <c r="AC84" s="190"/>
      <c r="AD84" s="190"/>
      <c r="AE84" s="190"/>
      <c r="AF84" s="190"/>
      <c r="AG84" s="190"/>
      <c r="AH84" s="190"/>
      <c r="AI84" s="190"/>
      <c r="AJ84" s="190"/>
      <c r="AK84" s="190"/>
      <c r="AL84" s="190"/>
      <c r="AM84" s="190"/>
      <c r="AN84" s="190"/>
      <c r="AO84" s="190"/>
      <c r="AP84" s="190"/>
      <c r="AQ84" s="190"/>
      <c r="AR84" s="190"/>
      <c r="AS84" s="190"/>
      <c r="AT84" s="190"/>
      <c r="AU84" s="190"/>
      <c r="AV84" s="190"/>
      <c r="AW84" s="190"/>
      <c r="AX84" s="190"/>
      <c r="AY84" s="190"/>
      <c r="AZ84" s="190"/>
      <c r="BA84" s="190"/>
      <c r="BB84" s="190"/>
      <c r="BC84" s="190"/>
      <c r="BD84" s="190"/>
      <c r="BE84" s="190"/>
      <c r="BF84" s="190"/>
      <c r="BG84" s="190"/>
      <c r="BH84" s="190"/>
    </row>
    <row r="85" spans="1:60" s="198" customFormat="1" ht="15" customHeight="1">
      <c r="A85" s="237" t="s">
        <v>1669</v>
      </c>
      <c r="B85" s="238"/>
      <c r="C85" s="1525"/>
      <c r="D85" s="285"/>
      <c r="E85" s="286"/>
      <c r="F85" s="287"/>
      <c r="G85" s="196"/>
      <c r="H85" s="196"/>
      <c r="I85" s="196"/>
      <c r="J85" s="196"/>
      <c r="K85" s="196"/>
      <c r="L85" s="196"/>
      <c r="M85" s="196"/>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row>
    <row r="86" spans="1:60" s="204" customFormat="1">
      <c r="A86" s="199" t="s">
        <v>512</v>
      </c>
      <c r="B86" s="200" t="s">
        <v>513</v>
      </c>
      <c r="C86" s="201" t="s">
        <v>514</v>
      </c>
      <c r="D86" s="199" t="s">
        <v>515</v>
      </c>
      <c r="E86" s="202" t="s">
        <v>516</v>
      </c>
      <c r="F86" s="203" t="s">
        <v>1670</v>
      </c>
      <c r="G86" s="184"/>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5"/>
      <c r="AR86" s="205"/>
      <c r="AS86" s="205"/>
      <c r="AT86" s="205"/>
      <c r="AU86" s="205"/>
      <c r="AV86" s="205"/>
      <c r="AW86" s="205"/>
      <c r="AX86" s="205"/>
      <c r="AY86" s="205"/>
      <c r="AZ86" s="205"/>
      <c r="BA86" s="205"/>
      <c r="BB86" s="205"/>
      <c r="BC86" s="205"/>
      <c r="BD86" s="205"/>
      <c r="BE86" s="205"/>
      <c r="BF86" s="205"/>
      <c r="BG86" s="205"/>
      <c r="BH86" s="205"/>
    </row>
    <row r="87" spans="1:60" ht="14.25" customHeight="1">
      <c r="A87" s="206"/>
      <c r="B87" s="207"/>
      <c r="C87" s="208" t="s">
        <v>1678</v>
      </c>
      <c r="D87" s="209"/>
      <c r="E87" s="210"/>
      <c r="F87" s="211"/>
    </row>
    <row r="88" spans="1:60" ht="14.25" customHeight="1">
      <c r="A88" s="212"/>
      <c r="B88" s="288" t="s">
        <v>2143</v>
      </c>
      <c r="C88" s="289" t="s">
        <v>2144</v>
      </c>
      <c r="D88" s="226" t="s">
        <v>1681</v>
      </c>
      <c r="E88" s="290">
        <f>'[5]COSTO CDMX,QRO,GDL '!I88</f>
        <v>5531.1281705664733</v>
      </c>
      <c r="F88" s="217" t="s">
        <v>1928</v>
      </c>
    </row>
    <row r="89" spans="1:60" ht="14.25" customHeight="1">
      <c r="A89" s="212"/>
      <c r="B89" s="291" t="s">
        <v>2145</v>
      </c>
      <c r="C89" s="289" t="s">
        <v>2146</v>
      </c>
      <c r="D89" s="226" t="s">
        <v>1684</v>
      </c>
      <c r="E89" s="290">
        <f>'[5]COSTO CDMX,QRO,GDL '!I89</f>
        <v>5633.4527711219453</v>
      </c>
      <c r="F89" s="217" t="s">
        <v>1928</v>
      </c>
    </row>
    <row r="90" spans="1:60" ht="14.25" customHeight="1">
      <c r="A90" s="212"/>
      <c r="B90" s="288" t="s">
        <v>2147</v>
      </c>
      <c r="C90" s="292" t="s">
        <v>2148</v>
      </c>
      <c r="D90" s="226" t="s">
        <v>1687</v>
      </c>
      <c r="E90" s="290">
        <f>'[5]COSTO CDMX,QRO,GDL '!I90</f>
        <v>5756.1546723952733</v>
      </c>
      <c r="F90" s="217" t="s">
        <v>1928</v>
      </c>
    </row>
    <row r="91" spans="1:60" ht="14.25" customHeight="1">
      <c r="A91" s="212"/>
      <c r="B91" s="288" t="s">
        <v>2149</v>
      </c>
      <c r="C91" s="289"/>
      <c r="D91" s="226" t="s">
        <v>1689</v>
      </c>
      <c r="E91" s="290">
        <f>'[5]COSTO CDMX,QRO,GDL '!I91</f>
        <v>5829.8687194175927</v>
      </c>
      <c r="F91" s="217" t="s">
        <v>1928</v>
      </c>
    </row>
    <row r="92" spans="1:60" ht="14.25" customHeight="1">
      <c r="A92" s="212"/>
      <c r="B92" s="288" t="s">
        <v>2150</v>
      </c>
      <c r="C92" s="289"/>
      <c r="D92" s="226" t="s">
        <v>1691</v>
      </c>
      <c r="E92" s="290">
        <f>'[5]COSTO CDMX,QRO,GDL '!I92</f>
        <v>5914.9549468910382</v>
      </c>
      <c r="F92" s="217" t="s">
        <v>1928</v>
      </c>
    </row>
    <row r="93" spans="1:60" ht="14.25" customHeight="1">
      <c r="A93" s="212"/>
      <c r="B93" s="213"/>
      <c r="C93" s="289"/>
      <c r="D93" s="226"/>
      <c r="E93" s="290"/>
      <c r="F93" s="228"/>
    </row>
    <row r="94" spans="1:60" ht="14.25" customHeight="1">
      <c r="A94" s="212"/>
      <c r="B94" s="213"/>
      <c r="C94" s="289"/>
      <c r="D94" s="226"/>
      <c r="E94" s="290"/>
      <c r="F94" s="228"/>
    </row>
    <row r="95" spans="1:60" ht="14.25" customHeight="1">
      <c r="A95" s="212"/>
      <c r="B95" s="213"/>
      <c r="C95" s="289"/>
      <c r="D95" s="226"/>
      <c r="E95" s="290"/>
      <c r="F95" s="228"/>
    </row>
    <row r="96" spans="1:60" ht="14.25" customHeight="1">
      <c r="A96" s="212"/>
      <c r="B96" s="213"/>
      <c r="C96" s="289"/>
      <c r="D96" s="226"/>
      <c r="E96" s="290"/>
      <c r="F96" s="228"/>
    </row>
    <row r="97" spans="1:6" ht="14.25" customHeight="1">
      <c r="A97" s="212"/>
      <c r="B97" s="288" t="s">
        <v>2151</v>
      </c>
      <c r="C97" s="289" t="s">
        <v>2144</v>
      </c>
      <c r="D97" s="226" t="s">
        <v>1693</v>
      </c>
      <c r="E97" s="290">
        <f>'[5]COSTO CDMX,QRO,GDL '!I97</f>
        <v>6195.1569399689697</v>
      </c>
      <c r="F97" s="217" t="s">
        <v>284</v>
      </c>
    </row>
    <row r="98" spans="1:6" ht="14.25" customHeight="1">
      <c r="A98" s="212"/>
      <c r="B98" s="288" t="s">
        <v>2152</v>
      </c>
      <c r="C98" s="289" t="s">
        <v>2146</v>
      </c>
      <c r="D98" s="226" t="s">
        <v>1695</v>
      </c>
      <c r="E98" s="290">
        <f>'[5]COSTO CDMX,QRO,GDL '!I98</f>
        <v>6433.3655567490168</v>
      </c>
      <c r="F98" s="217" t="s">
        <v>284</v>
      </c>
    </row>
    <row r="99" spans="1:6" ht="14.25" customHeight="1">
      <c r="A99" s="212"/>
      <c r="B99" s="288" t="s">
        <v>2153</v>
      </c>
      <c r="C99" s="292" t="s">
        <v>2154</v>
      </c>
      <c r="D99" s="226" t="s">
        <v>2155</v>
      </c>
      <c r="E99" s="290">
        <f>'[5]COSTO CDMX,QRO,GDL '!I99</f>
        <v>6815.2935911206587</v>
      </c>
      <c r="F99" s="217" t="s">
        <v>284</v>
      </c>
    </row>
    <row r="100" spans="1:6" ht="14.25" customHeight="1">
      <c r="A100" s="212"/>
      <c r="B100" s="288" t="s">
        <v>2156</v>
      </c>
      <c r="C100" s="289"/>
      <c r="D100" s="226" t="s">
        <v>1700</v>
      </c>
      <c r="E100" s="290">
        <f>'[5]COSTO CDMX,QRO,GDL '!I100</f>
        <v>6992.5223773720018</v>
      </c>
      <c r="F100" s="217" t="s">
        <v>284</v>
      </c>
    </row>
    <row r="101" spans="1:6" ht="14.25" customHeight="1">
      <c r="A101" s="212"/>
      <c r="B101" s="221"/>
      <c r="C101" s="170"/>
      <c r="D101" s="226"/>
      <c r="E101" s="242"/>
      <c r="F101" s="228"/>
    </row>
    <row r="102" spans="1:6" ht="14.25" customHeight="1">
      <c r="A102" s="212"/>
      <c r="B102" s="221"/>
      <c r="C102" s="170"/>
      <c r="D102" s="226"/>
      <c r="E102" s="242"/>
      <c r="F102" s="228"/>
    </row>
    <row r="103" spans="1:6" ht="14.25" customHeight="1">
      <c r="A103" s="212"/>
      <c r="B103" s="221"/>
      <c r="C103" s="170"/>
      <c r="D103" s="226"/>
      <c r="E103" s="242"/>
      <c r="F103" s="228"/>
    </row>
    <row r="104" spans="1:6" ht="14.25" customHeight="1">
      <c r="A104" s="212"/>
      <c r="B104" s="221"/>
      <c r="C104" s="170"/>
      <c r="D104" s="226"/>
      <c r="E104" s="293"/>
      <c r="F104" s="284"/>
    </row>
    <row r="105" spans="1:6" ht="14.25" customHeight="1">
      <c r="A105" s="212"/>
      <c r="B105" s="221"/>
      <c r="C105" s="289"/>
      <c r="D105" s="226"/>
      <c r="E105" s="227"/>
      <c r="F105" s="228"/>
    </row>
    <row r="106" spans="1:6" ht="14.25" customHeight="1">
      <c r="A106" s="212"/>
      <c r="B106" s="221"/>
      <c r="C106" s="289"/>
      <c r="D106" s="226"/>
      <c r="E106" s="227"/>
      <c r="F106" s="228"/>
    </row>
    <row r="107" spans="1:6" ht="14.25" customHeight="1">
      <c r="A107" s="206"/>
      <c r="B107" s="207"/>
      <c r="C107" s="208" t="s">
        <v>1701</v>
      </c>
      <c r="D107" s="209"/>
      <c r="E107" s="210"/>
      <c r="F107" s="211"/>
    </row>
    <row r="108" spans="1:6" ht="14.25" customHeight="1">
      <c r="A108" s="212"/>
      <c r="B108" s="291" t="s">
        <v>2157</v>
      </c>
      <c r="C108" s="289" t="s">
        <v>2158</v>
      </c>
      <c r="D108" s="226" t="s">
        <v>1681</v>
      </c>
      <c r="E108" s="290">
        <f>'[5]COSTO CDMX,QRO,GDL '!I108</f>
        <v>5873.4422891963814</v>
      </c>
      <c r="F108" s="217" t="s">
        <v>284</v>
      </c>
    </row>
    <row r="109" spans="1:6" ht="14.25" customHeight="1">
      <c r="A109" s="212"/>
      <c r="B109" s="291" t="s">
        <v>2159</v>
      </c>
      <c r="C109" s="289" t="s">
        <v>2146</v>
      </c>
      <c r="D109" s="226" t="s">
        <v>1684</v>
      </c>
      <c r="E109" s="290">
        <f>'[5]COSTO CDMX,QRO,GDL '!I109</f>
        <v>5975.7668897518533</v>
      </c>
      <c r="F109" s="217" t="s">
        <v>284</v>
      </c>
    </row>
    <row r="110" spans="1:6" ht="14.25" customHeight="1">
      <c r="A110" s="212"/>
      <c r="B110" s="291" t="s">
        <v>2160</v>
      </c>
      <c r="C110" s="292" t="s">
        <v>2148</v>
      </c>
      <c r="D110" s="226" t="s">
        <v>1687</v>
      </c>
      <c r="E110" s="290">
        <f>'[5]COSTO CDMX,QRO,GDL '!I110</f>
        <v>6098.4687910251832</v>
      </c>
      <c r="F110" s="217" t="s">
        <v>284</v>
      </c>
    </row>
    <row r="111" spans="1:6" ht="14.25" customHeight="1">
      <c r="A111" s="212"/>
      <c r="B111" s="291" t="s">
        <v>2161</v>
      </c>
      <c r="C111" s="289"/>
      <c r="D111" s="226" t="s">
        <v>1689</v>
      </c>
      <c r="E111" s="290">
        <f>'[5]COSTO CDMX,QRO,GDL '!I111</f>
        <v>6172.1828380475008</v>
      </c>
      <c r="F111" s="217" t="s">
        <v>284</v>
      </c>
    </row>
    <row r="112" spans="1:6" ht="14.25" customHeight="1">
      <c r="A112" s="212"/>
      <c r="B112" s="291" t="s">
        <v>2162</v>
      </c>
      <c r="C112" s="289"/>
      <c r="D112" s="226" t="s">
        <v>1691</v>
      </c>
      <c r="E112" s="290">
        <f>'[5]COSTO CDMX,QRO,GDL '!I112</f>
        <v>6257.2690655209462</v>
      </c>
      <c r="F112" s="217" t="s">
        <v>284</v>
      </c>
    </row>
    <row r="113" spans="1:6" ht="14.25" customHeight="1">
      <c r="A113" s="212"/>
      <c r="B113" s="213"/>
      <c r="C113" s="289"/>
      <c r="D113" s="226"/>
      <c r="E113" s="290"/>
      <c r="F113" s="228"/>
    </row>
    <row r="114" spans="1:6" ht="14.25" customHeight="1">
      <c r="A114" s="212"/>
      <c r="B114" s="213"/>
      <c r="C114" s="289"/>
      <c r="D114" s="226"/>
      <c r="E114" s="290"/>
      <c r="F114" s="228"/>
    </row>
    <row r="115" spans="1:6" ht="14.25" customHeight="1">
      <c r="A115" s="212"/>
      <c r="B115" s="213"/>
      <c r="C115" s="289"/>
      <c r="D115" s="226"/>
      <c r="E115" s="290"/>
      <c r="F115" s="228"/>
    </row>
    <row r="116" spans="1:6" ht="14.25" customHeight="1">
      <c r="A116" s="212"/>
      <c r="B116" s="213"/>
      <c r="C116" s="289"/>
      <c r="D116" s="226"/>
      <c r="E116" s="290"/>
      <c r="F116" s="228"/>
    </row>
    <row r="117" spans="1:6" ht="14.25" customHeight="1">
      <c r="A117" s="212"/>
      <c r="B117" s="213"/>
      <c r="C117" s="289"/>
      <c r="D117" s="226"/>
      <c r="E117" s="290"/>
      <c r="F117" s="217"/>
    </row>
    <row r="118" spans="1:6" ht="14.25" customHeight="1">
      <c r="A118" s="212"/>
      <c r="B118" s="291" t="s">
        <v>2163</v>
      </c>
      <c r="C118" s="289" t="s">
        <v>2158</v>
      </c>
      <c r="D118" s="226" t="s">
        <v>1693</v>
      </c>
      <c r="E118" s="290">
        <f>'[5]COSTO CDMX,QRO,GDL '!I118</f>
        <v>6797.7348132235347</v>
      </c>
      <c r="F118" s="217" t="s">
        <v>1928</v>
      </c>
    </row>
    <row r="119" spans="1:6" ht="14.25" customHeight="1">
      <c r="A119" s="212"/>
      <c r="B119" s="291" t="s">
        <v>2164</v>
      </c>
      <c r="C119" s="289" t="s">
        <v>2146</v>
      </c>
      <c r="D119" s="226" t="s">
        <v>1695</v>
      </c>
      <c r="E119" s="290">
        <f>'[5]COSTO CDMX,QRO,GDL '!I119</f>
        <v>7035.9434300035809</v>
      </c>
      <c r="F119" s="217" t="s">
        <v>1928</v>
      </c>
    </row>
    <row r="120" spans="1:6" ht="14.25" customHeight="1">
      <c r="A120" s="212"/>
      <c r="B120" s="291" t="s">
        <v>2165</v>
      </c>
      <c r="C120" s="292" t="s">
        <v>2166</v>
      </c>
      <c r="D120" s="226" t="s">
        <v>1792</v>
      </c>
      <c r="E120" s="290">
        <f>'[5]COSTO CDMX,QRO,GDL '!I120</f>
        <v>7417.8714643752246</v>
      </c>
      <c r="F120" s="217" t="s">
        <v>1928</v>
      </c>
    </row>
    <row r="121" spans="1:6" ht="14.25" customHeight="1">
      <c r="A121" s="212"/>
      <c r="B121" s="291" t="s">
        <v>2167</v>
      </c>
      <c r="C121" s="289"/>
      <c r="D121" s="226" t="s">
        <v>1700</v>
      </c>
      <c r="E121" s="290">
        <f>'[5]COSTO CDMX,QRO,GDL '!I121</f>
        <v>7595.1002506265677</v>
      </c>
      <c r="F121" s="217" t="s">
        <v>1928</v>
      </c>
    </row>
    <row r="122" spans="1:6" ht="14.25" customHeight="1">
      <c r="A122" s="212"/>
      <c r="B122" s="221"/>
      <c r="C122" s="170"/>
      <c r="D122" s="226"/>
      <c r="E122" s="227"/>
      <c r="F122" s="228"/>
    </row>
    <row r="123" spans="1:6" ht="14.25" customHeight="1">
      <c r="A123" s="212"/>
      <c r="B123" s="221"/>
      <c r="C123" s="170"/>
      <c r="D123" s="226"/>
      <c r="E123" s="293"/>
      <c r="F123" s="284"/>
    </row>
    <row r="124" spans="1:6" ht="14.25" customHeight="1">
      <c r="A124" s="212"/>
      <c r="B124" s="221"/>
      <c r="C124" s="170"/>
      <c r="D124" s="226"/>
      <c r="E124" s="293"/>
      <c r="F124" s="284"/>
    </row>
    <row r="125" spans="1:6" ht="14.25" customHeight="1">
      <c r="A125" s="212"/>
      <c r="B125" s="221"/>
      <c r="C125" s="289"/>
      <c r="D125" s="226"/>
      <c r="E125" s="227"/>
      <c r="F125" s="228"/>
    </row>
    <row r="126" spans="1:6" ht="14.25" customHeight="1">
      <c r="A126" s="212"/>
      <c r="B126" s="221"/>
      <c r="C126" s="289"/>
      <c r="D126" s="226"/>
      <c r="E126" s="227"/>
      <c r="F126" s="228"/>
    </row>
    <row r="127" spans="1:6" ht="14.25" customHeight="1">
      <c r="A127" s="206"/>
      <c r="B127" s="207"/>
      <c r="C127" s="208" t="s">
        <v>2168</v>
      </c>
      <c r="D127" s="209"/>
      <c r="E127" s="210"/>
      <c r="F127" s="211"/>
    </row>
    <row r="128" spans="1:6" ht="14.25" customHeight="1">
      <c r="A128" s="212"/>
      <c r="B128" s="291" t="s">
        <v>2169</v>
      </c>
      <c r="C128" s="289" t="s">
        <v>2170</v>
      </c>
      <c r="D128" s="226" t="s">
        <v>1681</v>
      </c>
      <c r="E128" s="290">
        <f>'[5]COSTO CDMX,QRO,GDL '!I128</f>
        <v>5531.1281705664733</v>
      </c>
      <c r="F128" s="217" t="s">
        <v>1928</v>
      </c>
    </row>
    <row r="129" spans="1:6" ht="14.25" customHeight="1">
      <c r="A129" s="212"/>
      <c r="B129" s="291" t="s">
        <v>2171</v>
      </c>
      <c r="C129" s="289" t="s">
        <v>2146</v>
      </c>
      <c r="D129" s="226" t="s">
        <v>1684</v>
      </c>
      <c r="E129" s="290">
        <f>'[5]COSTO CDMX,QRO,GDL '!I129</f>
        <v>5633.4527711219453</v>
      </c>
      <c r="F129" s="217" t="s">
        <v>1928</v>
      </c>
    </row>
    <row r="130" spans="1:6" ht="14.25" customHeight="1">
      <c r="A130" s="212"/>
      <c r="B130" s="291" t="s">
        <v>2172</v>
      </c>
      <c r="C130" s="292" t="s">
        <v>2148</v>
      </c>
      <c r="D130" s="226" t="s">
        <v>1687</v>
      </c>
      <c r="E130" s="290">
        <f>'[5]COSTO CDMX,QRO,GDL '!I130</f>
        <v>5756.1546723952733</v>
      </c>
      <c r="F130" s="217" t="s">
        <v>1928</v>
      </c>
    </row>
    <row r="131" spans="1:6" ht="14.25" customHeight="1">
      <c r="A131" s="212"/>
      <c r="B131" s="291" t="s">
        <v>2173</v>
      </c>
      <c r="C131" s="289"/>
      <c r="D131" s="226" t="s">
        <v>1689</v>
      </c>
      <c r="E131" s="290">
        <f>'[5]COSTO CDMX,QRO,GDL '!I131</f>
        <v>5829.8687194175927</v>
      </c>
      <c r="F131" s="217" t="s">
        <v>1928</v>
      </c>
    </row>
    <row r="132" spans="1:6" ht="14.25" customHeight="1">
      <c r="A132" s="212"/>
      <c r="B132" s="291" t="s">
        <v>2174</v>
      </c>
      <c r="C132" s="289"/>
      <c r="D132" s="226" t="s">
        <v>1691</v>
      </c>
      <c r="E132" s="290">
        <f>'[5]COSTO CDMX,QRO,GDL '!I132</f>
        <v>5914.9549468910382</v>
      </c>
      <c r="F132" s="217" t="s">
        <v>1928</v>
      </c>
    </row>
    <row r="133" spans="1:6" ht="14.25" customHeight="1">
      <c r="A133" s="212"/>
      <c r="B133" s="213"/>
      <c r="C133" s="289"/>
      <c r="D133" s="226"/>
      <c r="E133" s="227"/>
      <c r="F133" s="228"/>
    </row>
    <row r="134" spans="1:6" ht="14.25" customHeight="1">
      <c r="A134" s="212"/>
      <c r="B134" s="213"/>
      <c r="C134" s="289"/>
      <c r="D134" s="226"/>
      <c r="E134" s="227"/>
      <c r="F134" s="228"/>
    </row>
    <row r="135" spans="1:6" ht="14.25" customHeight="1">
      <c r="A135" s="212"/>
      <c r="B135" s="213"/>
      <c r="C135" s="289"/>
      <c r="D135" s="226"/>
      <c r="E135" s="227"/>
      <c r="F135" s="228"/>
    </row>
    <row r="136" spans="1:6" ht="14.25" customHeight="1">
      <c r="A136" s="212"/>
      <c r="B136" s="291" t="s">
        <v>2175</v>
      </c>
      <c r="C136" s="289" t="s">
        <v>2170</v>
      </c>
      <c r="D136" s="226" t="s">
        <v>1693</v>
      </c>
      <c r="E136" s="290">
        <f>'[5]COSTO CDMX,QRO,GDL '!I136</f>
        <v>6195.1569399689697</v>
      </c>
      <c r="F136" s="217" t="s">
        <v>1928</v>
      </c>
    </row>
    <row r="137" spans="1:6" ht="14.25" customHeight="1">
      <c r="A137" s="212"/>
      <c r="B137" s="291" t="s">
        <v>2176</v>
      </c>
      <c r="C137" s="289" t="s">
        <v>2146</v>
      </c>
      <c r="D137" s="226" t="s">
        <v>1695</v>
      </c>
      <c r="E137" s="290">
        <f>'[5]COSTO CDMX,QRO,GDL '!I137</f>
        <v>6433.3655567490168</v>
      </c>
      <c r="F137" s="217" t="s">
        <v>1928</v>
      </c>
    </row>
    <row r="138" spans="1:6" ht="14.25" customHeight="1">
      <c r="A138" s="212"/>
      <c r="B138" s="291" t="s">
        <v>2177</v>
      </c>
      <c r="C138" s="292" t="s">
        <v>2166</v>
      </c>
      <c r="D138" s="226" t="s">
        <v>1698</v>
      </c>
      <c r="E138" s="290">
        <f>'[5]COSTO CDMX,QRO,GDL '!I138</f>
        <v>6815.2935911206587</v>
      </c>
      <c r="F138" s="217" t="s">
        <v>1928</v>
      </c>
    </row>
    <row r="139" spans="1:6" ht="14.25" customHeight="1">
      <c r="A139" s="212"/>
      <c r="B139" s="291" t="s">
        <v>2178</v>
      </c>
      <c r="C139" s="289"/>
      <c r="D139" s="226" t="s">
        <v>1700</v>
      </c>
      <c r="E139" s="290">
        <f>'[5]COSTO CDMX,QRO,GDL '!I139</f>
        <v>6992.5223773720018</v>
      </c>
      <c r="F139" s="217" t="s">
        <v>1928</v>
      </c>
    </row>
    <row r="140" spans="1:6" ht="14.25" customHeight="1">
      <c r="A140" s="212"/>
      <c r="B140" s="221"/>
      <c r="C140" s="289"/>
      <c r="D140" s="226"/>
      <c r="E140" s="227"/>
      <c r="F140" s="228"/>
    </row>
    <row r="141" spans="1:6" ht="14.25" customHeight="1">
      <c r="A141" s="206"/>
      <c r="B141" s="207"/>
      <c r="C141" s="208" t="s">
        <v>2179</v>
      </c>
      <c r="D141" s="209"/>
      <c r="E141" s="210"/>
      <c r="F141" s="211"/>
    </row>
    <row r="142" spans="1:6" ht="14.25" customHeight="1">
      <c r="A142" s="212"/>
      <c r="B142" s="291" t="s">
        <v>2180</v>
      </c>
      <c r="C142" s="289" t="s">
        <v>2170</v>
      </c>
      <c r="D142" s="226" t="s">
        <v>1681</v>
      </c>
      <c r="E142" s="290">
        <f>'[5]COSTO CDMX,QRO,GDL '!I142</f>
        <v>5873.4422891963814</v>
      </c>
      <c r="F142" s="217" t="s">
        <v>1928</v>
      </c>
    </row>
    <row r="143" spans="1:6" ht="14.25" customHeight="1">
      <c r="A143" s="212"/>
      <c r="B143" s="291" t="s">
        <v>2181</v>
      </c>
      <c r="C143" s="289" t="s">
        <v>2146</v>
      </c>
      <c r="D143" s="226" t="s">
        <v>1684</v>
      </c>
      <c r="E143" s="290">
        <f>'[5]COSTO CDMX,QRO,GDL '!I143</f>
        <v>5975.7668897518533</v>
      </c>
      <c r="F143" s="217" t="s">
        <v>1928</v>
      </c>
    </row>
    <row r="144" spans="1:6" ht="14.25" customHeight="1">
      <c r="A144" s="212"/>
      <c r="B144" s="291" t="s">
        <v>2182</v>
      </c>
      <c r="C144" s="292" t="s">
        <v>2148</v>
      </c>
      <c r="D144" s="226" t="s">
        <v>1687</v>
      </c>
      <c r="E144" s="290">
        <f>'[5]COSTO CDMX,QRO,GDL '!I144</f>
        <v>6098.4687910251832</v>
      </c>
      <c r="F144" s="217" t="s">
        <v>1928</v>
      </c>
    </row>
    <row r="145" spans="1:6" ht="14.25" customHeight="1">
      <c r="A145" s="212"/>
      <c r="B145" s="291" t="s">
        <v>2183</v>
      </c>
      <c r="C145" s="289"/>
      <c r="D145" s="226" t="s">
        <v>1689</v>
      </c>
      <c r="E145" s="290">
        <f>'[5]COSTO CDMX,QRO,GDL '!I145</f>
        <v>6172.1828380475008</v>
      </c>
      <c r="F145" s="217" t="s">
        <v>1928</v>
      </c>
    </row>
    <row r="146" spans="1:6" ht="14.25" customHeight="1">
      <c r="A146" s="212"/>
      <c r="B146" s="291" t="s">
        <v>2184</v>
      </c>
      <c r="C146" s="289"/>
      <c r="D146" s="226" t="s">
        <v>1691</v>
      </c>
      <c r="E146" s="290">
        <f>'[5]COSTO CDMX,QRO,GDL '!I146</f>
        <v>6257.2690655209462</v>
      </c>
      <c r="F146" s="217" t="s">
        <v>1928</v>
      </c>
    </row>
    <row r="147" spans="1:6" ht="14.25" customHeight="1">
      <c r="A147" s="212"/>
      <c r="B147" s="213"/>
      <c r="C147" s="289"/>
      <c r="D147" s="226"/>
      <c r="E147" s="227"/>
      <c r="F147" s="228"/>
    </row>
    <row r="148" spans="1:6" ht="14.25" customHeight="1">
      <c r="A148" s="212"/>
      <c r="B148" s="213"/>
      <c r="C148" s="289"/>
      <c r="D148" s="226"/>
      <c r="E148" s="227"/>
      <c r="F148" s="228"/>
    </row>
    <row r="149" spans="1:6" ht="14.25" customHeight="1">
      <c r="A149" s="212"/>
      <c r="B149" s="213"/>
      <c r="C149" s="289"/>
      <c r="D149" s="226"/>
      <c r="E149" s="227"/>
      <c r="F149" s="228"/>
    </row>
    <row r="150" spans="1:6" ht="14.25" customHeight="1">
      <c r="A150" s="212"/>
      <c r="B150" s="291" t="s">
        <v>2185</v>
      </c>
      <c r="C150" s="289" t="s">
        <v>2170</v>
      </c>
      <c r="D150" s="226" t="s">
        <v>1693</v>
      </c>
      <c r="E150" s="290">
        <f>'[5]COSTO CDMX,QRO,GDL '!I150</f>
        <v>6797.7348132235347</v>
      </c>
      <c r="F150" s="217" t="s">
        <v>1928</v>
      </c>
    </row>
    <row r="151" spans="1:6" ht="14.25" customHeight="1">
      <c r="A151" s="212"/>
      <c r="B151" s="291" t="s">
        <v>2186</v>
      </c>
      <c r="C151" s="289" t="s">
        <v>2146</v>
      </c>
      <c r="D151" s="226" t="s">
        <v>1695</v>
      </c>
      <c r="E151" s="290">
        <f>'[5]COSTO CDMX,QRO,GDL '!I151</f>
        <v>7035.9434300035809</v>
      </c>
      <c r="F151" s="217" t="s">
        <v>1928</v>
      </c>
    </row>
    <row r="152" spans="1:6" ht="14.25" customHeight="1">
      <c r="A152" s="212"/>
      <c r="B152" s="291" t="s">
        <v>2187</v>
      </c>
      <c r="C152" s="292" t="s">
        <v>2166</v>
      </c>
      <c r="D152" s="226" t="s">
        <v>1698</v>
      </c>
      <c r="E152" s="290">
        <f>'[5]COSTO CDMX,QRO,GDL '!I152</f>
        <v>7417.8714643752246</v>
      </c>
      <c r="F152" s="217" t="s">
        <v>1928</v>
      </c>
    </row>
    <row r="153" spans="1:6" ht="14.25" customHeight="1">
      <c r="A153" s="212"/>
      <c r="B153" s="291" t="s">
        <v>2188</v>
      </c>
      <c r="C153" s="289"/>
      <c r="D153" s="226"/>
      <c r="E153" s="290"/>
      <c r="F153" s="217"/>
    </row>
    <row r="154" spans="1:6" ht="14.25" customHeight="1">
      <c r="A154" s="212"/>
      <c r="B154" s="221"/>
      <c r="C154" s="289"/>
      <c r="D154" s="226"/>
      <c r="E154" s="227"/>
      <c r="F154" s="228"/>
    </row>
    <row r="155" spans="1:6" ht="14.25" customHeight="1">
      <c r="A155" s="206"/>
      <c r="B155" s="207"/>
      <c r="C155" s="208" t="s">
        <v>1712</v>
      </c>
      <c r="D155" s="209"/>
      <c r="E155" s="210"/>
      <c r="F155" s="211"/>
    </row>
    <row r="156" spans="1:6" ht="14.25" customHeight="1">
      <c r="A156" s="212"/>
      <c r="B156" s="291" t="s">
        <v>2189</v>
      </c>
      <c r="C156" s="289" t="s">
        <v>2190</v>
      </c>
      <c r="D156" s="226" t="s">
        <v>1693</v>
      </c>
      <c r="E156" s="290">
        <f>'[5]COSTO CDMX,QRO,GDL '!I156</f>
        <v>4680.7771635378158</v>
      </c>
      <c r="F156" s="217" t="s">
        <v>284</v>
      </c>
    </row>
    <row r="157" spans="1:6" ht="14.25" customHeight="1">
      <c r="A157" s="212"/>
      <c r="B157" s="291" t="s">
        <v>2191</v>
      </c>
      <c r="C157" s="289" t="s">
        <v>1683</v>
      </c>
      <c r="D157" s="226" t="s">
        <v>1695</v>
      </c>
      <c r="E157" s="290">
        <f>'[5]COSTO CDMX,QRO,GDL '!I157</f>
        <v>4773.5499624080576</v>
      </c>
      <c r="F157" s="217" t="s">
        <v>284</v>
      </c>
    </row>
    <row r="158" spans="1:6" ht="14.25" customHeight="1">
      <c r="A158" s="212"/>
      <c r="B158" s="291" t="s">
        <v>2192</v>
      </c>
      <c r="C158" s="292" t="s">
        <v>2193</v>
      </c>
      <c r="D158" s="226" t="s">
        <v>1698</v>
      </c>
      <c r="E158" s="290">
        <f>'[5]COSTO CDMX,QRO,GDL '!I158</f>
        <v>4794.1897972893767</v>
      </c>
      <c r="F158" s="217" t="s">
        <v>284</v>
      </c>
    </row>
    <row r="159" spans="1:6" ht="14.25" customHeight="1">
      <c r="A159" s="294"/>
      <c r="B159" s="291" t="s">
        <v>2194</v>
      </c>
      <c r="C159" s="289"/>
      <c r="D159" s="226" t="s">
        <v>1700</v>
      </c>
      <c r="E159" s="290">
        <f>'[5]COSTO CDMX,QRO,GDL '!I159</f>
        <v>4960.1807809404554</v>
      </c>
      <c r="F159" s="217" t="s">
        <v>284</v>
      </c>
    </row>
    <row r="160" spans="1:6" ht="14.25" customHeight="1">
      <c r="A160" s="212"/>
      <c r="B160" s="213"/>
      <c r="C160" s="295"/>
      <c r="D160" s="226"/>
      <c r="E160" s="227"/>
      <c r="F160" s="296"/>
    </row>
    <row r="161" spans="1:6" ht="14.25" customHeight="1">
      <c r="A161" s="294"/>
      <c r="B161" s="221"/>
      <c r="D161" s="226"/>
      <c r="E161" s="227"/>
      <c r="F161" s="296"/>
    </row>
    <row r="162" spans="1:6" ht="14.25" customHeight="1">
      <c r="A162" s="212"/>
      <c r="B162" s="221"/>
      <c r="C162" s="289"/>
      <c r="D162" s="226"/>
      <c r="E162" s="227"/>
      <c r="F162" s="296"/>
    </row>
    <row r="163" spans="1:6" ht="14.25" customHeight="1">
      <c r="A163" s="212"/>
      <c r="B163" s="221"/>
      <c r="C163" s="289"/>
      <c r="D163" s="226"/>
      <c r="E163" s="227"/>
      <c r="F163" s="296"/>
    </row>
    <row r="164" spans="1:6" ht="14.25" customHeight="1">
      <c r="A164" s="212"/>
      <c r="B164" s="221"/>
      <c r="C164" s="289"/>
      <c r="D164" s="226"/>
      <c r="E164" s="227"/>
      <c r="F164" s="296"/>
    </row>
    <row r="165" spans="1:6" ht="14.25" customHeight="1">
      <c r="A165" s="245"/>
      <c r="B165" s="246"/>
      <c r="C165" s="208" t="s">
        <v>1873</v>
      </c>
      <c r="D165" s="247"/>
      <c r="E165" s="248"/>
      <c r="F165" s="298"/>
    </row>
    <row r="166" spans="1:6" ht="14.25" customHeight="1">
      <c r="A166" s="212"/>
      <c r="B166" s="291" t="s">
        <v>2195</v>
      </c>
      <c r="C166" s="289" t="s">
        <v>2196</v>
      </c>
      <c r="D166" s="226" t="s">
        <v>1693</v>
      </c>
      <c r="E166" s="290">
        <f>'[5]COSTO CDMX,QRO,GDL '!I166</f>
        <v>8319.3610536035412</v>
      </c>
      <c r="F166" s="217" t="s">
        <v>284</v>
      </c>
    </row>
    <row r="167" spans="1:6" ht="14.25" customHeight="1">
      <c r="A167" s="212"/>
      <c r="B167" s="291" t="s">
        <v>2197</v>
      </c>
      <c r="C167" s="289" t="s">
        <v>1683</v>
      </c>
      <c r="D167" s="226" t="s">
        <v>1695</v>
      </c>
      <c r="E167" s="290">
        <f>'[5]COSTO CDMX,QRO,GDL '!I167</f>
        <v>7907.4320980878156</v>
      </c>
      <c r="F167" s="217" t="s">
        <v>284</v>
      </c>
    </row>
    <row r="168" spans="1:6" ht="14.25" customHeight="1">
      <c r="A168" s="212"/>
      <c r="B168" s="291" t="s">
        <v>2198</v>
      </c>
      <c r="C168" s="292" t="s">
        <v>2193</v>
      </c>
      <c r="D168" s="226" t="s">
        <v>1698</v>
      </c>
      <c r="E168" s="290">
        <f>'[5]COSTO CDMX,QRO,GDL '!I168</f>
        <v>7928.0719329691356</v>
      </c>
      <c r="F168" s="217" t="s">
        <v>284</v>
      </c>
    </row>
    <row r="169" spans="1:6" ht="14.25" customHeight="1">
      <c r="A169" s="212"/>
      <c r="B169" s="291" t="s">
        <v>2199</v>
      </c>
      <c r="C169" s="299"/>
      <c r="D169" s="226" t="s">
        <v>1700</v>
      </c>
      <c r="E169" s="290">
        <f>'[5]COSTO CDMX,QRO,GDL '!I169</f>
        <v>8077.5510487151587</v>
      </c>
      <c r="F169" s="217" t="s">
        <v>284</v>
      </c>
    </row>
    <row r="170" spans="1:6" ht="14.25" customHeight="1">
      <c r="A170" s="212"/>
      <c r="B170" s="213"/>
      <c r="C170" s="295"/>
      <c r="D170" s="226"/>
      <c r="E170" s="293"/>
      <c r="F170" s="280"/>
    </row>
    <row r="171" spans="1:6" ht="14.25" customHeight="1">
      <c r="A171" s="212"/>
      <c r="B171" s="221"/>
      <c r="C171" s="295"/>
      <c r="D171" s="226"/>
      <c r="E171" s="293"/>
      <c r="F171" s="284"/>
    </row>
    <row r="172" spans="1:6" ht="14.25" customHeight="1">
      <c r="A172" s="212"/>
      <c r="B172" s="221"/>
      <c r="C172" s="295"/>
      <c r="D172" s="226"/>
      <c r="E172" s="293"/>
      <c r="F172" s="284"/>
    </row>
    <row r="173" spans="1:6" ht="14.25" customHeight="1">
      <c r="A173" s="212"/>
      <c r="B173" s="221"/>
      <c r="C173" s="295"/>
      <c r="D173" s="226"/>
      <c r="E173" s="293"/>
      <c r="F173" s="284"/>
    </row>
    <row r="174" spans="1:6" ht="14.25" customHeight="1">
      <c r="A174" s="212"/>
      <c r="B174" s="221"/>
      <c r="C174" s="289"/>
      <c r="D174" s="226"/>
      <c r="E174" s="227"/>
      <c r="F174" s="228"/>
    </row>
    <row r="175" spans="1:6" ht="15" customHeight="1">
      <c r="A175" s="206"/>
      <c r="B175" s="207"/>
      <c r="C175" s="208" t="s">
        <v>1779</v>
      </c>
      <c r="D175" s="209"/>
      <c r="E175" s="210"/>
      <c r="F175" s="211"/>
    </row>
    <row r="176" spans="1:6" ht="14.25" customHeight="1">
      <c r="A176" s="300"/>
      <c r="B176" s="301" t="s">
        <v>2200</v>
      </c>
      <c r="C176" s="295" t="s">
        <v>2201</v>
      </c>
      <c r="D176" s="301" t="s">
        <v>2202</v>
      </c>
      <c r="E176" s="290">
        <f>'[5]COSTO CDMX,QRO,GDL '!I176</f>
        <v>1444.5842618396234</v>
      </c>
      <c r="F176" s="217" t="s">
        <v>1928</v>
      </c>
    </row>
    <row r="177" spans="1:60" ht="14.25" customHeight="1">
      <c r="A177" s="302"/>
      <c r="B177" s="301" t="s">
        <v>2203</v>
      </c>
      <c r="C177" s="289" t="s">
        <v>2204</v>
      </c>
      <c r="D177" s="301" t="s">
        <v>2205</v>
      </c>
      <c r="E177" s="290">
        <f>'[5]COSTO CDMX,QRO,GDL '!I177</f>
        <v>1549.4959707227617</v>
      </c>
      <c r="F177" s="217" t="s">
        <v>1928</v>
      </c>
    </row>
    <row r="178" spans="1:60" ht="14.25" customHeight="1">
      <c r="A178" s="302"/>
      <c r="B178" s="301" t="s">
        <v>2206</v>
      </c>
      <c r="C178" s="295"/>
      <c r="D178" s="301" t="s">
        <v>2207</v>
      </c>
      <c r="E178" s="290">
        <f>'[5]COSTO CDMX,QRO,GDL '!I178</f>
        <v>1599.0761338627419</v>
      </c>
      <c r="F178" s="217" t="s">
        <v>1928</v>
      </c>
    </row>
    <row r="179" spans="1:60" ht="14.25" customHeight="1">
      <c r="A179" s="302"/>
      <c r="B179" s="301" t="s">
        <v>2208</v>
      </c>
      <c r="C179" s="295"/>
      <c r="D179" s="301" t="s">
        <v>2209</v>
      </c>
      <c r="E179" s="290">
        <f>'[5]COSTO CDMX,QRO,GDL '!I179</f>
        <v>1605.1621728271268</v>
      </c>
      <c r="F179" s="217" t="s">
        <v>1928</v>
      </c>
    </row>
    <row r="180" spans="1:60" ht="14.25" customHeight="1">
      <c r="A180" s="302"/>
      <c r="B180" s="301" t="s">
        <v>2210</v>
      </c>
      <c r="C180" s="295"/>
      <c r="D180" s="301" t="s">
        <v>2211</v>
      </c>
      <c r="E180" s="290">
        <f>'[5]COSTO CDMX,QRO,GDL '!I180</f>
        <v>1675.2122607791371</v>
      </c>
      <c r="F180" s="217" t="s">
        <v>1928</v>
      </c>
    </row>
    <row r="181" spans="1:60" ht="14.25" customHeight="1">
      <c r="A181" s="302"/>
      <c r="B181" s="301" t="s">
        <v>2212</v>
      </c>
      <c r="C181" s="295"/>
      <c r="D181" s="301" t="s">
        <v>2213</v>
      </c>
      <c r="E181" s="290">
        <f>'[5]COSTO CDMX,QRO,GDL '!I181</f>
        <v>1704.3224991070872</v>
      </c>
      <c r="F181" s="217" t="s">
        <v>1928</v>
      </c>
    </row>
    <row r="182" spans="1:60" ht="14.25" customHeight="1">
      <c r="A182" s="302"/>
      <c r="B182" s="301" t="s">
        <v>2214</v>
      </c>
      <c r="C182" s="295"/>
      <c r="D182" s="301" t="s">
        <v>2215</v>
      </c>
      <c r="E182" s="290">
        <f>'[5]COSTO CDMX,QRO,GDL '!I182</f>
        <v>1770.2786020966919</v>
      </c>
      <c r="F182" s="217" t="s">
        <v>1928</v>
      </c>
    </row>
    <row r="183" spans="1:60" ht="14.25" customHeight="1">
      <c r="A183" s="302"/>
      <c r="B183" s="303" t="s">
        <v>2216</v>
      </c>
      <c r="C183" s="295"/>
      <c r="D183" s="303" t="s">
        <v>2217</v>
      </c>
      <c r="E183" s="290">
        <f>'[5]COSTO CDMX,QRO,GDL '!I183</f>
        <v>1836.2347050862963</v>
      </c>
      <c r="F183" s="217" t="s">
        <v>1928</v>
      </c>
    </row>
    <row r="184" spans="1:60" ht="14.25" customHeight="1">
      <c r="A184" s="302"/>
      <c r="B184" s="303" t="s">
        <v>2218</v>
      </c>
      <c r="C184" s="295"/>
      <c r="D184" s="303" t="s">
        <v>2219</v>
      </c>
      <c r="E184" s="290">
        <f>'[5]COSTO CDMX,QRO,GDL '!I184</f>
        <v>1960.7951984506351</v>
      </c>
      <c r="F184" s="217" t="s">
        <v>1928</v>
      </c>
    </row>
    <row r="185" spans="1:60" ht="14.25" customHeight="1">
      <c r="A185" s="302"/>
      <c r="B185" s="303" t="s">
        <v>2220</v>
      </c>
      <c r="C185" s="295"/>
      <c r="D185" s="303" t="s">
        <v>2221</v>
      </c>
      <c r="E185" s="290">
        <f>'[5]COSTO CDMX,QRO,GDL '!I185</f>
        <v>1984.5228509151298</v>
      </c>
      <c r="F185" s="217" t="s">
        <v>1928</v>
      </c>
    </row>
    <row r="186" spans="1:60" ht="14.25" customHeight="1">
      <c r="A186" s="302"/>
      <c r="B186" s="303" t="s">
        <v>2222</v>
      </c>
      <c r="C186" s="295"/>
      <c r="D186" s="303" t="s">
        <v>2223</v>
      </c>
      <c r="E186" s="290">
        <f>'[5]COSTO CDMX,QRO,GDL '!I186</f>
        <v>2058.6669238295458</v>
      </c>
      <c r="F186" s="217" t="s">
        <v>1928</v>
      </c>
    </row>
    <row r="187" spans="1:60" ht="14.25" customHeight="1">
      <c r="A187" s="302"/>
      <c r="B187" s="303" t="s">
        <v>2224</v>
      </c>
      <c r="C187" s="295"/>
      <c r="D187" s="303" t="s">
        <v>2225</v>
      </c>
      <c r="E187" s="290">
        <f>'[5]COSTO CDMX,QRO,GDL '!I187</f>
        <v>2132.8109967439623</v>
      </c>
      <c r="F187" s="217" t="s">
        <v>1928</v>
      </c>
    </row>
    <row r="188" spans="1:60" s="184" customFormat="1" ht="15" customHeight="1">
      <c r="A188" s="232" t="s">
        <v>2013</v>
      </c>
      <c r="B188" s="233"/>
      <c r="C188" s="1524" t="s">
        <v>2226</v>
      </c>
      <c r="D188" s="232"/>
      <c r="E188" s="235"/>
      <c r="F188" s="236"/>
      <c r="G188" s="183"/>
      <c r="H188" s="183"/>
      <c r="I188" s="183"/>
      <c r="J188" s="183"/>
      <c r="K188" s="183"/>
      <c r="L188" s="183"/>
      <c r="M188" s="183"/>
      <c r="N188" s="190"/>
      <c r="O188" s="190"/>
      <c r="P188" s="190"/>
      <c r="Q188" s="190"/>
      <c r="R188" s="190"/>
      <c r="S188" s="190"/>
      <c r="T188" s="190"/>
      <c r="U188" s="190"/>
      <c r="V188" s="190"/>
      <c r="W188" s="190"/>
      <c r="X188" s="190"/>
      <c r="Y188" s="190"/>
      <c r="Z188" s="190"/>
      <c r="AA188" s="190"/>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90"/>
      <c r="AX188" s="190"/>
      <c r="AY188" s="190"/>
      <c r="AZ188" s="190"/>
      <c r="BA188" s="190"/>
      <c r="BB188" s="190"/>
      <c r="BC188" s="190"/>
      <c r="BD188" s="190"/>
      <c r="BE188" s="190"/>
      <c r="BF188" s="190"/>
      <c r="BG188" s="190"/>
      <c r="BH188" s="190"/>
    </row>
    <row r="189" spans="1:60" s="198" customFormat="1" ht="15" customHeight="1">
      <c r="A189" s="237" t="s">
        <v>1669</v>
      </c>
      <c r="B189" s="238"/>
      <c r="C189" s="1525"/>
      <c r="D189" s="285"/>
      <c r="E189" s="286"/>
      <c r="F189" s="287"/>
      <c r="G189" s="196"/>
      <c r="H189" s="196"/>
      <c r="I189" s="196"/>
      <c r="J189" s="196"/>
      <c r="K189" s="196"/>
      <c r="L189" s="196"/>
      <c r="M189" s="196"/>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7"/>
      <c r="AR189" s="197"/>
      <c r="AS189" s="197"/>
      <c r="AT189" s="197"/>
      <c r="AU189" s="197"/>
      <c r="AV189" s="197"/>
      <c r="AW189" s="197"/>
      <c r="AX189" s="197"/>
      <c r="AY189" s="197"/>
      <c r="AZ189" s="197"/>
      <c r="BA189" s="197"/>
      <c r="BB189" s="197"/>
      <c r="BC189" s="197"/>
      <c r="BD189" s="197"/>
      <c r="BE189" s="197"/>
      <c r="BF189" s="197"/>
      <c r="BG189" s="197"/>
      <c r="BH189" s="197"/>
    </row>
    <row r="190" spans="1:60" s="204" customFormat="1">
      <c r="A190" s="199" t="s">
        <v>512</v>
      </c>
      <c r="B190" s="200" t="s">
        <v>513</v>
      </c>
      <c r="C190" s="201" t="s">
        <v>514</v>
      </c>
      <c r="D190" s="199" t="s">
        <v>515</v>
      </c>
      <c r="E190" s="202" t="s">
        <v>516</v>
      </c>
      <c r="F190" s="203" t="s">
        <v>1670</v>
      </c>
      <c r="G190" s="184"/>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205"/>
      <c r="AX190" s="205"/>
      <c r="AY190" s="205"/>
      <c r="AZ190" s="205"/>
      <c r="BA190" s="205"/>
      <c r="BB190" s="205"/>
      <c r="BC190" s="205"/>
      <c r="BD190" s="205"/>
      <c r="BE190" s="205"/>
      <c r="BF190" s="205"/>
      <c r="BG190" s="205"/>
      <c r="BH190" s="205"/>
    </row>
    <row r="191" spans="1:60" ht="14.25" customHeight="1">
      <c r="A191" s="206"/>
      <c r="B191" s="207"/>
      <c r="C191" s="208" t="s">
        <v>1678</v>
      </c>
      <c r="D191" s="209"/>
      <c r="E191" s="210"/>
      <c r="F191" s="211"/>
    </row>
    <row r="192" spans="1:60" ht="14.25" customHeight="1">
      <c r="A192" s="212"/>
      <c r="B192" s="213" t="s">
        <v>2227</v>
      </c>
      <c r="C192" s="289" t="s">
        <v>2228</v>
      </c>
      <c r="D192" s="226" t="s">
        <v>1681</v>
      </c>
      <c r="E192" s="242">
        <f>'[5]COSTO CDMX,QRO,GDL '!I192</f>
        <v>2560.7528108196184</v>
      </c>
      <c r="F192" s="217" t="s">
        <v>284</v>
      </c>
    </row>
    <row r="193" spans="1:6" ht="14.25" customHeight="1">
      <c r="A193" s="212"/>
      <c r="B193" s="213" t="s">
        <v>2229</v>
      </c>
      <c r="C193" s="289" t="s">
        <v>1683</v>
      </c>
      <c r="D193" s="226" t="s">
        <v>1684</v>
      </c>
      <c r="E193" s="242">
        <f>'[5]COSTO CDMX,QRO,GDL '!I193</f>
        <v>2617.4591276954002</v>
      </c>
      <c r="F193" s="217" t="s">
        <v>284</v>
      </c>
    </row>
    <row r="194" spans="1:6" ht="14.25" customHeight="1">
      <c r="A194" s="212"/>
      <c r="B194" s="213" t="s">
        <v>2230</v>
      </c>
      <c r="C194" s="225"/>
      <c r="D194" s="226" t="s">
        <v>1687</v>
      </c>
      <c r="E194" s="242">
        <f>'[5]COSTO CDMX,QRO,GDL '!I194</f>
        <v>2735.3614686871979</v>
      </c>
      <c r="F194" s="217" t="s">
        <v>284</v>
      </c>
    </row>
    <row r="195" spans="1:6" ht="14.25" customHeight="1">
      <c r="A195" s="212"/>
      <c r="B195" s="213" t="s">
        <v>2231</v>
      </c>
      <c r="C195" s="289"/>
      <c r="D195" s="226" t="s">
        <v>1689</v>
      </c>
      <c r="E195" s="242">
        <f>'[5]COSTO CDMX,QRO,GDL '!I195</f>
        <v>2768.9256422790731</v>
      </c>
      <c r="F195" s="217" t="s">
        <v>284</v>
      </c>
    </row>
    <row r="196" spans="1:6" ht="14.25" customHeight="1">
      <c r="A196" s="212"/>
      <c r="B196" s="213" t="s">
        <v>2232</v>
      </c>
      <c r="C196" s="289"/>
      <c r="D196" s="226" t="s">
        <v>1691</v>
      </c>
      <c r="E196" s="242">
        <f>'[5]COSTO CDMX,QRO,GDL '!I196</f>
        <v>2828.208136440172</v>
      </c>
      <c r="F196" s="217" t="s">
        <v>284</v>
      </c>
    </row>
    <row r="197" spans="1:6" ht="14.25" customHeight="1">
      <c r="A197" s="212"/>
      <c r="B197" s="213"/>
      <c r="C197" s="289"/>
      <c r="D197" s="226"/>
      <c r="E197" s="242"/>
      <c r="F197" s="217"/>
    </row>
    <row r="198" spans="1:6" ht="14.25" customHeight="1">
      <c r="A198" s="212"/>
      <c r="B198" s="213"/>
      <c r="C198" s="289"/>
      <c r="D198" s="226"/>
      <c r="E198" s="242"/>
      <c r="F198" s="217"/>
    </row>
    <row r="199" spans="1:6" ht="14.25" customHeight="1">
      <c r="A199" s="212"/>
      <c r="B199" s="213"/>
      <c r="C199" s="289"/>
      <c r="D199" s="226"/>
      <c r="E199" s="242"/>
      <c r="F199" s="217"/>
    </row>
    <row r="200" spans="1:6" ht="14.25" customHeight="1">
      <c r="A200" s="212"/>
      <c r="B200" s="213"/>
      <c r="C200" s="289"/>
      <c r="D200" s="226"/>
      <c r="E200" s="242"/>
      <c r="F200" s="217"/>
    </row>
    <row r="201" spans="1:6" ht="14.25" customHeight="1">
      <c r="A201" s="212"/>
      <c r="B201" s="213"/>
      <c r="C201" s="289"/>
      <c r="D201" s="226"/>
      <c r="E201" s="242"/>
      <c r="F201" s="217"/>
    </row>
    <row r="202" spans="1:6" ht="14.25" customHeight="1">
      <c r="A202" s="212"/>
      <c r="B202" s="213" t="s">
        <v>2233</v>
      </c>
      <c r="C202" s="289" t="s">
        <v>2228</v>
      </c>
      <c r="D202" s="226" t="s">
        <v>1693</v>
      </c>
      <c r="E202" s="242">
        <f>'[5]COSTO CDMX,QRO,GDL '!I202</f>
        <v>3129.712280701754</v>
      </c>
      <c r="F202" s="217" t="s">
        <v>284</v>
      </c>
    </row>
    <row r="203" spans="1:6" ht="14.25" customHeight="1">
      <c r="A203" s="212"/>
      <c r="B203" s="213" t="s">
        <v>2234</v>
      </c>
      <c r="C203" s="289" t="s">
        <v>1683</v>
      </c>
      <c r="D203" s="226" t="s">
        <v>1695</v>
      </c>
      <c r="E203" s="242">
        <f>'[5]COSTO CDMX,QRO,GDL '!I203</f>
        <v>3369.9228070175441</v>
      </c>
      <c r="F203" s="217" t="s">
        <v>284</v>
      </c>
    </row>
    <row r="204" spans="1:6" ht="14.25" customHeight="1">
      <c r="A204" s="212"/>
      <c r="B204" s="213" t="s">
        <v>2235</v>
      </c>
      <c r="C204" s="289"/>
      <c r="D204" s="226" t="s">
        <v>1698</v>
      </c>
      <c r="E204" s="242">
        <f>'[5]COSTO CDMX,QRO,GDL '!I204</f>
        <v>3523.2350877192985</v>
      </c>
      <c r="F204" s="217" t="s">
        <v>284</v>
      </c>
    </row>
    <row r="205" spans="1:6" ht="14.25" customHeight="1">
      <c r="A205" s="212"/>
      <c r="B205" s="213" t="s">
        <v>2236</v>
      </c>
      <c r="C205" s="289"/>
      <c r="D205" s="226" t="s">
        <v>1700</v>
      </c>
      <c r="E205" s="242">
        <f>'[5]COSTO CDMX,QRO,GDL '!I205</f>
        <v>3575.1053717886052</v>
      </c>
      <c r="F205" s="217" t="s">
        <v>284</v>
      </c>
    </row>
    <row r="206" spans="1:6" ht="14.25" customHeight="1">
      <c r="A206" s="212"/>
      <c r="B206" s="213"/>
      <c r="C206" s="170"/>
      <c r="D206" s="226"/>
      <c r="E206" s="293"/>
      <c r="F206" s="280"/>
    </row>
    <row r="207" spans="1:6" ht="14.25" customHeight="1">
      <c r="A207" s="212"/>
      <c r="B207" s="221"/>
      <c r="C207" s="289"/>
      <c r="D207" s="226"/>
      <c r="E207" s="227"/>
      <c r="F207" s="296"/>
    </row>
    <row r="208" spans="1:6" ht="14.25" customHeight="1">
      <c r="A208" s="212"/>
      <c r="B208" s="221"/>
      <c r="C208" s="289"/>
      <c r="D208" s="226"/>
      <c r="E208" s="227"/>
      <c r="F208" s="296"/>
    </row>
    <row r="209" spans="1:6" ht="14.25" customHeight="1">
      <c r="A209" s="206"/>
      <c r="B209" s="207"/>
      <c r="C209" s="208" t="s">
        <v>1701</v>
      </c>
      <c r="D209" s="209"/>
      <c r="E209" s="210"/>
      <c r="F209" s="271"/>
    </row>
    <row r="210" spans="1:6" ht="14.25" customHeight="1">
      <c r="A210" s="212"/>
      <c r="B210" s="213" t="s">
        <v>2237</v>
      </c>
      <c r="C210" s="289" t="s">
        <v>2238</v>
      </c>
      <c r="D210" s="226" t="s">
        <v>1681</v>
      </c>
      <c r="E210" s="242">
        <f>'[5]COSTO CDMX,QRO,GDL '!I210</f>
        <v>3248.2456140350878</v>
      </c>
      <c r="F210" s="217" t="s">
        <v>284</v>
      </c>
    </row>
    <row r="211" spans="1:6" ht="14.25" customHeight="1">
      <c r="A211" s="212"/>
      <c r="B211" s="213" t="s">
        <v>2239</v>
      </c>
      <c r="C211" s="289" t="s">
        <v>1683</v>
      </c>
      <c r="D211" s="226" t="s">
        <v>1684</v>
      </c>
      <c r="E211" s="242">
        <f>'[5]COSTO CDMX,QRO,GDL '!I211</f>
        <v>3309.7473684210527</v>
      </c>
      <c r="F211" s="217" t="s">
        <v>284</v>
      </c>
    </row>
    <row r="212" spans="1:6" ht="14.25" customHeight="1">
      <c r="A212" s="212"/>
      <c r="B212" s="213" t="s">
        <v>2240</v>
      </c>
      <c r="C212" s="225"/>
      <c r="D212" s="226" t="s">
        <v>1687</v>
      </c>
      <c r="E212" s="242">
        <f>'[5]COSTO CDMX,QRO,GDL '!I212</f>
        <v>3401.582456140351</v>
      </c>
      <c r="F212" s="217" t="s">
        <v>284</v>
      </c>
    </row>
    <row r="213" spans="1:6" ht="14.25" customHeight="1">
      <c r="A213" s="212"/>
      <c r="B213" s="213" t="s">
        <v>2241</v>
      </c>
      <c r="C213" s="289"/>
      <c r="D213" s="226" t="s">
        <v>1689</v>
      </c>
      <c r="E213" s="242">
        <f>'[5]COSTO CDMX,QRO,GDL '!I213</f>
        <v>3463.0596491228071</v>
      </c>
      <c r="F213" s="217" t="s">
        <v>284</v>
      </c>
    </row>
    <row r="214" spans="1:6" ht="14.25" customHeight="1">
      <c r="A214" s="212"/>
      <c r="B214" s="213" t="s">
        <v>2242</v>
      </c>
      <c r="C214" s="289"/>
      <c r="D214" s="226" t="s">
        <v>1691</v>
      </c>
      <c r="E214" s="242">
        <f>'[5]COSTO CDMX,QRO,GDL '!I214</f>
        <v>3554.894736842105</v>
      </c>
      <c r="F214" s="217" t="s">
        <v>284</v>
      </c>
    </row>
    <row r="215" spans="1:6" ht="14.25" customHeight="1">
      <c r="A215" s="212"/>
      <c r="B215" s="213"/>
      <c r="C215" s="289"/>
      <c r="D215" s="226"/>
      <c r="E215" s="242"/>
      <c r="F215" s="217"/>
    </row>
    <row r="216" spans="1:6" ht="14.25" customHeight="1">
      <c r="A216" s="212"/>
      <c r="B216" s="213"/>
      <c r="C216" s="289"/>
      <c r="D216" s="226"/>
      <c r="E216" s="242"/>
      <c r="F216" s="217"/>
    </row>
    <row r="217" spans="1:6" ht="14.25" customHeight="1">
      <c r="A217" s="212"/>
      <c r="B217" s="213"/>
      <c r="C217" s="289"/>
      <c r="D217" s="226"/>
      <c r="E217" s="242"/>
      <c r="F217" s="217"/>
    </row>
    <row r="218" spans="1:6" ht="14.25" customHeight="1">
      <c r="A218" s="212"/>
      <c r="B218" s="213"/>
      <c r="C218" s="289"/>
      <c r="D218" s="226"/>
      <c r="E218" s="242"/>
      <c r="F218" s="217"/>
    </row>
    <row r="219" spans="1:6" ht="14.25" customHeight="1">
      <c r="A219" s="212"/>
      <c r="B219" s="213" t="s">
        <v>2243</v>
      </c>
      <c r="C219" s="289" t="s">
        <v>2238</v>
      </c>
      <c r="D219" s="226" t="s">
        <v>1693</v>
      </c>
      <c r="E219" s="242">
        <f>'[5]COSTO CDMX,QRO,GDL '!I219</f>
        <v>5249.3122807017535</v>
      </c>
      <c r="F219" s="217" t="s">
        <v>284</v>
      </c>
    </row>
    <row r="220" spans="1:6" ht="14.25" customHeight="1">
      <c r="A220" s="212"/>
      <c r="B220" s="213" t="s">
        <v>2244</v>
      </c>
      <c r="C220" s="289" t="s">
        <v>1683</v>
      </c>
      <c r="D220" s="226" t="s">
        <v>1695</v>
      </c>
      <c r="E220" s="242">
        <f>'[5]COSTO CDMX,QRO,GDL '!I220</f>
        <v>5484.635087719299</v>
      </c>
      <c r="F220" s="217" t="s">
        <v>284</v>
      </c>
    </row>
    <row r="221" spans="1:6" ht="14.25" customHeight="1">
      <c r="A221" s="212"/>
      <c r="B221" s="213" t="s">
        <v>2245</v>
      </c>
      <c r="C221" s="292" t="s">
        <v>1722</v>
      </c>
      <c r="D221" s="226" t="s">
        <v>1698</v>
      </c>
      <c r="E221" s="242">
        <f>'[5]COSTO CDMX,QRO,GDL '!I221</f>
        <v>5634.8035087719309</v>
      </c>
      <c r="F221" s="217" t="s">
        <v>284</v>
      </c>
    </row>
    <row r="222" spans="1:6" ht="14.25" customHeight="1">
      <c r="A222" s="212"/>
      <c r="B222" s="213" t="s">
        <v>2246</v>
      </c>
      <c r="C222" s="170"/>
      <c r="D222" s="226" t="s">
        <v>1700</v>
      </c>
      <c r="E222" s="242">
        <f>'[5]COSTO CDMX,QRO,GDL '!I222</f>
        <v>5771.9052631578943</v>
      </c>
      <c r="F222" s="217" t="s">
        <v>284</v>
      </c>
    </row>
    <row r="223" spans="1:6" ht="14.25" customHeight="1">
      <c r="A223" s="212"/>
      <c r="B223" s="213"/>
      <c r="C223" s="170"/>
      <c r="D223" s="226"/>
      <c r="E223" s="242"/>
      <c r="F223" s="296"/>
    </row>
    <row r="224" spans="1:6" ht="14.25" customHeight="1">
      <c r="A224" s="212"/>
      <c r="B224" s="221"/>
      <c r="C224" s="170"/>
      <c r="D224" s="226"/>
      <c r="E224" s="227"/>
      <c r="F224" s="296"/>
    </row>
    <row r="225" spans="1:6" ht="14.25" customHeight="1">
      <c r="A225" s="212"/>
      <c r="B225" s="221"/>
      <c r="C225" s="170"/>
      <c r="D225" s="226"/>
      <c r="E225" s="293"/>
      <c r="F225" s="280"/>
    </row>
    <row r="226" spans="1:6" ht="14.25" customHeight="1">
      <c r="A226" s="212"/>
      <c r="B226" s="221"/>
      <c r="C226" s="289"/>
      <c r="D226" s="226"/>
      <c r="E226" s="227"/>
      <c r="F226" s="296"/>
    </row>
    <row r="227" spans="1:6" ht="14.25" customHeight="1">
      <c r="A227" s="212"/>
      <c r="B227" s="221"/>
      <c r="C227" s="289"/>
      <c r="D227" s="226"/>
      <c r="E227" s="227"/>
      <c r="F227" s="296"/>
    </row>
    <row r="228" spans="1:6" ht="14.25" customHeight="1">
      <c r="A228" s="206"/>
      <c r="B228" s="207"/>
      <c r="C228" s="208" t="s">
        <v>1712</v>
      </c>
      <c r="D228" s="209"/>
      <c r="E228" s="210"/>
      <c r="F228" s="271"/>
    </row>
    <row r="229" spans="1:6" ht="14.25" customHeight="1">
      <c r="A229" s="212"/>
      <c r="B229" s="213" t="s">
        <v>1713</v>
      </c>
      <c r="C229" s="289" t="s">
        <v>1714</v>
      </c>
      <c r="D229" s="226" t="s">
        <v>1693</v>
      </c>
      <c r="E229" s="242">
        <f>'[5]COSTO CDMX,QRO,GDL '!I229</f>
        <v>4300.264046379596</v>
      </c>
      <c r="F229" s="217" t="s">
        <v>284</v>
      </c>
    </row>
    <row r="230" spans="1:6" ht="14.25" customHeight="1">
      <c r="A230" s="212"/>
      <c r="B230" s="213" t="s">
        <v>1715</v>
      </c>
      <c r="C230" s="289" t="s">
        <v>1683</v>
      </c>
      <c r="D230" s="226" t="s">
        <v>1695</v>
      </c>
      <c r="E230" s="242">
        <f>'[5]COSTO CDMX,QRO,GDL '!I230</f>
        <v>4393.0368452498369</v>
      </c>
      <c r="F230" s="217" t="s">
        <v>284</v>
      </c>
    </row>
    <row r="231" spans="1:6" ht="14.25" customHeight="1">
      <c r="A231" s="212"/>
      <c r="B231" s="213" t="s">
        <v>1717</v>
      </c>
      <c r="C231" s="292" t="s">
        <v>1722</v>
      </c>
      <c r="D231" s="226" t="s">
        <v>1700</v>
      </c>
      <c r="E231" s="242">
        <f>'[5]COSTO CDMX,QRO,GDL '!I231</f>
        <v>4563.1557958771773</v>
      </c>
      <c r="F231" s="217" t="s">
        <v>284</v>
      </c>
    </row>
    <row r="232" spans="1:6" ht="14.25" customHeight="1">
      <c r="A232" s="294"/>
      <c r="B232" s="213"/>
      <c r="C232" s="289"/>
      <c r="D232" s="226"/>
      <c r="E232" s="227"/>
      <c r="F232" s="296"/>
    </row>
    <row r="233" spans="1:6" ht="14.25" customHeight="1">
      <c r="A233" s="212"/>
      <c r="B233" s="213"/>
      <c r="C233" s="295"/>
      <c r="D233" s="226"/>
      <c r="E233" s="227"/>
      <c r="F233" s="296"/>
    </row>
    <row r="234" spans="1:6" ht="14.25" customHeight="1">
      <c r="A234" s="294"/>
      <c r="B234" s="213"/>
      <c r="D234" s="226"/>
      <c r="E234" s="227"/>
      <c r="F234" s="296"/>
    </row>
    <row r="235" spans="1:6" ht="14.25" customHeight="1">
      <c r="A235" s="212"/>
      <c r="B235" s="213"/>
      <c r="C235" s="289"/>
      <c r="D235" s="226"/>
      <c r="E235" s="227"/>
      <c r="F235" s="296"/>
    </row>
    <row r="236" spans="1:6" ht="14.25" customHeight="1">
      <c r="A236" s="212"/>
      <c r="B236" s="213"/>
      <c r="C236" s="289"/>
      <c r="D236" s="226"/>
      <c r="E236" s="227"/>
      <c r="F236" s="296"/>
    </row>
    <row r="237" spans="1:6" ht="14.25" customHeight="1">
      <c r="A237" s="212"/>
      <c r="B237" s="221"/>
      <c r="C237" s="289"/>
      <c r="D237" s="226"/>
      <c r="E237" s="227"/>
      <c r="F237" s="296"/>
    </row>
    <row r="238" spans="1:6" ht="14.25" customHeight="1">
      <c r="A238" s="245"/>
      <c r="B238" s="246"/>
      <c r="C238" s="208" t="s">
        <v>1873</v>
      </c>
      <c r="D238" s="247"/>
      <c r="E238" s="248"/>
      <c r="F238" s="298"/>
    </row>
    <row r="239" spans="1:6" ht="14.25" customHeight="1">
      <c r="A239" s="212"/>
      <c r="B239" s="213" t="s">
        <v>1718</v>
      </c>
      <c r="C239" s="289" t="s">
        <v>1719</v>
      </c>
      <c r="D239" s="226" t="s">
        <v>1693</v>
      </c>
      <c r="E239" s="216">
        <f>'[5]COSTO CDMX,QRO,GDL '!$I$239</f>
        <v>8319.3610536035412</v>
      </c>
      <c r="F239" s="217" t="s">
        <v>284</v>
      </c>
    </row>
    <row r="240" spans="1:6" ht="14.25" customHeight="1">
      <c r="A240" s="212"/>
      <c r="B240" s="213" t="s">
        <v>1720</v>
      </c>
      <c r="C240" s="289" t="s">
        <v>1683</v>
      </c>
      <c r="D240" s="226" t="s">
        <v>1695</v>
      </c>
      <c r="E240" s="216">
        <f>'[5]COSTO CDMX,QRO,GDL '!$I$240</f>
        <v>7907.4320980878156</v>
      </c>
      <c r="F240" s="217" t="s">
        <v>284</v>
      </c>
    </row>
    <row r="241" spans="1:6" ht="14.25" customHeight="1">
      <c r="A241" s="212"/>
      <c r="B241" s="213" t="s">
        <v>1721</v>
      </c>
      <c r="C241" s="292" t="s">
        <v>1722</v>
      </c>
      <c r="D241" s="226" t="s">
        <v>1698</v>
      </c>
      <c r="E241" s="216">
        <f>'[5]COSTO CDMX,QRO,GDL '!$I$241</f>
        <v>7928.0719329691356</v>
      </c>
      <c r="F241" s="217" t="s">
        <v>284</v>
      </c>
    </row>
    <row r="242" spans="1:6" ht="14.25" customHeight="1">
      <c r="A242" s="212"/>
      <c r="B242" s="213" t="s">
        <v>1723</v>
      </c>
      <c r="C242" s="299"/>
      <c r="D242" s="226" t="s">
        <v>1700</v>
      </c>
      <c r="E242" s="216">
        <f>'[5]COSTO CDMX,QRO,GDL '!$I$242</f>
        <v>8077.5510487151587</v>
      </c>
      <c r="F242" s="217" t="s">
        <v>284</v>
      </c>
    </row>
    <row r="243" spans="1:6" ht="14.25" customHeight="1">
      <c r="A243" s="212"/>
      <c r="B243" s="213"/>
      <c r="C243" s="295"/>
      <c r="D243" s="226"/>
      <c r="E243" s="293"/>
      <c r="F243" s="280"/>
    </row>
    <row r="244" spans="1:6" ht="14.25" customHeight="1">
      <c r="A244" s="212"/>
      <c r="B244" s="213"/>
      <c r="C244" s="295"/>
      <c r="D244" s="226"/>
      <c r="E244" s="293"/>
      <c r="F244" s="280"/>
    </row>
    <row r="245" spans="1:6" ht="14.25" customHeight="1">
      <c r="A245" s="212"/>
      <c r="B245" s="213"/>
      <c r="C245" s="295"/>
      <c r="D245" s="226"/>
      <c r="E245" s="293"/>
      <c r="F245" s="280"/>
    </row>
    <row r="246" spans="1:6" ht="14.25" customHeight="1">
      <c r="A246" s="212"/>
      <c r="B246" s="221"/>
      <c r="C246" s="295"/>
      <c r="D246" s="226"/>
      <c r="E246" s="227"/>
      <c r="F246" s="296"/>
    </row>
    <row r="247" spans="1:6" ht="14.25" customHeight="1">
      <c r="A247" s="212"/>
      <c r="B247" s="221"/>
      <c r="C247" s="289"/>
      <c r="D247" s="226"/>
      <c r="E247" s="227"/>
      <c r="F247" s="296"/>
    </row>
    <row r="248" spans="1:6" ht="14.25" customHeight="1">
      <c r="A248" s="245"/>
      <c r="B248" s="246"/>
      <c r="C248" s="208" t="s">
        <v>1724</v>
      </c>
      <c r="D248" s="247"/>
      <c r="E248" s="248"/>
      <c r="F248" s="298"/>
    </row>
    <row r="249" spans="1:6" ht="14.25" customHeight="1">
      <c r="A249" s="300"/>
      <c r="B249" s="213" t="s">
        <v>2247</v>
      </c>
      <c r="C249" s="289" t="s">
        <v>2248</v>
      </c>
      <c r="D249" s="226" t="s">
        <v>1681</v>
      </c>
      <c r="E249" s="242">
        <f>'[5]COSTO CDMX,QRO,GDL '!I249</f>
        <v>1755.3024636650152</v>
      </c>
      <c r="F249" s="217" t="s">
        <v>284</v>
      </c>
    </row>
    <row r="250" spans="1:6" ht="14.25" customHeight="1">
      <c r="A250" s="302"/>
      <c r="B250" s="213" t="s">
        <v>2249</v>
      </c>
      <c r="C250" s="289" t="s">
        <v>1683</v>
      </c>
      <c r="D250" s="226" t="s">
        <v>1684</v>
      </c>
      <c r="E250" s="242">
        <f>'[5]COSTO CDMX,QRO,GDL '!I250</f>
        <v>1812.0087805407959</v>
      </c>
      <c r="F250" s="217" t="s">
        <v>284</v>
      </c>
    </row>
    <row r="251" spans="1:6" ht="14.25" customHeight="1">
      <c r="A251" s="302"/>
      <c r="B251" s="213" t="s">
        <v>2250</v>
      </c>
      <c r="C251" s="225"/>
      <c r="D251" s="226" t="s">
        <v>1687</v>
      </c>
      <c r="E251" s="242">
        <f>'[5]COSTO CDMX,QRO,GDL '!I251</f>
        <v>1929.9111215325943</v>
      </c>
      <c r="F251" s="217" t="s">
        <v>284</v>
      </c>
    </row>
    <row r="252" spans="1:6" ht="14.25" customHeight="1">
      <c r="A252" s="302"/>
      <c r="B252" s="213" t="s">
        <v>2251</v>
      </c>
      <c r="C252" s="289"/>
      <c r="D252" s="226" t="s">
        <v>1689</v>
      </c>
      <c r="E252" s="242">
        <f>'[5]COSTO CDMX,QRO,GDL '!I252</f>
        <v>1963.4752951244686</v>
      </c>
      <c r="F252" s="217" t="s">
        <v>284</v>
      </c>
    </row>
    <row r="253" spans="1:6" ht="14.25" customHeight="1">
      <c r="A253" s="302"/>
      <c r="B253" s="213" t="s">
        <v>2252</v>
      </c>
      <c r="C253" s="289"/>
      <c r="D253" s="226" t="s">
        <v>1691</v>
      </c>
      <c r="E253" s="242">
        <f>'[5]COSTO CDMX,QRO,GDL '!I253</f>
        <v>2022.7577892855686</v>
      </c>
      <c r="F253" s="217" t="s">
        <v>284</v>
      </c>
    </row>
    <row r="254" spans="1:6" ht="14.25" customHeight="1">
      <c r="A254" s="302"/>
      <c r="B254" s="213"/>
      <c r="C254" s="289"/>
      <c r="D254" s="226"/>
      <c r="E254" s="242"/>
      <c r="F254" s="217"/>
    </row>
    <row r="255" spans="1:6" ht="14.25" customHeight="1">
      <c r="A255" s="302"/>
      <c r="B255" s="213" t="s">
        <v>2253</v>
      </c>
      <c r="C255" s="289" t="s">
        <v>2254</v>
      </c>
      <c r="D255" s="226" t="s">
        <v>1693</v>
      </c>
      <c r="E255" s="242">
        <f>'[5]COSTO CDMX,QRO,GDL '!I255</f>
        <v>2512.80350877193</v>
      </c>
      <c r="F255" s="217" t="s">
        <v>284</v>
      </c>
    </row>
    <row r="256" spans="1:6" ht="14.25" customHeight="1">
      <c r="A256" s="302"/>
      <c r="B256" s="213" t="s">
        <v>2255</v>
      </c>
      <c r="C256" s="289" t="s">
        <v>1683</v>
      </c>
      <c r="D256" s="226" t="s">
        <v>1695</v>
      </c>
      <c r="E256" s="242">
        <f>'[5]COSTO CDMX,QRO,GDL '!I256</f>
        <v>2753.0140350877191</v>
      </c>
      <c r="F256" s="217" t="s">
        <v>284</v>
      </c>
    </row>
    <row r="257" spans="1:6" ht="14.25" customHeight="1">
      <c r="A257" s="302"/>
      <c r="B257" s="213" t="s">
        <v>2256</v>
      </c>
      <c r="C257" s="292" t="s">
        <v>1722</v>
      </c>
      <c r="D257" s="226" t="s">
        <v>1700</v>
      </c>
      <c r="E257" s="242">
        <f>'[5]COSTO CDMX,QRO,GDL '!I257</f>
        <v>3076.4631578947369</v>
      </c>
      <c r="F257" s="217" t="s">
        <v>284</v>
      </c>
    </row>
    <row r="258" spans="1:6" ht="14.25" customHeight="1">
      <c r="A258" s="302"/>
      <c r="B258" s="213"/>
      <c r="C258" s="289"/>
      <c r="D258" s="226"/>
      <c r="E258" s="227"/>
      <c r="F258" s="296"/>
    </row>
    <row r="259" spans="1:6" ht="14.25" customHeight="1">
      <c r="A259" s="304"/>
      <c r="B259" s="221"/>
      <c r="C259" s="289"/>
      <c r="D259" s="226"/>
      <c r="E259" s="227"/>
      <c r="F259" s="296"/>
    </row>
    <row r="260" spans="1:6" ht="14.25" customHeight="1">
      <c r="A260" s="245"/>
      <c r="B260" s="246"/>
      <c r="C260" s="208" t="s">
        <v>1735</v>
      </c>
      <c r="D260" s="247"/>
      <c r="E260" s="248"/>
      <c r="F260" s="298"/>
    </row>
    <row r="261" spans="1:6" ht="14.25" customHeight="1">
      <c r="A261" s="212"/>
      <c r="B261" s="213" t="s">
        <v>2257</v>
      </c>
      <c r="C261" s="289" t="s">
        <v>2258</v>
      </c>
      <c r="D261" s="305" t="s">
        <v>1681</v>
      </c>
      <c r="E261" s="242">
        <f>'[5]COSTO CDMX,QRO,GDL '!I261</f>
        <v>2643.9368421052636</v>
      </c>
      <c r="F261" s="217" t="s">
        <v>284</v>
      </c>
    </row>
    <row r="262" spans="1:6" ht="14.25" customHeight="1">
      <c r="A262" s="212"/>
      <c r="B262" s="213" t="s">
        <v>2259</v>
      </c>
      <c r="C262" s="289" t="s">
        <v>1683</v>
      </c>
      <c r="D262" s="226" t="s">
        <v>1684</v>
      </c>
      <c r="E262" s="242">
        <f>'[5]COSTO CDMX,QRO,GDL '!I262</f>
        <v>2756.2807017543864</v>
      </c>
      <c r="F262" s="217" t="s">
        <v>284</v>
      </c>
    </row>
    <row r="263" spans="1:6" ht="14.25" customHeight="1">
      <c r="A263" s="212"/>
      <c r="B263" s="213" t="s">
        <v>2260</v>
      </c>
      <c r="C263" s="225"/>
      <c r="D263" s="226" t="s">
        <v>1687</v>
      </c>
      <c r="E263" s="242">
        <f>'[5]COSTO CDMX,QRO,GDL '!I263</f>
        <v>2797.2736842105269</v>
      </c>
      <c r="F263" s="217" t="s">
        <v>284</v>
      </c>
    </row>
    <row r="264" spans="1:6" ht="14.25" customHeight="1">
      <c r="A264" s="212"/>
      <c r="B264" s="213" t="s">
        <v>2261</v>
      </c>
      <c r="C264" s="289"/>
      <c r="D264" s="226" t="s">
        <v>1689</v>
      </c>
      <c r="E264" s="242">
        <f>'[5]COSTO CDMX,QRO,GDL '!I264</f>
        <v>2909.5929824561399</v>
      </c>
      <c r="F264" s="217" t="s">
        <v>284</v>
      </c>
    </row>
    <row r="265" spans="1:6" ht="14.25" customHeight="1">
      <c r="A265" s="212"/>
      <c r="B265" s="213" t="s">
        <v>2262</v>
      </c>
      <c r="C265" s="289"/>
      <c r="D265" s="226" t="s">
        <v>1691</v>
      </c>
      <c r="E265" s="242">
        <f>'[5]COSTO CDMX,QRO,GDL '!I265</f>
        <v>2950.5859649122808</v>
      </c>
      <c r="F265" s="217" t="s">
        <v>284</v>
      </c>
    </row>
    <row r="266" spans="1:6" ht="14.25" customHeight="1">
      <c r="A266" s="212"/>
      <c r="B266" s="213"/>
      <c r="C266" s="289"/>
      <c r="D266" s="226"/>
      <c r="E266" s="242"/>
      <c r="F266" s="217"/>
    </row>
    <row r="267" spans="1:6" ht="14.25" customHeight="1">
      <c r="A267" s="212"/>
      <c r="B267" s="213" t="s">
        <v>2263</v>
      </c>
      <c r="C267" s="289" t="s">
        <v>2264</v>
      </c>
      <c r="D267" s="226" t="s">
        <v>1693</v>
      </c>
      <c r="E267" s="242">
        <f>'[5]COSTO CDMX,QRO,GDL '!I267</f>
        <v>4645.0280701754391</v>
      </c>
      <c r="F267" s="217" t="s">
        <v>284</v>
      </c>
    </row>
    <row r="268" spans="1:6" ht="14.25" customHeight="1">
      <c r="A268" s="212"/>
      <c r="B268" s="213" t="s">
        <v>2265</v>
      </c>
      <c r="C268" s="289" t="s">
        <v>1683</v>
      </c>
      <c r="D268" s="226" t="s">
        <v>1695</v>
      </c>
      <c r="E268" s="242">
        <f>'[5]COSTO CDMX,QRO,GDL '!I268</f>
        <v>4880.3263157894735</v>
      </c>
      <c r="F268" s="217" t="s">
        <v>284</v>
      </c>
    </row>
    <row r="269" spans="1:6" ht="14.25" customHeight="1">
      <c r="A269" s="212"/>
      <c r="B269" s="213" t="s">
        <v>2266</v>
      </c>
      <c r="C269" s="292" t="s">
        <v>1722</v>
      </c>
      <c r="D269" s="226" t="s">
        <v>1700</v>
      </c>
      <c r="E269" s="242">
        <f>'[5]COSTO CDMX,QRO,GDL '!I269</f>
        <v>5200.6070175438599</v>
      </c>
      <c r="F269" s="217" t="s">
        <v>284</v>
      </c>
    </row>
    <row r="270" spans="1:6" ht="14.25" customHeight="1">
      <c r="A270" s="212"/>
      <c r="B270" s="213"/>
      <c r="C270" s="289"/>
      <c r="D270" s="226"/>
      <c r="E270" s="227"/>
      <c r="F270" s="296"/>
    </row>
    <row r="271" spans="1:6" ht="14.25" customHeight="1">
      <c r="A271" s="212"/>
      <c r="B271" s="213"/>
      <c r="C271" s="289"/>
      <c r="D271" s="226"/>
      <c r="E271" s="227"/>
      <c r="F271" s="296"/>
    </row>
    <row r="272" spans="1:6" ht="14.25" customHeight="1">
      <c r="A272" s="212"/>
      <c r="B272" s="213"/>
      <c r="C272" s="289"/>
      <c r="D272" s="306"/>
      <c r="E272" s="307"/>
      <c r="F272" s="296"/>
    </row>
    <row r="273" spans="1:60" ht="15" customHeight="1">
      <c r="A273" s="206"/>
      <c r="B273" s="207"/>
      <c r="C273" s="208" t="s">
        <v>1779</v>
      </c>
      <c r="D273" s="209"/>
      <c r="E273" s="210"/>
      <c r="F273" s="271"/>
    </row>
    <row r="274" spans="1:60" ht="14.25" customHeight="1">
      <c r="A274" s="212"/>
      <c r="B274" s="213" t="s">
        <v>1780</v>
      </c>
      <c r="C274" s="295" t="s">
        <v>1781</v>
      </c>
      <c r="D274" s="226" t="s">
        <v>1687</v>
      </c>
      <c r="E274" s="242">
        <f>'[5]COSTO CDMX,QRO,GDL '!I274</f>
        <v>545.63728205963844</v>
      </c>
      <c r="F274" s="217" t="s">
        <v>284</v>
      </c>
    </row>
    <row r="275" spans="1:60" ht="14.25" customHeight="1">
      <c r="A275" s="212"/>
      <c r="B275" s="213" t="s">
        <v>1782</v>
      </c>
      <c r="C275" s="289" t="s">
        <v>1783</v>
      </c>
      <c r="D275" s="226" t="s">
        <v>1689</v>
      </c>
      <c r="E275" s="242">
        <f>'[5]COSTO CDMX,QRO,GDL '!I275</f>
        <v>581.7037640540982</v>
      </c>
      <c r="F275" s="217" t="s">
        <v>284</v>
      </c>
    </row>
    <row r="276" spans="1:60" ht="14.25" customHeight="1">
      <c r="A276" s="212"/>
      <c r="B276" s="213" t="s">
        <v>1784</v>
      </c>
      <c r="C276" s="295"/>
      <c r="D276" s="226" t="s">
        <v>1691</v>
      </c>
      <c r="E276" s="242">
        <f>'[5]COSTO CDMX,QRO,GDL '!I276</f>
        <v>589.50562163923757</v>
      </c>
      <c r="F276" s="217" t="s">
        <v>284</v>
      </c>
    </row>
    <row r="277" spans="1:60" ht="14.25" customHeight="1">
      <c r="A277" s="212"/>
      <c r="B277" s="213" t="s">
        <v>1785</v>
      </c>
      <c r="C277" s="295"/>
      <c r="D277" s="226" t="s">
        <v>1786</v>
      </c>
      <c r="E277" s="242">
        <f>'[5]COSTO CDMX,QRO,GDL '!I277</f>
        <v>647.80055401662082</v>
      </c>
      <c r="F277" s="217" t="s">
        <v>284</v>
      </c>
    </row>
    <row r="278" spans="1:60" ht="14.25" customHeight="1">
      <c r="A278" s="212"/>
      <c r="B278" s="213" t="s">
        <v>1787</v>
      </c>
      <c r="C278" s="295"/>
      <c r="D278" s="226" t="s">
        <v>1693</v>
      </c>
      <c r="E278" s="242">
        <f>'[5]COSTO CDMX,QRO,GDL '!I278</f>
        <v>655.60241160175997</v>
      </c>
      <c r="F278" s="217" t="s">
        <v>284</v>
      </c>
    </row>
    <row r="279" spans="1:60" ht="14.25" customHeight="1">
      <c r="A279" s="212"/>
      <c r="B279" s="213" t="s">
        <v>1788</v>
      </c>
      <c r="C279" s="295"/>
      <c r="D279" s="226" t="s">
        <v>1789</v>
      </c>
      <c r="E279" s="242">
        <f>'[5]COSTO CDMX,QRO,GDL '!I279</f>
        <v>752.40703927000175</v>
      </c>
      <c r="F279" s="217" t="s">
        <v>284</v>
      </c>
    </row>
    <row r="280" spans="1:60" ht="14.25" customHeight="1">
      <c r="A280" s="212"/>
      <c r="B280" s="213" t="s">
        <v>1790</v>
      </c>
      <c r="C280" s="295"/>
      <c r="D280" s="226" t="s">
        <v>1695</v>
      </c>
      <c r="E280" s="242">
        <f>'[5]COSTO CDMX,QRO,GDL '!I280</f>
        <v>760.20889685514112</v>
      </c>
      <c r="F280" s="217" t="s">
        <v>284</v>
      </c>
    </row>
    <row r="281" spans="1:60" ht="14.25" customHeight="1">
      <c r="A281" s="212"/>
      <c r="B281" s="213" t="s">
        <v>1791</v>
      </c>
      <c r="C281" s="295"/>
      <c r="D281" s="226" t="s">
        <v>1792</v>
      </c>
      <c r="E281" s="242">
        <f>'[5]COSTO CDMX,QRO,GDL '!I281</f>
        <v>894.24344142088955</v>
      </c>
      <c r="F281" s="217" t="s">
        <v>284</v>
      </c>
    </row>
    <row r="282" spans="1:60" ht="14.25" customHeight="1">
      <c r="A282" s="212"/>
      <c r="B282" s="213" t="s">
        <v>1793</v>
      </c>
      <c r="C282" s="295"/>
      <c r="D282" s="226" t="s">
        <v>1700</v>
      </c>
      <c r="E282" s="242">
        <f>'[5]COSTO CDMX,QRO,GDL '!I282</f>
        <v>902.04529900602904</v>
      </c>
      <c r="F282" s="217" t="s">
        <v>284</v>
      </c>
    </row>
    <row r="283" spans="1:60" ht="14.25" customHeight="1">
      <c r="A283" s="212"/>
      <c r="B283" s="213" t="s">
        <v>1794</v>
      </c>
      <c r="C283" s="295"/>
      <c r="D283" s="226" t="s">
        <v>1795</v>
      </c>
      <c r="E283" s="242">
        <f>'[5]COSTO CDMX,QRO,GDL '!I283</f>
        <v>909.84715659116864</v>
      </c>
      <c r="F283" s="217" t="s">
        <v>284</v>
      </c>
    </row>
    <row r="284" spans="1:60" ht="14.25" customHeight="1">
      <c r="A284" s="212"/>
      <c r="B284" s="213" t="s">
        <v>1796</v>
      </c>
      <c r="C284" s="295"/>
      <c r="D284" s="226" t="s">
        <v>1797</v>
      </c>
      <c r="E284" s="242">
        <f>'[5]COSTO CDMX,QRO,GDL '!I284</f>
        <v>930.91217207104455</v>
      </c>
      <c r="F284" s="217" t="s">
        <v>284</v>
      </c>
    </row>
    <row r="285" spans="1:60" ht="14.25" customHeight="1">
      <c r="A285" s="212"/>
      <c r="B285" s="213" t="s">
        <v>1798</v>
      </c>
      <c r="C285" s="295"/>
      <c r="D285" s="226" t="s">
        <v>1799</v>
      </c>
      <c r="E285" s="242">
        <f>'[5]COSTO CDMX,QRO,GDL '!I285</f>
        <v>951.9771875509208</v>
      </c>
      <c r="F285" s="217" t="s">
        <v>284</v>
      </c>
    </row>
    <row r="286" spans="1:60" ht="14.25" customHeight="1">
      <c r="A286" s="212"/>
      <c r="B286" s="213" t="s">
        <v>1800</v>
      </c>
      <c r="C286" s="295"/>
      <c r="D286" s="226" t="s">
        <v>1801</v>
      </c>
      <c r="E286" s="242">
        <f>'[5]COSTO CDMX,QRO,GDL '!I286</f>
        <v>1225.5075769920161</v>
      </c>
      <c r="F286" s="217" t="s">
        <v>284</v>
      </c>
    </row>
    <row r="287" spans="1:60" ht="14.25" customHeight="1">
      <c r="A287" s="212"/>
      <c r="B287" s="213" t="s">
        <v>1802</v>
      </c>
      <c r="C287" s="295"/>
      <c r="D287" s="226" t="s">
        <v>1803</v>
      </c>
      <c r="E287" s="242">
        <f>'[5]COSTO CDMX,QRO,GDL '!I287</f>
        <v>1253.4565844587794</v>
      </c>
      <c r="F287" s="217" t="s">
        <v>284</v>
      </c>
    </row>
    <row r="288" spans="1:60" s="184" customFormat="1" ht="15" customHeight="1">
      <c r="A288" s="232" t="s">
        <v>2013</v>
      </c>
      <c r="B288" s="233"/>
      <c r="C288" s="1524" t="s">
        <v>2267</v>
      </c>
      <c r="D288" s="232"/>
      <c r="E288" s="235"/>
      <c r="F288" s="236"/>
      <c r="G288" s="183"/>
      <c r="H288" s="183"/>
      <c r="I288" s="183"/>
      <c r="J288" s="183"/>
      <c r="K288" s="183"/>
      <c r="L288" s="183"/>
      <c r="M288" s="183"/>
      <c r="N288" s="190"/>
      <c r="O288" s="190"/>
      <c r="P288" s="190"/>
      <c r="Q288" s="190"/>
      <c r="R288" s="190"/>
      <c r="S288" s="190"/>
      <c r="T288" s="190"/>
      <c r="U288" s="190"/>
      <c r="V288" s="190"/>
      <c r="W288" s="190"/>
      <c r="X288" s="190"/>
      <c r="Y288" s="190"/>
      <c r="Z288" s="190"/>
      <c r="AA288" s="190"/>
      <c r="AB288" s="190"/>
      <c r="AC288" s="190"/>
      <c r="AD288" s="190"/>
      <c r="AE288" s="190"/>
      <c r="AF288" s="190"/>
      <c r="AG288" s="190"/>
      <c r="AH288" s="190"/>
      <c r="AI288" s="190"/>
      <c r="AJ288" s="190"/>
      <c r="AK288" s="190"/>
      <c r="AL288" s="190"/>
      <c r="AM288" s="190"/>
      <c r="AN288" s="190"/>
      <c r="AO288" s="190"/>
      <c r="AP288" s="190"/>
      <c r="AQ288" s="190"/>
      <c r="AR288" s="190"/>
      <c r="AS288" s="190"/>
      <c r="AT288" s="190"/>
      <c r="AU288" s="190"/>
      <c r="AV288" s="190"/>
      <c r="AW288" s="190"/>
      <c r="AX288" s="190"/>
      <c r="AY288" s="190"/>
      <c r="AZ288" s="190"/>
      <c r="BA288" s="190"/>
      <c r="BB288" s="190"/>
      <c r="BC288" s="190"/>
      <c r="BD288" s="190"/>
      <c r="BE288" s="190"/>
      <c r="BF288" s="190"/>
      <c r="BG288" s="190"/>
      <c r="BH288" s="190"/>
    </row>
    <row r="289" spans="1:60" s="198" customFormat="1" ht="15" customHeight="1">
      <c r="A289" s="237" t="s">
        <v>1669</v>
      </c>
      <c r="B289" s="238"/>
      <c r="C289" s="1525"/>
      <c r="D289" s="285"/>
      <c r="E289" s="286"/>
      <c r="F289" s="287"/>
      <c r="G289" s="196"/>
      <c r="H289" s="196"/>
      <c r="I289" s="196"/>
      <c r="J289" s="196"/>
      <c r="K289" s="196"/>
      <c r="L289" s="196"/>
      <c r="M289" s="196"/>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7"/>
      <c r="AR289" s="197"/>
      <c r="AS289" s="197"/>
      <c r="AT289" s="197"/>
      <c r="AU289" s="197"/>
      <c r="AV289" s="197"/>
      <c r="AW289" s="197"/>
      <c r="AX289" s="197"/>
      <c r="AY289" s="197"/>
      <c r="AZ289" s="197"/>
      <c r="BA289" s="197"/>
      <c r="BB289" s="197"/>
      <c r="BC289" s="197"/>
      <c r="BD289" s="197"/>
      <c r="BE289" s="197"/>
      <c r="BF289" s="197"/>
      <c r="BG289" s="197"/>
      <c r="BH289" s="197"/>
    </row>
    <row r="290" spans="1:60" s="204" customFormat="1">
      <c r="A290" s="199" t="s">
        <v>512</v>
      </c>
      <c r="B290" s="200" t="s">
        <v>513</v>
      </c>
      <c r="C290" s="201" t="s">
        <v>514</v>
      </c>
      <c r="D290" s="199" t="s">
        <v>515</v>
      </c>
      <c r="E290" s="202" t="s">
        <v>516</v>
      </c>
      <c r="F290" s="203" t="s">
        <v>1670</v>
      </c>
      <c r="G290" s="184"/>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5"/>
      <c r="AR290" s="205"/>
      <c r="AS290" s="205"/>
      <c r="AT290" s="205"/>
      <c r="AU290" s="205"/>
      <c r="AV290" s="205"/>
      <c r="AW290" s="205"/>
      <c r="AX290" s="205"/>
      <c r="AY290" s="205"/>
      <c r="AZ290" s="205"/>
      <c r="BA290" s="205"/>
      <c r="BB290" s="205"/>
      <c r="BC290" s="205"/>
      <c r="BD290" s="205"/>
      <c r="BE290" s="205"/>
      <c r="BF290" s="205"/>
      <c r="BG290" s="205"/>
      <c r="BH290" s="205"/>
    </row>
    <row r="291" spans="1:60" ht="15" customHeight="1">
      <c r="A291" s="206"/>
      <c r="B291" s="207"/>
      <c r="C291" s="208" t="s">
        <v>2268</v>
      </c>
      <c r="D291" s="209"/>
      <c r="E291" s="210"/>
      <c r="F291" s="211"/>
    </row>
    <row r="292" spans="1:60" ht="14.25" customHeight="1">
      <c r="A292" s="212"/>
      <c r="B292" s="217" t="s">
        <v>2269</v>
      </c>
      <c r="C292" s="241" t="s">
        <v>2270</v>
      </c>
      <c r="D292" s="226" t="s">
        <v>2271</v>
      </c>
      <c r="E292" s="242">
        <f>'[5]COSTO CDMX,QRO,GDL '!I292</f>
        <v>33665.551511053185</v>
      </c>
      <c r="F292" s="217" t="s">
        <v>284</v>
      </c>
    </row>
    <row r="293" spans="1:60" ht="14.25" customHeight="1">
      <c r="A293" s="212"/>
      <c r="B293" s="221"/>
      <c r="C293" s="243" t="s">
        <v>2272</v>
      </c>
      <c r="D293" s="226"/>
      <c r="E293" s="308"/>
      <c r="F293" s="296"/>
    </row>
    <row r="294" spans="1:60" ht="14.25" customHeight="1">
      <c r="A294" s="212"/>
      <c r="B294" s="221"/>
      <c r="C294" s="243" t="s">
        <v>2273</v>
      </c>
      <c r="D294" s="226"/>
      <c r="E294" s="308"/>
      <c r="F294" s="296"/>
    </row>
    <row r="295" spans="1:60" ht="14.25" customHeight="1">
      <c r="A295" s="212"/>
      <c r="B295" s="221"/>
      <c r="C295" s="243" t="s">
        <v>2274</v>
      </c>
      <c r="D295" s="226"/>
      <c r="E295" s="308"/>
      <c r="F295" s="296"/>
    </row>
    <row r="296" spans="1:60" ht="14.25" customHeight="1">
      <c r="A296" s="212"/>
      <c r="B296" s="221"/>
      <c r="C296" s="243" t="s">
        <v>2275</v>
      </c>
      <c r="D296" s="226"/>
      <c r="E296" s="308"/>
      <c r="F296" s="296"/>
    </row>
    <row r="297" spans="1:60" ht="14.25" customHeight="1">
      <c r="A297" s="212"/>
      <c r="B297" s="221"/>
      <c r="C297" s="309"/>
      <c r="D297" s="226"/>
      <c r="E297" s="308"/>
      <c r="F297" s="296"/>
    </row>
    <row r="298" spans="1:60" ht="14.25" customHeight="1">
      <c r="A298" s="212"/>
      <c r="B298" s="221"/>
      <c r="C298" s="309"/>
      <c r="D298" s="226"/>
      <c r="E298" s="308"/>
      <c r="F298" s="296"/>
    </row>
    <row r="299" spans="1:60" ht="14.25" customHeight="1">
      <c r="A299" s="212"/>
      <c r="B299" s="221"/>
      <c r="C299" s="243"/>
      <c r="D299" s="226"/>
      <c r="E299" s="308"/>
      <c r="F299" s="296"/>
    </row>
    <row r="300" spans="1:60" ht="14.25" customHeight="1">
      <c r="A300" s="212"/>
      <c r="B300" s="221"/>
      <c r="C300" s="225"/>
      <c r="D300" s="226"/>
      <c r="E300" s="242"/>
      <c r="F300" s="296"/>
    </row>
    <row r="301" spans="1:60" ht="15" customHeight="1">
      <c r="A301" s="206"/>
      <c r="B301" s="207"/>
      <c r="C301" s="208" t="s">
        <v>2276</v>
      </c>
      <c r="D301" s="209"/>
      <c r="E301" s="209"/>
      <c r="F301" s="209"/>
    </row>
    <row r="302" spans="1:60" ht="14.25" customHeight="1">
      <c r="A302" s="212"/>
      <c r="B302" s="217" t="s">
        <v>2277</v>
      </c>
      <c r="C302" s="241" t="s">
        <v>2270</v>
      </c>
      <c r="D302" s="226" t="s">
        <v>2278</v>
      </c>
      <c r="E302" s="242">
        <f>'[5]COSTO CDMX,QRO,GDL '!I302</f>
        <v>65682.41495290288</v>
      </c>
      <c r="F302" s="217" t="s">
        <v>284</v>
      </c>
    </row>
    <row r="303" spans="1:60" ht="14.25" customHeight="1">
      <c r="A303" s="212"/>
      <c r="B303" s="221"/>
      <c r="C303" s="243" t="s">
        <v>2272</v>
      </c>
      <c r="D303" s="226"/>
      <c r="E303" s="242"/>
      <c r="F303" s="296"/>
    </row>
    <row r="304" spans="1:60" ht="14.25" customHeight="1">
      <c r="A304" s="212"/>
      <c r="B304" s="221"/>
      <c r="C304" s="243" t="s">
        <v>2273</v>
      </c>
      <c r="D304" s="226"/>
      <c r="E304" s="242"/>
      <c r="F304" s="296"/>
    </row>
    <row r="305" spans="1:6" ht="14.25" customHeight="1">
      <c r="A305" s="212"/>
      <c r="B305" s="221"/>
      <c r="C305" s="243" t="s">
        <v>2274</v>
      </c>
      <c r="D305" s="226"/>
      <c r="E305" s="242"/>
      <c r="F305" s="296"/>
    </row>
    <row r="306" spans="1:6" ht="14.25" customHeight="1">
      <c r="A306" s="212"/>
      <c r="B306" s="221"/>
      <c r="C306" s="243" t="s">
        <v>2275</v>
      </c>
      <c r="D306" s="226"/>
      <c r="E306" s="242"/>
      <c r="F306" s="296"/>
    </row>
    <row r="307" spans="1:6" ht="14.25" customHeight="1">
      <c r="A307" s="212"/>
      <c r="B307" s="221"/>
      <c r="C307" s="309"/>
      <c r="D307" s="226"/>
      <c r="E307" s="242"/>
      <c r="F307" s="296"/>
    </row>
    <row r="308" spans="1:6" ht="14.25" customHeight="1">
      <c r="A308" s="212"/>
      <c r="B308" s="221"/>
      <c r="C308" s="309"/>
      <c r="D308" s="226"/>
      <c r="E308" s="242"/>
      <c r="F308" s="296"/>
    </row>
    <row r="309" spans="1:6" ht="14.25" customHeight="1">
      <c r="A309" s="212"/>
      <c r="B309" s="221"/>
      <c r="C309" s="243"/>
      <c r="D309" s="226"/>
      <c r="E309" s="242"/>
      <c r="F309" s="296"/>
    </row>
    <row r="310" spans="1:6" ht="14.25" customHeight="1">
      <c r="A310" s="212"/>
      <c r="B310" s="221"/>
      <c r="C310" s="243"/>
      <c r="D310" s="226"/>
      <c r="E310" s="242"/>
      <c r="F310" s="296"/>
    </row>
    <row r="311" spans="1:6" ht="15" customHeight="1">
      <c r="A311" s="206"/>
      <c r="B311" s="207"/>
      <c r="C311" s="208" t="s">
        <v>2279</v>
      </c>
      <c r="D311" s="209"/>
      <c r="E311" s="209"/>
      <c r="F311" s="271"/>
    </row>
    <row r="312" spans="1:6" ht="14.25" customHeight="1">
      <c r="A312" s="212"/>
      <c r="B312" s="217" t="s">
        <v>2280</v>
      </c>
      <c r="C312" s="241" t="s">
        <v>2270</v>
      </c>
      <c r="D312" s="226" t="s">
        <v>2281</v>
      </c>
      <c r="E312" s="242">
        <f>'[5]COSTO CDMX,QRO,GDL '!I312</f>
        <v>97699.27839475259</v>
      </c>
      <c r="F312" s="217" t="s">
        <v>284</v>
      </c>
    </row>
    <row r="313" spans="1:6" ht="14.25" customHeight="1">
      <c r="A313" s="212"/>
      <c r="B313" s="221"/>
      <c r="C313" s="243" t="s">
        <v>2272</v>
      </c>
      <c r="D313" s="226"/>
      <c r="E313" s="242"/>
      <c r="F313" s="296"/>
    </row>
    <row r="314" spans="1:6" ht="14.25" customHeight="1">
      <c r="A314" s="212"/>
      <c r="B314" s="221"/>
      <c r="C314" s="243" t="s">
        <v>2273</v>
      </c>
      <c r="D314" s="226"/>
      <c r="E314" s="242"/>
      <c r="F314" s="296"/>
    </row>
    <row r="315" spans="1:6" ht="14.25" customHeight="1">
      <c r="A315" s="212"/>
      <c r="B315" s="221"/>
      <c r="C315" s="243" t="s">
        <v>2274</v>
      </c>
      <c r="D315" s="226"/>
      <c r="E315" s="242"/>
      <c r="F315" s="296"/>
    </row>
    <row r="316" spans="1:6" ht="14.25" customHeight="1">
      <c r="A316" s="212"/>
      <c r="B316" s="221"/>
      <c r="C316" s="243" t="s">
        <v>2275</v>
      </c>
      <c r="D316" s="226"/>
      <c r="E316" s="242"/>
      <c r="F316" s="296"/>
    </row>
    <row r="317" spans="1:6" ht="14.25" customHeight="1">
      <c r="A317" s="212"/>
      <c r="B317" s="221"/>
      <c r="C317" s="309"/>
      <c r="D317" s="226"/>
      <c r="E317" s="242"/>
      <c r="F317" s="296"/>
    </row>
    <row r="318" spans="1:6" ht="14.25" customHeight="1">
      <c r="A318" s="212"/>
      <c r="B318" s="221"/>
      <c r="C318" s="309"/>
      <c r="D318" s="226"/>
      <c r="E318" s="242"/>
      <c r="F318" s="296"/>
    </row>
    <row r="319" spans="1:6" ht="14.25" customHeight="1">
      <c r="A319" s="212"/>
      <c r="B319" s="221"/>
      <c r="C319" s="243"/>
      <c r="D319" s="226"/>
      <c r="E319" s="242"/>
      <c r="F319" s="296"/>
    </row>
    <row r="320" spans="1:6" ht="14.25" customHeight="1">
      <c r="A320" s="212"/>
      <c r="B320" s="221"/>
      <c r="C320" s="243"/>
      <c r="D320" s="226"/>
      <c r="E320" s="242"/>
      <c r="F320" s="296"/>
    </row>
    <row r="321" spans="1:60" ht="15" customHeight="1">
      <c r="A321" s="206"/>
      <c r="B321" s="207"/>
      <c r="C321" s="208" t="s">
        <v>2282</v>
      </c>
      <c r="D321" s="209"/>
      <c r="E321" s="209"/>
      <c r="F321" s="209"/>
    </row>
    <row r="322" spans="1:60" ht="14.25" customHeight="1">
      <c r="A322" s="212"/>
      <c r="B322" s="217" t="s">
        <v>2283</v>
      </c>
      <c r="C322" s="241" t="s">
        <v>2270</v>
      </c>
      <c r="D322" s="226" t="s">
        <v>2284</v>
      </c>
      <c r="E322" s="242">
        <f>'[5]COSTO CDMX,QRO,GDL '!I322</f>
        <v>129716.14183660227</v>
      </c>
      <c r="F322" s="217" t="s">
        <v>284</v>
      </c>
    </row>
    <row r="323" spans="1:60" ht="14.25" customHeight="1">
      <c r="A323" s="212"/>
      <c r="B323" s="221"/>
      <c r="C323" s="243" t="s">
        <v>2272</v>
      </c>
      <c r="D323" s="226"/>
      <c r="E323" s="310"/>
      <c r="F323" s="296"/>
    </row>
    <row r="324" spans="1:60" ht="14.25" customHeight="1">
      <c r="A324" s="212"/>
      <c r="B324" s="221"/>
      <c r="C324" s="243" t="s">
        <v>2273</v>
      </c>
      <c r="D324" s="226"/>
      <c r="E324" s="310"/>
      <c r="F324" s="296"/>
    </row>
    <row r="325" spans="1:60" ht="14.25" customHeight="1">
      <c r="A325" s="212"/>
      <c r="B325" s="221"/>
      <c r="C325" s="243" t="s">
        <v>2274</v>
      </c>
      <c r="D325" s="226"/>
      <c r="E325" s="310"/>
      <c r="F325" s="296"/>
    </row>
    <row r="326" spans="1:60" ht="14.25" customHeight="1">
      <c r="A326" s="212"/>
      <c r="B326" s="221"/>
      <c r="C326" s="243" t="s">
        <v>2275</v>
      </c>
      <c r="D326" s="226"/>
      <c r="E326" s="227"/>
      <c r="F326" s="296"/>
    </row>
    <row r="327" spans="1:60" ht="14.25" customHeight="1">
      <c r="A327" s="212"/>
      <c r="B327" s="221"/>
      <c r="C327" s="309"/>
      <c r="D327" s="226"/>
      <c r="E327" s="227"/>
      <c r="F327" s="296"/>
    </row>
    <row r="328" spans="1:60" ht="14.25" customHeight="1">
      <c r="A328" s="212"/>
      <c r="B328" s="221"/>
      <c r="C328" s="309"/>
      <c r="D328" s="226"/>
      <c r="E328" s="227"/>
      <c r="F328" s="296"/>
    </row>
    <row r="329" spans="1:60" ht="14.25" customHeight="1">
      <c r="A329" s="212"/>
      <c r="B329" s="221"/>
      <c r="C329" s="243"/>
      <c r="D329" s="226"/>
      <c r="E329" s="227"/>
      <c r="F329" s="296"/>
    </row>
    <row r="330" spans="1:60" ht="14.25" customHeight="1">
      <c r="A330" s="212"/>
      <c r="B330" s="221"/>
      <c r="C330" s="243"/>
      <c r="D330" s="226"/>
      <c r="E330" s="227"/>
      <c r="F330" s="296"/>
    </row>
    <row r="331" spans="1:60" s="184" customFormat="1" ht="15" customHeight="1">
      <c r="A331" s="232" t="s">
        <v>2013</v>
      </c>
      <c r="B331" s="233"/>
      <c r="C331" s="1524" t="s">
        <v>1668</v>
      </c>
      <c r="D331" s="232"/>
      <c r="E331" s="311"/>
      <c r="F331" s="312"/>
      <c r="G331" s="183"/>
      <c r="H331" s="183"/>
      <c r="I331" s="183"/>
      <c r="J331" s="183"/>
      <c r="K331" s="183"/>
      <c r="L331" s="183"/>
      <c r="M331" s="183"/>
      <c r="N331" s="190"/>
      <c r="O331" s="190"/>
      <c r="P331" s="190"/>
      <c r="Q331" s="190"/>
      <c r="R331" s="190"/>
      <c r="S331" s="190"/>
      <c r="T331" s="190"/>
      <c r="U331" s="190"/>
      <c r="V331" s="190"/>
      <c r="W331" s="190"/>
      <c r="X331" s="190"/>
      <c r="Y331" s="190"/>
      <c r="Z331" s="190"/>
      <c r="AA331" s="190"/>
      <c r="AB331" s="190"/>
      <c r="AC331" s="190"/>
      <c r="AD331" s="190"/>
      <c r="AE331" s="190"/>
      <c r="AF331" s="190"/>
      <c r="AG331" s="190"/>
      <c r="AH331" s="190"/>
      <c r="AI331" s="190"/>
      <c r="AJ331" s="190"/>
      <c r="AK331" s="190"/>
      <c r="AL331" s="190"/>
      <c r="AM331" s="190"/>
      <c r="AN331" s="190"/>
      <c r="AO331" s="190"/>
      <c r="AP331" s="190"/>
      <c r="AQ331" s="190"/>
      <c r="AR331" s="190"/>
      <c r="AS331" s="190"/>
      <c r="AT331" s="190"/>
      <c r="AU331" s="190"/>
      <c r="AV331" s="190"/>
      <c r="AW331" s="190"/>
      <c r="AX331" s="190"/>
      <c r="AY331" s="190"/>
      <c r="AZ331" s="190"/>
      <c r="BA331" s="190"/>
      <c r="BB331" s="190"/>
      <c r="BC331" s="190"/>
      <c r="BD331" s="190"/>
      <c r="BE331" s="190"/>
      <c r="BF331" s="190"/>
      <c r="BG331" s="190"/>
      <c r="BH331" s="190"/>
    </row>
    <row r="332" spans="1:60" s="198" customFormat="1" ht="15" customHeight="1">
      <c r="A332" s="237" t="s">
        <v>1669</v>
      </c>
      <c r="B332" s="238"/>
      <c r="C332" s="1525"/>
      <c r="D332" s="285"/>
      <c r="E332" s="313"/>
      <c r="F332" s="314"/>
      <c r="G332" s="196"/>
      <c r="H332" s="196"/>
      <c r="I332" s="196"/>
      <c r="J332" s="196"/>
      <c r="K332" s="196"/>
      <c r="L332" s="196"/>
      <c r="M332" s="196"/>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7"/>
      <c r="AR332" s="197"/>
      <c r="AS332" s="197"/>
      <c r="AT332" s="197"/>
      <c r="AU332" s="197"/>
      <c r="AV332" s="197"/>
      <c r="AW332" s="197"/>
      <c r="AX332" s="197"/>
      <c r="AY332" s="197"/>
      <c r="AZ332" s="197"/>
      <c r="BA332" s="197"/>
      <c r="BB332" s="197"/>
      <c r="BC332" s="197"/>
      <c r="BD332" s="197"/>
      <c r="BE332" s="197"/>
      <c r="BF332" s="197"/>
      <c r="BG332" s="197"/>
      <c r="BH332" s="197"/>
    </row>
    <row r="333" spans="1:60" s="204" customFormat="1">
      <c r="A333" s="199" t="s">
        <v>512</v>
      </c>
      <c r="B333" s="200" t="s">
        <v>513</v>
      </c>
      <c r="C333" s="201" t="s">
        <v>514</v>
      </c>
      <c r="D333" s="199" t="s">
        <v>515</v>
      </c>
      <c r="E333" s="202" t="s">
        <v>516</v>
      </c>
      <c r="F333" s="203" t="s">
        <v>1670</v>
      </c>
      <c r="G333" s="184"/>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c r="AS333" s="205"/>
      <c r="AT333" s="205"/>
      <c r="AU333" s="205"/>
      <c r="AV333" s="205"/>
      <c r="AW333" s="205"/>
      <c r="AX333" s="205"/>
      <c r="AY333" s="205"/>
      <c r="AZ333" s="205"/>
      <c r="BA333" s="205"/>
      <c r="BB333" s="205"/>
      <c r="BC333" s="205"/>
      <c r="BD333" s="205"/>
      <c r="BE333" s="205"/>
      <c r="BF333" s="205"/>
      <c r="BG333" s="205"/>
      <c r="BH333" s="205"/>
    </row>
    <row r="334" spans="1:60" ht="14.25" customHeight="1">
      <c r="A334" s="245"/>
      <c r="B334" s="315"/>
      <c r="C334" s="316" t="s">
        <v>1671</v>
      </c>
      <c r="D334" s="317"/>
      <c r="E334" s="318"/>
      <c r="F334" s="319"/>
    </row>
    <row r="335" spans="1:60" ht="14.25" customHeight="1">
      <c r="A335" s="300"/>
      <c r="B335" s="229" t="s">
        <v>1672</v>
      </c>
      <c r="C335" s="295" t="s">
        <v>1673</v>
      </c>
      <c r="D335" s="305" t="s">
        <v>1674</v>
      </c>
      <c r="E335" s="320">
        <f>'[5]COSTO CDMX,QRO,GDL '!I335</f>
        <v>16427.419366568618</v>
      </c>
      <c r="F335" s="217" t="s">
        <v>284</v>
      </c>
      <c r="J335" s="321"/>
    </row>
    <row r="336" spans="1:60" ht="14.25" customHeight="1">
      <c r="A336" s="302"/>
      <c r="B336" s="219"/>
      <c r="C336" s="295" t="s">
        <v>1675</v>
      </c>
      <c r="D336" s="226"/>
      <c r="E336" s="227"/>
      <c r="F336" s="296"/>
    </row>
    <row r="337" spans="1:60" ht="14.25" customHeight="1">
      <c r="A337" s="302"/>
      <c r="B337" s="219"/>
      <c r="C337" s="292" t="s">
        <v>2285</v>
      </c>
      <c r="D337" s="226"/>
      <c r="E337" s="227"/>
      <c r="F337" s="296"/>
    </row>
    <row r="338" spans="1:60" ht="14.25" customHeight="1">
      <c r="A338" s="302"/>
      <c r="B338" s="219"/>
      <c r="C338" s="322"/>
      <c r="D338" s="226"/>
      <c r="E338" s="227"/>
      <c r="F338" s="296"/>
    </row>
    <row r="339" spans="1:60" ht="14.25" customHeight="1">
      <c r="A339" s="302"/>
      <c r="B339" s="219"/>
      <c r="C339" s="244"/>
      <c r="D339" s="226"/>
      <c r="E339" s="227"/>
      <c r="F339" s="296"/>
    </row>
    <row r="340" spans="1:60" ht="14.25" customHeight="1">
      <c r="A340" s="302"/>
      <c r="B340" s="323"/>
      <c r="C340" s="244"/>
      <c r="D340" s="226"/>
      <c r="E340" s="227"/>
      <c r="F340" s="308"/>
    </row>
    <row r="341" spans="1:60" ht="14.25" customHeight="1">
      <c r="A341" s="302"/>
      <c r="B341" s="323"/>
      <c r="C341" s="244"/>
      <c r="D341" s="226"/>
      <c r="E341" s="227"/>
      <c r="F341" s="308"/>
    </row>
    <row r="342" spans="1:60" ht="14.25" customHeight="1">
      <c r="A342" s="302"/>
      <c r="B342" s="323"/>
      <c r="C342" s="244"/>
      <c r="D342" s="226"/>
      <c r="E342" s="227"/>
      <c r="F342" s="308"/>
    </row>
    <row r="343" spans="1:60" ht="14.25" customHeight="1">
      <c r="A343" s="302"/>
      <c r="B343" s="323"/>
      <c r="C343" s="244"/>
      <c r="D343" s="226"/>
      <c r="E343" s="227"/>
      <c r="F343" s="308"/>
    </row>
    <row r="344" spans="1:60" s="184" customFormat="1" ht="15" customHeight="1">
      <c r="A344" s="232" t="s">
        <v>2013</v>
      </c>
      <c r="B344" s="233"/>
      <c r="C344" s="1524" t="s">
        <v>2286</v>
      </c>
      <c r="D344" s="232"/>
      <c r="E344" s="235"/>
      <c r="F344" s="236"/>
      <c r="G344" s="183"/>
      <c r="H344" s="183"/>
      <c r="I344" s="183"/>
      <c r="J344" s="183"/>
      <c r="K344" s="183"/>
      <c r="L344" s="183"/>
      <c r="M344" s="183"/>
      <c r="N344" s="190"/>
      <c r="O344" s="190"/>
      <c r="P344" s="190"/>
      <c r="Q344" s="190"/>
      <c r="R344" s="190"/>
      <c r="S344" s="190"/>
      <c r="T344" s="190"/>
      <c r="U344" s="190"/>
      <c r="V344" s="190"/>
      <c r="W344" s="190"/>
      <c r="X344" s="190"/>
      <c r="Y344" s="190"/>
      <c r="Z344" s="190"/>
      <c r="AA344" s="190"/>
      <c r="AB344" s="190"/>
      <c r="AC344" s="190"/>
      <c r="AD344" s="190"/>
      <c r="AE344" s="190"/>
      <c r="AF344" s="190"/>
      <c r="AG344" s="190"/>
      <c r="AH344" s="190"/>
      <c r="AI344" s="190"/>
      <c r="AJ344" s="190"/>
      <c r="AK344" s="190"/>
      <c r="AL344" s="190"/>
      <c r="AM344" s="190"/>
      <c r="AN344" s="190"/>
      <c r="AO344" s="190"/>
      <c r="AP344" s="190"/>
      <c r="AQ344" s="190"/>
      <c r="AR344" s="190"/>
      <c r="AS344" s="190"/>
      <c r="AT344" s="190"/>
      <c r="AU344" s="190"/>
      <c r="AV344" s="190"/>
      <c r="AW344" s="190"/>
      <c r="AX344" s="190"/>
      <c r="AY344" s="190"/>
      <c r="AZ344" s="190"/>
      <c r="BA344" s="190"/>
      <c r="BB344" s="190"/>
      <c r="BC344" s="190"/>
      <c r="BD344" s="190"/>
      <c r="BE344" s="190"/>
      <c r="BF344" s="190"/>
      <c r="BG344" s="190"/>
      <c r="BH344" s="190"/>
    </row>
    <row r="345" spans="1:60" s="198" customFormat="1" ht="15" customHeight="1">
      <c r="A345" s="237" t="s">
        <v>1669</v>
      </c>
      <c r="B345" s="238"/>
      <c r="C345" s="1525"/>
      <c r="D345" s="285"/>
      <c r="E345" s="286"/>
      <c r="F345" s="287"/>
      <c r="G345" s="196"/>
      <c r="H345" s="196"/>
      <c r="I345" s="196"/>
      <c r="J345" s="196"/>
      <c r="K345" s="196"/>
      <c r="L345" s="196"/>
      <c r="M345" s="196"/>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7"/>
      <c r="AR345" s="197"/>
      <c r="AS345" s="197"/>
      <c r="AT345" s="197"/>
      <c r="AU345" s="197"/>
      <c r="AV345" s="197"/>
      <c r="AW345" s="197"/>
      <c r="AX345" s="197"/>
      <c r="AY345" s="197"/>
      <c r="AZ345" s="197"/>
      <c r="BA345" s="197"/>
      <c r="BB345" s="197"/>
      <c r="BC345" s="197"/>
      <c r="BD345" s="197"/>
      <c r="BE345" s="197"/>
      <c r="BF345" s="197"/>
      <c r="BG345" s="197"/>
      <c r="BH345" s="197"/>
    </row>
    <row r="346" spans="1:60" s="204" customFormat="1">
      <c r="A346" s="199" t="s">
        <v>512</v>
      </c>
      <c r="B346" s="200" t="s">
        <v>513</v>
      </c>
      <c r="C346" s="201" t="s">
        <v>514</v>
      </c>
      <c r="D346" s="199" t="s">
        <v>515</v>
      </c>
      <c r="E346" s="202" t="s">
        <v>516</v>
      </c>
      <c r="F346" s="203" t="s">
        <v>1670</v>
      </c>
      <c r="G346" s="184"/>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c r="AS346" s="205"/>
      <c r="AT346" s="205"/>
      <c r="AU346" s="205"/>
      <c r="AV346" s="205"/>
      <c r="AW346" s="205"/>
      <c r="AX346" s="205"/>
      <c r="AY346" s="205"/>
      <c r="AZ346" s="205"/>
      <c r="BA346" s="205"/>
      <c r="BB346" s="205"/>
      <c r="BC346" s="205"/>
      <c r="BD346" s="205"/>
      <c r="BE346" s="205"/>
      <c r="BF346" s="205"/>
      <c r="BG346" s="205"/>
      <c r="BH346" s="205"/>
    </row>
    <row r="347" spans="1:60" ht="14.25" customHeight="1">
      <c r="A347" s="206"/>
      <c r="B347" s="207"/>
      <c r="C347" s="208" t="s">
        <v>1678</v>
      </c>
      <c r="D347" s="209"/>
      <c r="E347" s="324"/>
      <c r="F347" s="211"/>
    </row>
    <row r="348" spans="1:60" ht="14.25" customHeight="1">
      <c r="A348" s="212"/>
      <c r="B348" s="213" t="s">
        <v>1679</v>
      </c>
      <c r="C348" s="289" t="s">
        <v>1680</v>
      </c>
      <c r="D348" s="226" t="s">
        <v>1681</v>
      </c>
      <c r="E348" s="242">
        <f>'[5]COSTO CDMX,QRO,GDL '!I348</f>
        <v>1881.3621619623539</v>
      </c>
      <c r="F348" s="259" t="s">
        <v>284</v>
      </c>
    </row>
    <row r="349" spans="1:60" ht="14.25" customHeight="1">
      <c r="A349" s="212"/>
      <c r="B349" s="213" t="s">
        <v>1682</v>
      </c>
      <c r="C349" s="289" t="s">
        <v>1683</v>
      </c>
      <c r="D349" s="226" t="s">
        <v>1684</v>
      </c>
      <c r="E349" s="242">
        <f>'[5]COSTO CDMX,QRO,GDL '!I349</f>
        <v>1963.0313331703874</v>
      </c>
      <c r="F349" s="259" t="s">
        <v>284</v>
      </c>
    </row>
    <row r="350" spans="1:60" ht="14.25" customHeight="1">
      <c r="A350" s="212"/>
      <c r="B350" s="213" t="s">
        <v>1685</v>
      </c>
      <c r="C350" s="292" t="s">
        <v>1686</v>
      </c>
      <c r="D350" s="226" t="s">
        <v>1687</v>
      </c>
      <c r="E350" s="242">
        <f>'[5]COSTO CDMX,QRO,GDL '!I350</f>
        <v>2061.305915394782</v>
      </c>
      <c r="F350" s="259" t="s">
        <v>284</v>
      </c>
    </row>
    <row r="351" spans="1:60" ht="14.25" customHeight="1">
      <c r="A351" s="212"/>
      <c r="B351" s="213" t="s">
        <v>1688</v>
      </c>
      <c r="C351" s="289"/>
      <c r="D351" s="226" t="s">
        <v>1689</v>
      </c>
      <c r="E351" s="242">
        <f>'[5]COSTO CDMX,QRO,GDL '!I351</f>
        <v>2064.3760908333788</v>
      </c>
      <c r="F351" s="259" t="s">
        <v>284</v>
      </c>
    </row>
    <row r="352" spans="1:60" ht="14.25" customHeight="1">
      <c r="A352" s="212"/>
      <c r="B352" s="213" t="s">
        <v>1690</v>
      </c>
      <c r="C352" s="289"/>
      <c r="D352" s="226" t="s">
        <v>1691</v>
      </c>
      <c r="E352" s="242">
        <f>'[5]COSTO CDMX,QRO,GDL '!I352</f>
        <v>2149.2257278257562</v>
      </c>
      <c r="F352" s="259" t="s">
        <v>284</v>
      </c>
    </row>
    <row r="353" spans="1:6" ht="14.25" customHeight="1">
      <c r="A353" s="212"/>
      <c r="B353" s="221"/>
      <c r="C353" s="289"/>
      <c r="D353" s="226"/>
      <c r="E353" s="325"/>
      <c r="F353" s="326"/>
    </row>
    <row r="354" spans="1:6" ht="14.25" customHeight="1">
      <c r="A354" s="212"/>
      <c r="B354" s="221"/>
      <c r="C354" s="289"/>
      <c r="D354" s="226"/>
      <c r="E354" s="325"/>
      <c r="F354" s="296"/>
    </row>
    <row r="355" spans="1:6" ht="14.25" customHeight="1">
      <c r="A355" s="212"/>
      <c r="B355" s="221"/>
      <c r="C355" s="289"/>
      <c r="D355" s="226"/>
      <c r="E355" s="325"/>
      <c r="F355" s="296"/>
    </row>
    <row r="356" spans="1:6" ht="14.25" customHeight="1">
      <c r="A356" s="212"/>
      <c r="B356" s="221"/>
      <c r="C356" s="289"/>
      <c r="D356" s="226"/>
      <c r="E356" s="325"/>
      <c r="F356" s="296"/>
    </row>
    <row r="357" spans="1:6" ht="14.25" customHeight="1">
      <c r="A357" s="212"/>
      <c r="B357" s="213" t="s">
        <v>1692</v>
      </c>
      <c r="C357" s="289" t="s">
        <v>1680</v>
      </c>
      <c r="D357" s="226" t="s">
        <v>1693</v>
      </c>
      <c r="E357" s="242">
        <f>'[5]COSTO CDMX,QRO,GDL '!I357</f>
        <v>2401.1865121394817</v>
      </c>
      <c r="F357" s="217" t="s">
        <v>284</v>
      </c>
    </row>
    <row r="358" spans="1:6" ht="14.25" customHeight="1">
      <c r="A358" s="212"/>
      <c r="B358" s="213" t="s">
        <v>1694</v>
      </c>
      <c r="C358" s="289" t="s">
        <v>1683</v>
      </c>
      <c r="D358" s="226" t="s">
        <v>1695</v>
      </c>
      <c r="E358" s="242">
        <f>'[5]COSTO CDMX,QRO,GDL '!I358</f>
        <v>2555.5507509097829</v>
      </c>
      <c r="F358" s="217" t="s">
        <v>284</v>
      </c>
    </row>
    <row r="359" spans="1:6" ht="14.25" customHeight="1">
      <c r="A359" s="212"/>
      <c r="B359" s="213" t="s">
        <v>1696</v>
      </c>
      <c r="C359" s="292" t="s">
        <v>1697</v>
      </c>
      <c r="D359" s="226" t="s">
        <v>1698</v>
      </c>
      <c r="E359" s="242">
        <f>'[5]COSTO CDMX,QRO,GDL '!I359</f>
        <v>2609.7303174732497</v>
      </c>
      <c r="F359" s="217" t="s">
        <v>284</v>
      </c>
    </row>
    <row r="360" spans="1:6" ht="14.25" customHeight="1">
      <c r="A360" s="212"/>
      <c r="B360" s="213" t="s">
        <v>1699</v>
      </c>
      <c r="C360" s="289"/>
      <c r="D360" s="226" t="s">
        <v>1700</v>
      </c>
      <c r="E360" s="242">
        <f>'[5]COSTO CDMX,QRO,GDL '!I360</f>
        <v>2946.9834089222027</v>
      </c>
      <c r="F360" s="217" t="s">
        <v>284</v>
      </c>
    </row>
    <row r="361" spans="1:6" ht="14.25" customHeight="1">
      <c r="A361" s="212"/>
      <c r="B361" s="213"/>
      <c r="C361" s="170"/>
      <c r="D361" s="226"/>
      <c r="E361" s="242"/>
      <c r="F361" s="296"/>
    </row>
    <row r="362" spans="1:6" ht="14.25" customHeight="1">
      <c r="A362" s="212"/>
      <c r="B362" s="221"/>
      <c r="C362" s="170"/>
      <c r="D362" s="226"/>
      <c r="E362" s="242"/>
      <c r="F362" s="280"/>
    </row>
    <row r="363" spans="1:6" ht="14.25" customHeight="1">
      <c r="A363" s="212"/>
      <c r="B363" s="221"/>
      <c r="C363" s="289"/>
      <c r="D363" s="226"/>
      <c r="E363" s="242"/>
      <c r="F363" s="296"/>
    </row>
    <row r="364" spans="1:6" ht="14.25" customHeight="1">
      <c r="A364" s="212"/>
      <c r="B364" s="221"/>
      <c r="C364" s="289"/>
      <c r="D364" s="226"/>
      <c r="E364" s="327"/>
      <c r="F364" s="296"/>
    </row>
    <row r="365" spans="1:6" ht="14.25" customHeight="1">
      <c r="A365" s="206"/>
      <c r="B365" s="207"/>
      <c r="C365" s="208" t="s">
        <v>1701</v>
      </c>
      <c r="D365" s="209"/>
      <c r="E365" s="328"/>
      <c r="F365" s="209"/>
    </row>
    <row r="366" spans="1:6" ht="14.25" customHeight="1">
      <c r="A366" s="212"/>
      <c r="B366" s="213" t="s">
        <v>1702</v>
      </c>
      <c r="C366" s="289" t="s">
        <v>1703</v>
      </c>
      <c r="D366" s="226" t="s">
        <v>1681</v>
      </c>
      <c r="E366" s="242">
        <f>'[5]COSTO CDMX,QRO,GDL '!I366</f>
        <v>2447.0371846493376</v>
      </c>
      <c r="F366" s="217" t="s">
        <v>284</v>
      </c>
    </row>
    <row r="367" spans="1:6" ht="14.25" customHeight="1">
      <c r="A367" s="212"/>
      <c r="B367" s="213" t="s">
        <v>1704</v>
      </c>
      <c r="C367" s="289" t="s">
        <v>1683</v>
      </c>
      <c r="D367" s="226" t="s">
        <v>1684</v>
      </c>
      <c r="E367" s="242">
        <f>'[5]COSTO CDMX,QRO,GDL '!I367</f>
        <v>2525.2078434945929</v>
      </c>
      <c r="F367" s="217" t="s">
        <v>284</v>
      </c>
    </row>
    <row r="368" spans="1:6" ht="14.25" customHeight="1">
      <c r="A368" s="212"/>
      <c r="B368" s="213" t="s">
        <v>1705</v>
      </c>
      <c r="C368" s="292" t="s">
        <v>1686</v>
      </c>
      <c r="D368" s="226" t="s">
        <v>1687</v>
      </c>
      <c r="E368" s="242">
        <f>'[5]COSTO CDMX,QRO,GDL '!I368</f>
        <v>2620.8585414469039</v>
      </c>
      <c r="F368" s="217" t="s">
        <v>284</v>
      </c>
    </row>
    <row r="369" spans="1:6" ht="14.25" customHeight="1">
      <c r="A369" s="212"/>
      <c r="B369" s="213" t="s">
        <v>1706</v>
      </c>
      <c r="C369" s="289"/>
      <c r="D369" s="226" t="s">
        <v>1689</v>
      </c>
      <c r="E369" s="242">
        <f>'[5]COSTO CDMX,QRO,GDL '!I369</f>
        <v>2623.9287168855003</v>
      </c>
      <c r="F369" s="217" t="s">
        <v>284</v>
      </c>
    </row>
    <row r="370" spans="1:6" ht="14.25" customHeight="1">
      <c r="A370" s="212"/>
      <c r="B370" s="213" t="s">
        <v>1707</v>
      </c>
      <c r="C370" s="289"/>
      <c r="D370" s="226" t="s">
        <v>1691</v>
      </c>
      <c r="E370" s="242">
        <f>'[5]COSTO CDMX,QRO,GDL '!I370</f>
        <v>2705.1049158969613</v>
      </c>
      <c r="F370" s="217" t="s">
        <v>284</v>
      </c>
    </row>
    <row r="371" spans="1:6" ht="14.25" customHeight="1">
      <c r="A371" s="212"/>
      <c r="B371" s="213"/>
      <c r="C371" s="289"/>
      <c r="D371" s="226"/>
      <c r="E371" s="325"/>
      <c r="F371" s="296"/>
    </row>
    <row r="372" spans="1:6" ht="14.25" customHeight="1">
      <c r="A372" s="212"/>
      <c r="B372" s="213"/>
      <c r="C372" s="289"/>
      <c r="D372" s="226"/>
      <c r="E372" s="325"/>
      <c r="F372" s="296"/>
    </row>
    <row r="373" spans="1:6" ht="14.25" customHeight="1">
      <c r="A373" s="212"/>
      <c r="B373" s="213"/>
      <c r="C373" s="289"/>
      <c r="D373" s="226"/>
      <c r="E373" s="325"/>
      <c r="F373" s="296"/>
    </row>
    <row r="374" spans="1:6" ht="14.25" customHeight="1">
      <c r="A374" s="212"/>
      <c r="B374" s="213"/>
      <c r="C374" s="289"/>
      <c r="D374" s="226"/>
      <c r="E374" s="325"/>
      <c r="F374" s="296"/>
    </row>
    <row r="375" spans="1:6" ht="14.25" customHeight="1">
      <c r="A375" s="212"/>
      <c r="B375" s="213" t="s">
        <v>1708</v>
      </c>
      <c r="C375" s="289" t="s">
        <v>1703</v>
      </c>
      <c r="D375" s="226" t="s">
        <v>1693</v>
      </c>
      <c r="E375" s="242">
        <f>'[5]COSTO CDMX,QRO,GDL '!I375</f>
        <v>3520.4086327824621</v>
      </c>
      <c r="F375" s="217" t="s">
        <v>284</v>
      </c>
    </row>
    <row r="376" spans="1:6" ht="14.25" customHeight="1">
      <c r="A376" s="212"/>
      <c r="B376" s="213" t="s">
        <v>1709</v>
      </c>
      <c r="C376" s="289" t="s">
        <v>1683</v>
      </c>
      <c r="D376" s="226" t="s">
        <v>1695</v>
      </c>
      <c r="E376" s="242">
        <f>'[5]COSTO CDMX,QRO,GDL '!I376</f>
        <v>3742.4051294420669</v>
      </c>
      <c r="F376" s="217" t="s">
        <v>284</v>
      </c>
    </row>
    <row r="377" spans="1:6" ht="14.25" customHeight="1">
      <c r="A377" s="212"/>
      <c r="B377" s="213" t="s">
        <v>1710</v>
      </c>
      <c r="C377" s="292" t="s">
        <v>1697</v>
      </c>
      <c r="D377" s="226" t="s">
        <v>1698</v>
      </c>
      <c r="E377" s="242">
        <f>'[5]COSTO CDMX,QRO,GDL '!I377</f>
        <v>3796.5846960055346</v>
      </c>
      <c r="F377" s="217" t="s">
        <v>284</v>
      </c>
    </row>
    <row r="378" spans="1:6" ht="14.25" customHeight="1">
      <c r="A378" s="212"/>
      <c r="B378" s="213" t="s">
        <v>1711</v>
      </c>
      <c r="C378" s="289"/>
      <c r="D378" s="226" t="s">
        <v>1700</v>
      </c>
      <c r="E378" s="242">
        <f>'[5]COSTO CDMX,QRO,GDL '!I378</f>
        <v>4062.7346878582312</v>
      </c>
      <c r="F378" s="217" t="s">
        <v>284</v>
      </c>
    </row>
    <row r="379" spans="1:6" ht="14.25" customHeight="1">
      <c r="A379" s="212"/>
      <c r="B379" s="213"/>
      <c r="C379" s="170"/>
      <c r="D379" s="226"/>
      <c r="E379" s="242"/>
      <c r="F379" s="296"/>
    </row>
    <row r="380" spans="1:6" ht="14.25" customHeight="1">
      <c r="A380" s="212"/>
      <c r="B380" s="213"/>
      <c r="C380" s="170"/>
      <c r="D380" s="226"/>
      <c r="E380" s="242"/>
      <c r="F380" s="280"/>
    </row>
    <row r="381" spans="1:6" ht="14.25" customHeight="1">
      <c r="A381" s="212"/>
      <c r="B381" s="221"/>
      <c r="C381" s="289"/>
      <c r="D381" s="226"/>
      <c r="E381" s="242"/>
      <c r="F381" s="296"/>
    </row>
    <row r="382" spans="1:6" ht="14.25" customHeight="1">
      <c r="A382" s="212"/>
      <c r="B382" s="221"/>
      <c r="C382" s="289"/>
      <c r="D382" s="226"/>
      <c r="E382" s="327"/>
      <c r="F382" s="296"/>
    </row>
    <row r="383" spans="1:6" ht="14.25" customHeight="1">
      <c r="A383" s="206"/>
      <c r="B383" s="207"/>
      <c r="C383" s="208" t="s">
        <v>1712</v>
      </c>
      <c r="D383" s="209"/>
      <c r="E383" s="328"/>
      <c r="F383" s="209"/>
    </row>
    <row r="384" spans="1:6" ht="14.25" customHeight="1">
      <c r="A384" s="212"/>
      <c r="B384" s="213" t="s">
        <v>1713</v>
      </c>
      <c r="C384" s="289" t="s">
        <v>1714</v>
      </c>
      <c r="D384" s="226" t="s">
        <v>1693</v>
      </c>
      <c r="E384" s="242">
        <f>'[5]COSTO CDMX,QRO,GDL '!I384</f>
        <v>4300.264046379596</v>
      </c>
      <c r="F384" s="217" t="s">
        <v>284</v>
      </c>
    </row>
    <row r="385" spans="1:6" ht="14.25" customHeight="1">
      <c r="A385" s="212"/>
      <c r="B385" s="213" t="s">
        <v>1715</v>
      </c>
      <c r="C385" s="289" t="s">
        <v>1683</v>
      </c>
      <c r="D385" s="226" t="s">
        <v>1695</v>
      </c>
      <c r="E385" s="242">
        <f>'[5]COSTO CDMX,QRO,GDL '!I385</f>
        <v>4393.0368452498369</v>
      </c>
      <c r="F385" s="217" t="s">
        <v>284</v>
      </c>
    </row>
    <row r="386" spans="1:6" ht="14.25" customHeight="1">
      <c r="A386" s="212"/>
      <c r="B386" s="213" t="s">
        <v>1716</v>
      </c>
      <c r="C386" s="292" t="s">
        <v>1697</v>
      </c>
      <c r="D386" s="226" t="s">
        <v>1698</v>
      </c>
      <c r="E386" s="242">
        <f>'[5]COSTO CDMX,QRO,GDL '!I386</f>
        <v>4413.6766801311569</v>
      </c>
      <c r="F386" s="217" t="s">
        <v>284</v>
      </c>
    </row>
    <row r="387" spans="1:6" ht="14.25" customHeight="1">
      <c r="A387" s="294"/>
      <c r="B387" s="213" t="s">
        <v>1717</v>
      </c>
      <c r="C387" s="289"/>
      <c r="D387" s="226" t="s">
        <v>1700</v>
      </c>
      <c r="E387" s="242">
        <f>'[5]COSTO CDMX,QRO,GDL '!I387</f>
        <v>4563.1557958771773</v>
      </c>
      <c r="F387" s="217" t="s">
        <v>284</v>
      </c>
    </row>
    <row r="388" spans="1:6" ht="14.25" customHeight="1">
      <c r="A388" s="212"/>
      <c r="B388" s="213"/>
      <c r="C388" s="295"/>
      <c r="D388" s="226"/>
      <c r="E388" s="242"/>
      <c r="F388" s="296"/>
    </row>
    <row r="389" spans="1:6" ht="14.25" customHeight="1">
      <c r="A389" s="294"/>
      <c r="B389" s="221"/>
      <c r="D389" s="226"/>
      <c r="E389" s="242"/>
      <c r="F389" s="296"/>
    </row>
    <row r="390" spans="1:6" ht="14.25" customHeight="1">
      <c r="A390" s="212"/>
      <c r="B390" s="221"/>
      <c r="C390" s="289"/>
      <c r="D390" s="226"/>
      <c r="E390" s="242"/>
      <c r="F390" s="296"/>
    </row>
    <row r="391" spans="1:6" ht="14.25" customHeight="1">
      <c r="A391" s="212"/>
      <c r="B391" s="221"/>
      <c r="C391" s="289"/>
      <c r="D391" s="226"/>
      <c r="E391" s="242"/>
      <c r="F391" s="296"/>
    </row>
    <row r="392" spans="1:6" ht="14.25" customHeight="1">
      <c r="A392" s="212"/>
      <c r="B392" s="221"/>
      <c r="C392" s="289"/>
      <c r="D392" s="226"/>
      <c r="E392" s="242"/>
      <c r="F392" s="296"/>
    </row>
    <row r="393" spans="1:6" ht="14.25" customHeight="1">
      <c r="A393" s="206"/>
      <c r="B393" s="207"/>
      <c r="C393" s="208" t="s">
        <v>1712</v>
      </c>
      <c r="D393" s="209"/>
      <c r="E393" s="328"/>
      <c r="F393" s="209"/>
    </row>
    <row r="394" spans="1:6" ht="14.25" customHeight="1">
      <c r="A394" s="212"/>
      <c r="B394" s="213" t="s">
        <v>1718</v>
      </c>
      <c r="C394" s="289" t="s">
        <v>1719</v>
      </c>
      <c r="D394" s="226" t="s">
        <v>1693</v>
      </c>
      <c r="E394" s="216">
        <f>'[5]COSTO CDMX,QRO,GDL '!$I$394</f>
        <v>6081.8713450292398</v>
      </c>
      <c r="F394" s="217" t="s">
        <v>284</v>
      </c>
    </row>
    <row r="395" spans="1:6" ht="14.25" customHeight="1">
      <c r="A395" s="212"/>
      <c r="B395" s="213" t="s">
        <v>1720</v>
      </c>
      <c r="C395" s="289" t="s">
        <v>1683</v>
      </c>
      <c r="D395" s="226" t="s">
        <v>1695</v>
      </c>
      <c r="E395" s="216">
        <f>'[5]COSTO CDMX,QRO,GDL '!$I$395</f>
        <v>7907.4320980878156</v>
      </c>
      <c r="F395" s="217" t="s">
        <v>284</v>
      </c>
    </row>
    <row r="396" spans="1:6" ht="14.25" customHeight="1">
      <c r="A396" s="212"/>
      <c r="B396" s="213" t="s">
        <v>1721</v>
      </c>
      <c r="C396" s="292" t="s">
        <v>1722</v>
      </c>
      <c r="D396" s="226" t="s">
        <v>1698</v>
      </c>
      <c r="E396" s="216">
        <f>'[5]COSTO CDMX,QRO,GDL '!$I$396</f>
        <v>7928.0719329691356</v>
      </c>
      <c r="F396" s="217" t="s">
        <v>284</v>
      </c>
    </row>
    <row r="397" spans="1:6" ht="14.25" customHeight="1">
      <c r="A397" s="294"/>
      <c r="B397" s="213" t="s">
        <v>1723</v>
      </c>
      <c r="C397" s="299"/>
      <c r="D397" s="226" t="s">
        <v>1700</v>
      </c>
      <c r="E397" s="216">
        <f>'[5]COSTO CDMX,QRO,GDL '!$I$397</f>
        <v>8077.5510487151587</v>
      </c>
      <c r="F397" s="217" t="s">
        <v>284</v>
      </c>
    </row>
    <row r="398" spans="1:6" ht="14.25" customHeight="1">
      <c r="A398" s="212"/>
      <c r="B398" s="213"/>
      <c r="C398" s="295"/>
      <c r="D398" s="226"/>
      <c r="E398" s="242"/>
      <c r="F398" s="296"/>
    </row>
    <row r="399" spans="1:6" ht="14.25" customHeight="1">
      <c r="A399" s="294"/>
      <c r="B399" s="221"/>
      <c r="D399" s="226"/>
      <c r="E399" s="242"/>
      <c r="F399" s="296"/>
    </row>
    <row r="400" spans="1:6" ht="14.25" customHeight="1">
      <c r="A400" s="212"/>
      <c r="B400" s="221"/>
      <c r="C400" s="289"/>
      <c r="D400" s="226"/>
      <c r="E400" s="242"/>
      <c r="F400" s="296"/>
    </row>
    <row r="401" spans="1:6" ht="14.25" customHeight="1">
      <c r="A401" s="212"/>
      <c r="B401" s="221"/>
      <c r="C401" s="289"/>
      <c r="D401" s="226"/>
      <c r="E401" s="242"/>
      <c r="F401" s="296"/>
    </row>
    <row r="402" spans="1:6" ht="14.25" customHeight="1">
      <c r="A402" s="212"/>
      <c r="B402" s="221"/>
      <c r="C402" s="289"/>
      <c r="D402" s="226"/>
      <c r="E402" s="242"/>
      <c r="F402" s="296"/>
    </row>
    <row r="403" spans="1:6" ht="14.25" customHeight="1">
      <c r="A403" s="245"/>
      <c r="B403" s="246"/>
      <c r="C403" s="208" t="s">
        <v>1724</v>
      </c>
      <c r="D403" s="247"/>
      <c r="E403" s="329"/>
      <c r="F403" s="298"/>
    </row>
    <row r="404" spans="1:6" ht="14.25" customHeight="1">
      <c r="A404" s="212"/>
      <c r="B404" s="213" t="s">
        <v>1725</v>
      </c>
      <c r="C404" s="289" t="s">
        <v>1726</v>
      </c>
      <c r="D404" s="226" t="s">
        <v>1681</v>
      </c>
      <c r="E404" s="242">
        <f>'[5]COSTO CDMX,QRO,GDL '!I404</f>
        <v>1218.5893806131951</v>
      </c>
      <c r="F404" s="217" t="s">
        <v>284</v>
      </c>
    </row>
    <row r="405" spans="1:6" ht="14.25" customHeight="1">
      <c r="A405" s="212"/>
      <c r="B405" s="213" t="s">
        <v>1727</v>
      </c>
      <c r="C405" s="289" t="s">
        <v>1683</v>
      </c>
      <c r="D405" s="226" t="s">
        <v>1684</v>
      </c>
      <c r="E405" s="242">
        <f>'[5]COSTO CDMX,QRO,GDL '!I405</f>
        <v>1300.2585518212293</v>
      </c>
      <c r="F405" s="217" t="s">
        <v>284</v>
      </c>
    </row>
    <row r="406" spans="1:6" ht="14.25" customHeight="1">
      <c r="A406" s="212"/>
      <c r="B406" s="213" t="s">
        <v>1728</v>
      </c>
      <c r="C406" s="292" t="s">
        <v>1686</v>
      </c>
      <c r="D406" s="226" t="s">
        <v>1687</v>
      </c>
      <c r="E406" s="242">
        <f>'[5]COSTO CDMX,QRO,GDL '!I406</f>
        <v>1398.5331340456239</v>
      </c>
      <c r="F406" s="217" t="s">
        <v>284</v>
      </c>
    </row>
    <row r="407" spans="1:6" ht="14.25" customHeight="1">
      <c r="A407" s="212"/>
      <c r="B407" s="213" t="s">
        <v>1729</v>
      </c>
      <c r="C407" s="289"/>
      <c r="D407" s="226" t="s">
        <v>1689</v>
      </c>
      <c r="E407" s="242">
        <f>'[5]COSTO CDMX,QRO,GDL '!I407</f>
        <v>1401.6033094842203</v>
      </c>
      <c r="F407" s="217" t="s">
        <v>284</v>
      </c>
    </row>
    <row r="408" spans="1:6" ht="14.25" customHeight="1">
      <c r="A408" s="212"/>
      <c r="B408" s="213" t="s">
        <v>1730</v>
      </c>
      <c r="C408" s="295"/>
      <c r="D408" s="226" t="s">
        <v>1691</v>
      </c>
      <c r="E408" s="242">
        <f>'[5]COSTO CDMX,QRO,GDL '!I408</f>
        <v>1486.4529464765981</v>
      </c>
      <c r="F408" s="217" t="s">
        <v>284</v>
      </c>
    </row>
    <row r="409" spans="1:6" ht="14.25" customHeight="1">
      <c r="A409" s="212"/>
      <c r="B409" s="213"/>
      <c r="C409" s="289"/>
      <c r="D409" s="226"/>
      <c r="F409" s="217"/>
    </row>
    <row r="410" spans="1:6" ht="14.25" customHeight="1">
      <c r="A410" s="212"/>
      <c r="B410" s="213" t="s">
        <v>1731</v>
      </c>
      <c r="C410" s="289" t="s">
        <v>1726</v>
      </c>
      <c r="D410" s="226" t="s">
        <v>1693</v>
      </c>
      <c r="E410" s="242">
        <f>'[5]COSTO CDMX,QRO,GDL '!I410</f>
        <v>1738.4137307903238</v>
      </c>
      <c r="F410" s="217" t="s">
        <v>284</v>
      </c>
    </row>
    <row r="411" spans="1:6" ht="14.25" customHeight="1">
      <c r="A411" s="212"/>
      <c r="B411" s="213" t="s">
        <v>1732</v>
      </c>
      <c r="C411" s="289" t="s">
        <v>1683</v>
      </c>
      <c r="D411" s="226" t="s">
        <v>1695</v>
      </c>
      <c r="E411" s="242">
        <f>'[5]COSTO CDMX,QRO,GDL '!I411</f>
        <v>1892.7779695606239</v>
      </c>
      <c r="F411" s="217" t="s">
        <v>284</v>
      </c>
    </row>
    <row r="412" spans="1:6" ht="14.25" customHeight="1">
      <c r="A412" s="212"/>
      <c r="B412" s="213" t="s">
        <v>1733</v>
      </c>
      <c r="C412" s="292" t="s">
        <v>1697</v>
      </c>
      <c r="D412" s="226" t="s">
        <v>1698</v>
      </c>
      <c r="E412" s="242">
        <f>'[5]COSTO CDMX,QRO,GDL '!I412</f>
        <v>1946.9575361240913</v>
      </c>
      <c r="F412" s="217" t="s">
        <v>284</v>
      </c>
    </row>
    <row r="413" spans="1:6" ht="14.25" customHeight="1">
      <c r="A413" s="212"/>
      <c r="B413" s="213" t="s">
        <v>1734</v>
      </c>
      <c r="C413" s="289"/>
      <c r="D413" s="226" t="s">
        <v>1700</v>
      </c>
      <c r="E413" s="242">
        <f>'[5]COSTO CDMX,QRO,GDL '!I413</f>
        <v>2266.150772051888</v>
      </c>
      <c r="F413" s="217" t="s">
        <v>284</v>
      </c>
    </row>
    <row r="414" spans="1:6" ht="14.25" customHeight="1">
      <c r="A414" s="212"/>
      <c r="B414" s="221"/>
      <c r="C414" s="289"/>
      <c r="D414" s="226"/>
      <c r="E414" s="242"/>
      <c r="F414" s="296"/>
    </row>
    <row r="415" spans="1:6" ht="14.25" customHeight="1">
      <c r="A415" s="245"/>
      <c r="B415" s="246"/>
      <c r="C415" s="208" t="s">
        <v>1735</v>
      </c>
      <c r="D415" s="247"/>
      <c r="E415" s="329"/>
      <c r="F415" s="298"/>
    </row>
    <row r="416" spans="1:6" ht="14.25" customHeight="1">
      <c r="A416" s="212"/>
      <c r="B416" s="331" t="s">
        <v>1736</v>
      </c>
      <c r="C416" s="289" t="s">
        <v>1726</v>
      </c>
      <c r="D416" s="305" t="s">
        <v>1681</v>
      </c>
      <c r="E416" s="242">
        <f>'[5]COSTO CDMX,QRO,GDL '!I416</f>
        <v>2018.5194831760266</v>
      </c>
      <c r="F416" s="217" t="s">
        <v>284</v>
      </c>
    </row>
    <row r="417" spans="1:60" ht="14.25" customHeight="1">
      <c r="A417" s="212"/>
      <c r="B417" s="213" t="s">
        <v>1737</v>
      </c>
      <c r="C417" s="289" t="s">
        <v>1683</v>
      </c>
      <c r="D417" s="226" t="s">
        <v>1684</v>
      </c>
      <c r="E417" s="242">
        <f>'[5]COSTO CDMX,QRO,GDL '!I417</f>
        <v>2107.8573789991756</v>
      </c>
      <c r="F417" s="217" t="s">
        <v>284</v>
      </c>
    </row>
    <row r="418" spans="1:60" ht="14.25" customHeight="1">
      <c r="A418" s="212"/>
      <c r="B418" s="213" t="s">
        <v>1738</v>
      </c>
      <c r="C418" s="225" t="s">
        <v>1686</v>
      </c>
      <c r="D418" s="226" t="s">
        <v>1687</v>
      </c>
      <c r="E418" s="242">
        <f>'[5]COSTO CDMX,QRO,GDL '!I418</f>
        <v>2180.0207595868683</v>
      </c>
      <c r="F418" s="217" t="s">
        <v>284</v>
      </c>
    </row>
    <row r="419" spans="1:60" ht="14.25" customHeight="1">
      <c r="A419" s="212"/>
      <c r="B419" s="213" t="s">
        <v>1739</v>
      </c>
      <c r="C419" s="289"/>
      <c r="D419" s="226" t="s">
        <v>1689</v>
      </c>
      <c r="E419" s="242">
        <f>'[5]COSTO CDMX,QRO,GDL '!I419</f>
        <v>2257.8329370894485</v>
      </c>
      <c r="F419" s="217" t="s">
        <v>284</v>
      </c>
    </row>
    <row r="420" spans="1:60" ht="14.25" customHeight="1">
      <c r="A420" s="212"/>
      <c r="B420" s="213" t="s">
        <v>1740</v>
      </c>
      <c r="C420" s="295"/>
      <c r="D420" s="226" t="s">
        <v>1691</v>
      </c>
      <c r="E420" s="242">
        <f>'[5]COSTO CDMX,QRO,GDL '!I420</f>
        <v>2313.4540331733115</v>
      </c>
      <c r="F420" s="217" t="s">
        <v>284</v>
      </c>
    </row>
    <row r="421" spans="1:60" ht="14.25" customHeight="1">
      <c r="A421" s="212"/>
      <c r="B421" s="213"/>
      <c r="C421" s="289"/>
      <c r="D421" s="226"/>
      <c r="F421" s="217"/>
    </row>
    <row r="422" spans="1:60" ht="14.25" customHeight="1">
      <c r="A422" s="212"/>
      <c r="B422" s="213" t="s">
        <v>1741</v>
      </c>
      <c r="C422" s="289" t="s">
        <v>1726</v>
      </c>
      <c r="D422" s="226" t="s">
        <v>1693</v>
      </c>
      <c r="E422" s="242">
        <f>'[5]COSTO CDMX,QRO,GDL '!I422</f>
        <v>3245.2297096138827</v>
      </c>
      <c r="F422" s="217" t="s">
        <v>284</v>
      </c>
    </row>
    <row r="423" spans="1:60" ht="14.25" customHeight="1">
      <c r="A423" s="212"/>
      <c r="B423" s="213" t="s">
        <v>1742</v>
      </c>
      <c r="C423" s="289" t="s">
        <v>1683</v>
      </c>
      <c r="D423" s="226" t="s">
        <v>1695</v>
      </c>
      <c r="E423" s="242">
        <f>'[5]COSTO CDMX,QRO,GDL '!I423</f>
        <v>3498.9399915105755</v>
      </c>
      <c r="F423" s="217" t="s">
        <v>284</v>
      </c>
    </row>
    <row r="424" spans="1:60" ht="14.25" customHeight="1">
      <c r="A424" s="212"/>
      <c r="B424" s="213" t="s">
        <v>1743</v>
      </c>
      <c r="C424" s="292" t="s">
        <v>1697</v>
      </c>
      <c r="D424" s="226" t="s">
        <v>1698</v>
      </c>
      <c r="E424" s="242">
        <f>'[5]COSTO CDMX,QRO,GDL '!I424</f>
        <v>3560.8594961545386</v>
      </c>
      <c r="F424" s="217" t="s">
        <v>284</v>
      </c>
    </row>
    <row r="425" spans="1:60" ht="14.25" customHeight="1">
      <c r="A425" s="212"/>
      <c r="B425" s="213" t="s">
        <v>1744</v>
      </c>
      <c r="C425" s="289"/>
      <c r="D425" s="226" t="s">
        <v>1700</v>
      </c>
      <c r="E425" s="242">
        <f>'[5]COSTO CDMX,QRO,GDL '!I425</f>
        <v>3844.3910805334422</v>
      </c>
      <c r="F425" s="217" t="s">
        <v>284</v>
      </c>
    </row>
    <row r="426" spans="1:60" ht="14.25" customHeight="1">
      <c r="A426" s="212"/>
      <c r="B426" s="213"/>
      <c r="C426" s="289"/>
      <c r="D426" s="226"/>
      <c r="E426" s="242"/>
      <c r="F426" s="296"/>
    </row>
    <row r="427" spans="1:60" ht="14.25" customHeight="1">
      <c r="A427" s="212"/>
      <c r="B427" s="224"/>
      <c r="C427" s="289"/>
      <c r="D427" s="306"/>
      <c r="E427" s="307"/>
      <c r="F427" s="332"/>
    </row>
    <row r="428" spans="1:60" s="184" customFormat="1" ht="15" customHeight="1">
      <c r="A428" s="232" t="s">
        <v>2013</v>
      </c>
      <c r="B428" s="233"/>
      <c r="C428" s="1524" t="s">
        <v>2287</v>
      </c>
      <c r="D428" s="232"/>
      <c r="E428" s="235"/>
      <c r="F428" s="236"/>
      <c r="G428" s="183"/>
      <c r="H428" s="183"/>
      <c r="I428" s="183"/>
      <c r="J428" s="183"/>
      <c r="K428" s="183"/>
      <c r="L428" s="183"/>
      <c r="M428" s="183"/>
      <c r="N428" s="190"/>
      <c r="O428" s="190"/>
      <c r="P428" s="190"/>
      <c r="Q428" s="190"/>
      <c r="R428" s="190"/>
      <c r="S428" s="190"/>
      <c r="T428" s="190"/>
      <c r="U428" s="190"/>
      <c r="V428" s="190"/>
      <c r="W428" s="190"/>
      <c r="X428" s="190"/>
      <c r="Y428" s="190"/>
      <c r="Z428" s="190"/>
      <c r="AA428" s="190"/>
      <c r="AB428" s="190"/>
      <c r="AC428" s="190"/>
      <c r="AD428" s="190"/>
      <c r="AE428" s="190"/>
      <c r="AF428" s="190"/>
      <c r="AG428" s="190"/>
      <c r="AH428" s="190"/>
      <c r="AI428" s="190"/>
      <c r="AJ428" s="190"/>
      <c r="AK428" s="190"/>
      <c r="AL428" s="190"/>
      <c r="AM428" s="190"/>
      <c r="AN428" s="190"/>
      <c r="AO428" s="190"/>
      <c r="AP428" s="190"/>
      <c r="AQ428" s="190"/>
      <c r="AR428" s="190"/>
      <c r="AS428" s="190"/>
      <c r="AT428" s="190"/>
      <c r="AU428" s="190"/>
      <c r="AV428" s="190"/>
      <c r="AW428" s="190"/>
      <c r="AX428" s="190"/>
      <c r="AY428" s="190"/>
      <c r="AZ428" s="190"/>
      <c r="BA428" s="190"/>
      <c r="BB428" s="190"/>
      <c r="BC428" s="190"/>
      <c r="BD428" s="190"/>
      <c r="BE428" s="190"/>
      <c r="BF428" s="190"/>
      <c r="BG428" s="190"/>
      <c r="BH428" s="190"/>
    </row>
    <row r="429" spans="1:60" s="198" customFormat="1" ht="15" customHeight="1">
      <c r="A429" s="237" t="s">
        <v>1669</v>
      </c>
      <c r="B429" s="238"/>
      <c r="C429" s="1525"/>
      <c r="D429" s="285"/>
      <c r="E429" s="286"/>
      <c r="F429" s="287"/>
      <c r="G429" s="196"/>
      <c r="H429" s="196"/>
      <c r="I429" s="196"/>
      <c r="J429" s="196"/>
      <c r="K429" s="196"/>
      <c r="L429" s="196"/>
      <c r="M429" s="196"/>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7"/>
      <c r="AR429" s="197"/>
      <c r="AS429" s="197"/>
      <c r="AT429" s="197"/>
      <c r="AU429" s="197"/>
      <c r="AV429" s="197"/>
      <c r="AW429" s="197"/>
      <c r="AX429" s="197"/>
      <c r="AY429" s="197"/>
      <c r="AZ429" s="197"/>
      <c r="BA429" s="197"/>
      <c r="BB429" s="197"/>
      <c r="BC429" s="197"/>
      <c r="BD429" s="197"/>
      <c r="BE429" s="197"/>
      <c r="BF429" s="197"/>
      <c r="BG429" s="197"/>
      <c r="BH429" s="197"/>
    </row>
    <row r="430" spans="1:60" s="204" customFormat="1">
      <c r="A430" s="199" t="s">
        <v>512</v>
      </c>
      <c r="B430" s="200" t="s">
        <v>513</v>
      </c>
      <c r="C430" s="201" t="s">
        <v>514</v>
      </c>
      <c r="D430" s="199" t="s">
        <v>515</v>
      </c>
      <c r="E430" s="202" t="s">
        <v>516</v>
      </c>
      <c r="F430" s="203" t="s">
        <v>1670</v>
      </c>
      <c r="G430" s="184"/>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c r="AS430" s="205"/>
      <c r="AT430" s="205"/>
      <c r="AU430" s="205"/>
      <c r="AV430" s="205"/>
      <c r="AW430" s="205"/>
      <c r="AX430" s="205"/>
      <c r="AY430" s="205"/>
      <c r="AZ430" s="205"/>
      <c r="BA430" s="205"/>
      <c r="BB430" s="205"/>
      <c r="BC430" s="205"/>
      <c r="BD430" s="205"/>
      <c r="BE430" s="205"/>
      <c r="BF430" s="205"/>
      <c r="BG430" s="205"/>
      <c r="BH430" s="205"/>
    </row>
    <row r="431" spans="1:60" ht="14.25" customHeight="1">
      <c r="A431" s="206"/>
      <c r="B431" s="207"/>
      <c r="C431" s="208" t="s">
        <v>1746</v>
      </c>
      <c r="D431" s="209"/>
      <c r="E431" s="210"/>
      <c r="F431" s="211"/>
    </row>
    <row r="432" spans="1:60" ht="14.25" customHeight="1">
      <c r="A432" s="212"/>
      <c r="B432" s="213" t="s">
        <v>1747</v>
      </c>
      <c r="C432" s="289" t="s">
        <v>1748</v>
      </c>
      <c r="D432" s="226" t="s">
        <v>1681</v>
      </c>
      <c r="E432" s="242">
        <f>'[5]COSTO CDMX,QRO,GDL '!I432</f>
        <v>2192.7737548882942</v>
      </c>
      <c r="F432" s="217" t="s">
        <v>284</v>
      </c>
    </row>
    <row r="433" spans="1:6" ht="14.25" customHeight="1">
      <c r="A433" s="212"/>
      <c r="B433" s="213" t="s">
        <v>1749</v>
      </c>
      <c r="C433" s="289" t="s">
        <v>1683</v>
      </c>
      <c r="D433" s="226" t="s">
        <v>1684</v>
      </c>
      <c r="E433" s="242">
        <f>'[5]COSTO CDMX,QRO,GDL '!I433</f>
        <v>2271.1629232159312</v>
      </c>
      <c r="F433" s="217" t="s">
        <v>284</v>
      </c>
    </row>
    <row r="434" spans="1:6" ht="14.25" customHeight="1">
      <c r="A434" s="212"/>
      <c r="B434" s="213" t="s">
        <v>1750</v>
      </c>
      <c r="C434" s="292" t="s">
        <v>1686</v>
      </c>
      <c r="D434" s="226" t="s">
        <v>1687</v>
      </c>
      <c r="E434" s="242">
        <f>'[5]COSTO CDMX,QRO,GDL '!I434</f>
        <v>2390.7313907999487</v>
      </c>
      <c r="F434" s="217" t="s">
        <v>284</v>
      </c>
    </row>
    <row r="435" spans="1:6" ht="14.25" customHeight="1">
      <c r="A435" s="212"/>
      <c r="B435" s="213" t="s">
        <v>1751</v>
      </c>
      <c r="C435" s="289"/>
      <c r="D435" s="226" t="s">
        <v>1689</v>
      </c>
      <c r="E435" s="242">
        <f>'[5]COSTO CDMX,QRO,GDL '!I435</f>
        <v>2406.6760142633698</v>
      </c>
      <c r="F435" s="217" t="s">
        <v>284</v>
      </c>
    </row>
    <row r="436" spans="1:6" ht="14.25" customHeight="1">
      <c r="A436" s="212"/>
      <c r="B436" s="213" t="s">
        <v>1752</v>
      </c>
      <c r="C436" s="289"/>
      <c r="D436" s="226" t="s">
        <v>1691</v>
      </c>
      <c r="E436" s="242">
        <f>'[5]COSTO CDMX,QRO,GDL '!I436</f>
        <v>2511.6322965608374</v>
      </c>
      <c r="F436" s="217" t="s">
        <v>284</v>
      </c>
    </row>
    <row r="437" spans="1:6" ht="14.25" customHeight="1">
      <c r="A437" s="212"/>
      <c r="B437" s="221"/>
      <c r="C437" s="289"/>
      <c r="D437" s="226"/>
      <c r="E437" s="242"/>
      <c r="F437" s="296"/>
    </row>
    <row r="438" spans="1:6" ht="14.25" customHeight="1">
      <c r="A438" s="212"/>
      <c r="B438" s="221"/>
      <c r="C438" s="289"/>
      <c r="D438" s="226"/>
      <c r="E438" s="242"/>
      <c r="F438" s="296"/>
    </row>
    <row r="439" spans="1:6" ht="14.25" customHeight="1">
      <c r="A439" s="212"/>
      <c r="B439" s="221"/>
      <c r="C439" s="289"/>
      <c r="D439" s="226"/>
      <c r="E439" s="242"/>
      <c r="F439" s="296"/>
    </row>
    <row r="440" spans="1:6" ht="14.25" customHeight="1">
      <c r="A440" s="212"/>
      <c r="B440" s="221"/>
      <c r="C440" s="289"/>
      <c r="D440" s="226"/>
      <c r="E440" s="242"/>
      <c r="F440" s="296"/>
    </row>
    <row r="441" spans="1:6" ht="14.25" customHeight="1">
      <c r="A441" s="212"/>
      <c r="B441" s="213" t="s">
        <v>1753</v>
      </c>
      <c r="C441" s="289" t="s">
        <v>1748</v>
      </c>
      <c r="D441" s="226" t="s">
        <v>1693</v>
      </c>
      <c r="E441" s="242">
        <f>'[5]COSTO CDMX,QRO,GDL '!I441</f>
        <v>2767.6111793420196</v>
      </c>
      <c r="F441" s="217" t="s">
        <v>284</v>
      </c>
    </row>
    <row r="442" spans="1:6" ht="14.25" customHeight="1">
      <c r="A442" s="212"/>
      <c r="B442" s="213" t="s">
        <v>1754</v>
      </c>
      <c r="C442" s="289" t="s">
        <v>1683</v>
      </c>
      <c r="D442" s="226" t="s">
        <v>1695</v>
      </c>
      <c r="E442" s="242">
        <f>'[5]COSTO CDMX,QRO,GDL '!I442</f>
        <v>2948.2296132345059</v>
      </c>
      <c r="F442" s="217" t="s">
        <v>284</v>
      </c>
    </row>
    <row r="443" spans="1:6" ht="14.25" customHeight="1">
      <c r="A443" s="212"/>
      <c r="B443" s="213" t="s">
        <v>1755</v>
      </c>
      <c r="C443" s="292" t="s">
        <v>1722</v>
      </c>
      <c r="D443" s="226" t="s">
        <v>1698</v>
      </c>
      <c r="E443" s="242">
        <f>'[5]COSTO CDMX,QRO,GDL '!I443</f>
        <v>3019.8035059494869</v>
      </c>
      <c r="F443" s="217" t="s">
        <v>284</v>
      </c>
    </row>
    <row r="444" spans="1:6" ht="14.25" customHeight="1">
      <c r="A444" s="212"/>
      <c r="B444" s="213" t="s">
        <v>1756</v>
      </c>
      <c r="C444" s="289"/>
      <c r="D444" s="226" t="s">
        <v>1700</v>
      </c>
      <c r="E444" s="242">
        <f>'[5]COSTO CDMX,QRO,GDL '!I444</f>
        <v>3326.8380341344141</v>
      </c>
      <c r="F444" s="217" t="s">
        <v>284</v>
      </c>
    </row>
    <row r="445" spans="1:6" ht="14.25" customHeight="1">
      <c r="A445" s="212"/>
      <c r="B445" s="213"/>
      <c r="C445" s="170"/>
      <c r="D445" s="226"/>
      <c r="E445" s="242"/>
      <c r="F445" s="296"/>
    </row>
    <row r="446" spans="1:6" ht="14.25" customHeight="1">
      <c r="A446" s="212"/>
      <c r="B446" s="221"/>
      <c r="C446" s="170"/>
      <c r="D446" s="226"/>
      <c r="E446" s="242"/>
      <c r="F446" s="280"/>
    </row>
    <row r="447" spans="1:6" ht="14.25" customHeight="1">
      <c r="A447" s="212"/>
      <c r="B447" s="221"/>
      <c r="C447" s="289"/>
      <c r="D447" s="226"/>
      <c r="E447" s="242"/>
      <c r="F447" s="296"/>
    </row>
    <row r="448" spans="1:6" ht="14.25" customHeight="1">
      <c r="A448" s="212"/>
      <c r="B448" s="221"/>
      <c r="C448" s="289"/>
      <c r="D448" s="226"/>
      <c r="E448" s="242"/>
      <c r="F448" s="296"/>
    </row>
    <row r="449" spans="1:6" ht="14.25" customHeight="1">
      <c r="A449" s="206"/>
      <c r="B449" s="207"/>
      <c r="C449" s="208" t="s">
        <v>1757</v>
      </c>
      <c r="D449" s="209"/>
      <c r="E449" s="328"/>
      <c r="F449" s="209"/>
    </row>
    <row r="450" spans="1:6" ht="14.25" customHeight="1">
      <c r="A450" s="212"/>
      <c r="B450" s="213" t="s">
        <v>1758</v>
      </c>
      <c r="C450" s="289" t="s">
        <v>1759</v>
      </c>
      <c r="D450" s="226" t="s">
        <v>1681</v>
      </c>
      <c r="E450" s="242">
        <f>'[5]COSTO CDMX,QRO,GDL '!I450</f>
        <v>2192.7737548882942</v>
      </c>
      <c r="F450" s="217" t="s">
        <v>284</v>
      </c>
    </row>
    <row r="451" spans="1:6" ht="14.25" customHeight="1">
      <c r="A451" s="212"/>
      <c r="B451" s="213" t="s">
        <v>1760</v>
      </c>
      <c r="C451" s="289" t="s">
        <v>1683</v>
      </c>
      <c r="D451" s="226" t="s">
        <v>1684</v>
      </c>
      <c r="E451" s="242">
        <f>'[5]COSTO CDMX,QRO,GDL '!I451</f>
        <v>2271.1629232159312</v>
      </c>
      <c r="F451" s="217" t="s">
        <v>284</v>
      </c>
    </row>
    <row r="452" spans="1:6" ht="14.25" customHeight="1">
      <c r="A452" s="212"/>
      <c r="B452" s="213" t="s">
        <v>1761</v>
      </c>
      <c r="C452" s="292" t="s">
        <v>1686</v>
      </c>
      <c r="D452" s="226" t="s">
        <v>1687</v>
      </c>
      <c r="E452" s="242">
        <f>'[5]COSTO CDMX,QRO,GDL '!I452</f>
        <v>2390.7313907999487</v>
      </c>
      <c r="F452" s="217" t="s">
        <v>284</v>
      </c>
    </row>
    <row r="453" spans="1:6" ht="14.25" customHeight="1">
      <c r="A453" s="212"/>
      <c r="B453" s="213" t="s">
        <v>1762</v>
      </c>
      <c r="C453" s="289"/>
      <c r="D453" s="226" t="s">
        <v>1689</v>
      </c>
      <c r="E453" s="242">
        <f>'[5]COSTO CDMX,QRO,GDL '!I453</f>
        <v>2406.6760142633698</v>
      </c>
      <c r="F453" s="217" t="s">
        <v>284</v>
      </c>
    </row>
    <row r="454" spans="1:6" ht="14.25" customHeight="1">
      <c r="A454" s="212"/>
      <c r="B454" s="213" t="s">
        <v>1763</v>
      </c>
      <c r="C454" s="289"/>
      <c r="D454" s="226" t="s">
        <v>1691</v>
      </c>
      <c r="E454" s="242">
        <f>'[5]COSTO CDMX,QRO,GDL '!I454</f>
        <v>2511.6322965608374</v>
      </c>
      <c r="F454" s="217" t="s">
        <v>284</v>
      </c>
    </row>
    <row r="455" spans="1:6" ht="14.25" customHeight="1">
      <c r="A455" s="212"/>
      <c r="B455" s="221"/>
      <c r="C455" s="289"/>
      <c r="D455" s="226"/>
      <c r="E455" s="242"/>
      <c r="F455" s="296"/>
    </row>
    <row r="456" spans="1:6" ht="14.25" customHeight="1">
      <c r="A456" s="212"/>
      <c r="B456" s="221"/>
      <c r="C456" s="289"/>
      <c r="D456" s="226"/>
      <c r="E456" s="242"/>
      <c r="F456" s="296"/>
    </row>
    <row r="457" spans="1:6" ht="14.25" customHeight="1">
      <c r="A457" s="212"/>
      <c r="B457" s="221"/>
      <c r="C457" s="289"/>
      <c r="D457" s="226"/>
      <c r="E457" s="242"/>
      <c r="F457" s="296"/>
    </row>
    <row r="458" spans="1:6" ht="14.25" customHeight="1">
      <c r="A458" s="212"/>
      <c r="B458" s="221"/>
      <c r="C458" s="289"/>
      <c r="D458" s="226"/>
      <c r="E458" s="242"/>
      <c r="F458" s="296"/>
    </row>
    <row r="459" spans="1:6" ht="14.25" customHeight="1">
      <c r="A459" s="212"/>
      <c r="B459" s="213" t="s">
        <v>1764</v>
      </c>
      <c r="C459" s="289" t="s">
        <v>1759</v>
      </c>
      <c r="D459" s="226" t="s">
        <v>1693</v>
      </c>
      <c r="E459" s="242">
        <f>'[5]COSTO CDMX,QRO,GDL '!I459</f>
        <v>2767.6111793420196</v>
      </c>
      <c r="F459" s="217" t="s">
        <v>284</v>
      </c>
    </row>
    <row r="460" spans="1:6" ht="14.25" customHeight="1">
      <c r="A460" s="212"/>
      <c r="B460" s="213" t="s">
        <v>1765</v>
      </c>
      <c r="C460" s="289" t="s">
        <v>1683</v>
      </c>
      <c r="D460" s="226" t="s">
        <v>1695</v>
      </c>
      <c r="E460" s="242">
        <f>'[5]COSTO CDMX,QRO,GDL '!I460</f>
        <v>2948.2296132345059</v>
      </c>
      <c r="F460" s="217" t="s">
        <v>284</v>
      </c>
    </row>
    <row r="461" spans="1:6" ht="14.25" customHeight="1">
      <c r="A461" s="212"/>
      <c r="B461" s="213" t="s">
        <v>1766</v>
      </c>
      <c r="C461" s="292" t="s">
        <v>1722</v>
      </c>
      <c r="D461" s="226" t="s">
        <v>1698</v>
      </c>
      <c r="E461" s="242">
        <f>'[5]COSTO CDMX,QRO,GDL '!I461</f>
        <v>3019.8035059494869</v>
      </c>
      <c r="F461" s="217" t="s">
        <v>284</v>
      </c>
    </row>
    <row r="462" spans="1:6" ht="14.25" customHeight="1">
      <c r="A462" s="212"/>
      <c r="B462" s="213" t="s">
        <v>1767</v>
      </c>
      <c r="C462" s="292"/>
      <c r="D462" s="226" t="s">
        <v>1700</v>
      </c>
      <c r="E462" s="242">
        <f>'[5]COSTO CDMX,QRO,GDL '!I462</f>
        <v>3326.8380341344141</v>
      </c>
      <c r="F462" s="217" t="s">
        <v>284</v>
      </c>
    </row>
    <row r="463" spans="1:6" ht="14.25" customHeight="1">
      <c r="A463" s="212"/>
      <c r="B463" s="213"/>
      <c r="C463" s="170"/>
      <c r="D463" s="226"/>
      <c r="E463" s="242"/>
      <c r="F463" s="296"/>
    </row>
    <row r="464" spans="1:6" ht="14.25" customHeight="1">
      <c r="A464" s="212"/>
      <c r="B464" s="213"/>
      <c r="C464" s="170"/>
      <c r="D464" s="226"/>
      <c r="E464" s="242"/>
      <c r="F464" s="280"/>
    </row>
    <row r="465" spans="1:6" ht="14.25" customHeight="1">
      <c r="A465" s="212"/>
      <c r="B465" s="221"/>
      <c r="C465" s="289"/>
      <c r="D465" s="226"/>
      <c r="E465" s="242"/>
      <c r="F465" s="296"/>
    </row>
    <row r="466" spans="1:6" ht="14.25" customHeight="1">
      <c r="A466" s="212"/>
      <c r="B466" s="221"/>
      <c r="C466" s="289"/>
      <c r="D466" s="226"/>
      <c r="E466" s="242"/>
      <c r="F466" s="296"/>
    </row>
    <row r="467" spans="1:6" ht="14.25" customHeight="1">
      <c r="A467" s="206"/>
      <c r="B467" s="207"/>
      <c r="C467" s="208" t="s">
        <v>1768</v>
      </c>
      <c r="D467" s="209"/>
      <c r="E467" s="210"/>
      <c r="F467" s="211"/>
    </row>
    <row r="468" spans="1:6" ht="14.25" customHeight="1">
      <c r="A468" s="212"/>
      <c r="B468" s="213" t="s">
        <v>1769</v>
      </c>
      <c r="C468" s="289" t="s">
        <v>1770</v>
      </c>
      <c r="D468" s="226" t="s">
        <v>1681</v>
      </c>
      <c r="E468" s="242">
        <f>'[5]COSTO CDMX,QRO,GDL '!I468</f>
        <v>2600.0885089821427</v>
      </c>
      <c r="F468" s="217" t="s">
        <v>284</v>
      </c>
    </row>
    <row r="469" spans="1:6" ht="14.25" customHeight="1">
      <c r="A469" s="212"/>
      <c r="B469" s="213" t="s">
        <v>1771</v>
      </c>
      <c r="C469" s="289" t="s">
        <v>1683</v>
      </c>
      <c r="D469" s="226" t="s">
        <v>1684</v>
      </c>
      <c r="E469" s="242">
        <f>'[5]COSTO CDMX,QRO,GDL '!I469</f>
        <v>2685.1722192899038</v>
      </c>
      <c r="F469" s="217" t="s">
        <v>284</v>
      </c>
    </row>
    <row r="470" spans="1:6" ht="14.25" customHeight="1">
      <c r="A470" s="212"/>
      <c r="B470" s="213" t="s">
        <v>1772</v>
      </c>
      <c r="C470" s="292" t="s">
        <v>1686</v>
      </c>
      <c r="D470" s="226" t="s">
        <v>1687</v>
      </c>
      <c r="E470" s="242">
        <f>'[5]COSTO CDMX,QRO,GDL '!I470</f>
        <v>2789.2818225033034</v>
      </c>
      <c r="F470" s="217" t="s">
        <v>284</v>
      </c>
    </row>
    <row r="471" spans="1:6" ht="14.25" customHeight="1">
      <c r="A471" s="212"/>
      <c r="B471" s="213" t="s">
        <v>1773</v>
      </c>
      <c r="C471" s="289"/>
      <c r="D471" s="226" t="s">
        <v>1689</v>
      </c>
      <c r="E471" s="242">
        <f>'[5]COSTO CDMX,QRO,GDL '!I471</f>
        <v>2792.6235100555173</v>
      </c>
      <c r="F471" s="217" t="s">
        <v>284</v>
      </c>
    </row>
    <row r="472" spans="1:6" ht="14.25" customHeight="1">
      <c r="A472" s="212"/>
      <c r="B472" s="213" t="s">
        <v>1774</v>
      </c>
      <c r="C472" s="289"/>
      <c r="D472" s="226" t="s">
        <v>1691</v>
      </c>
      <c r="E472" s="242">
        <f>'[5]COSTO CDMX,QRO,GDL '!I472</f>
        <v>2880.978556598604</v>
      </c>
      <c r="F472" s="217" t="s">
        <v>284</v>
      </c>
    </row>
    <row r="473" spans="1:6" ht="14.25" customHeight="1">
      <c r="A473" s="212"/>
      <c r="B473" s="221"/>
      <c r="C473" s="289"/>
      <c r="D473" s="226"/>
      <c r="E473" s="242"/>
      <c r="F473" s="296"/>
    </row>
    <row r="474" spans="1:6" ht="14.25" customHeight="1">
      <c r="A474" s="212"/>
      <c r="B474" s="221"/>
      <c r="C474" s="289"/>
      <c r="D474" s="226"/>
      <c r="E474" s="242"/>
      <c r="F474" s="296"/>
    </row>
    <row r="475" spans="1:6" ht="14.25" customHeight="1">
      <c r="A475" s="212"/>
      <c r="B475" s="221"/>
      <c r="C475" s="289"/>
      <c r="D475" s="226"/>
      <c r="E475" s="242"/>
      <c r="F475" s="296"/>
    </row>
    <row r="476" spans="1:6" ht="14.25" customHeight="1">
      <c r="A476" s="212"/>
      <c r="B476" s="221"/>
      <c r="C476" s="289"/>
      <c r="D476" s="226"/>
      <c r="E476" s="242"/>
      <c r="F476" s="296"/>
    </row>
    <row r="477" spans="1:6" ht="14.25" customHeight="1">
      <c r="A477" s="212"/>
      <c r="B477" s="213" t="s">
        <v>1775</v>
      </c>
      <c r="C477" s="289" t="s">
        <v>1770</v>
      </c>
      <c r="D477" s="226" t="s">
        <v>1693</v>
      </c>
      <c r="E477" s="242">
        <f>'[5]COSTO CDMX,QRO,GDL '!I477</f>
        <v>3556.1003124302547</v>
      </c>
      <c r="F477" s="217" t="s">
        <v>284</v>
      </c>
    </row>
    <row r="478" spans="1:6" ht="14.25" customHeight="1">
      <c r="A478" s="212"/>
      <c r="B478" s="213" t="s">
        <v>1776</v>
      </c>
      <c r="C478" s="289" t="s">
        <v>1683</v>
      </c>
      <c r="D478" s="226" t="s">
        <v>1695</v>
      </c>
      <c r="E478" s="242">
        <f>'[5]COSTO CDMX,QRO,GDL '!I478</f>
        <v>3797.7291523318672</v>
      </c>
      <c r="F478" s="217" t="s">
        <v>284</v>
      </c>
    </row>
    <row r="479" spans="1:6" ht="14.25" customHeight="1">
      <c r="A479" s="212"/>
      <c r="B479" s="213" t="s">
        <v>1777</v>
      </c>
      <c r="C479" s="292" t="s">
        <v>1722</v>
      </c>
      <c r="D479" s="226" t="s">
        <v>1698</v>
      </c>
      <c r="E479" s="242">
        <f>'[5]COSTO CDMX,QRO,GDL '!I479</f>
        <v>3856.7001091356415</v>
      </c>
      <c r="F479" s="217" t="s">
        <v>284</v>
      </c>
    </row>
    <row r="480" spans="1:6" ht="14.25" customHeight="1">
      <c r="A480" s="212"/>
      <c r="B480" s="213" t="s">
        <v>1778</v>
      </c>
      <c r="C480" s="289"/>
      <c r="D480" s="226" t="s">
        <v>1700</v>
      </c>
      <c r="E480" s="242">
        <f>'[5]COSTO CDMX,QRO,GDL '!I480</f>
        <v>4146.3871750977605</v>
      </c>
      <c r="F480" s="217" t="s">
        <v>284</v>
      </c>
    </row>
    <row r="481" spans="1:6" ht="14.25" customHeight="1">
      <c r="A481" s="212"/>
      <c r="B481" s="213"/>
      <c r="C481" s="170"/>
      <c r="D481" s="226"/>
      <c r="E481" s="242"/>
      <c r="F481" s="296"/>
    </row>
    <row r="482" spans="1:6" ht="14.25" customHeight="1">
      <c r="A482" s="212"/>
      <c r="B482" s="221"/>
      <c r="C482" s="170"/>
      <c r="D482" s="226"/>
      <c r="E482" s="242"/>
      <c r="F482" s="280"/>
    </row>
    <row r="483" spans="1:6" ht="14.25" customHeight="1">
      <c r="A483" s="212"/>
      <c r="B483" s="221"/>
      <c r="C483" s="289"/>
      <c r="D483" s="226"/>
      <c r="E483" s="242"/>
      <c r="F483" s="296"/>
    </row>
    <row r="484" spans="1:6" ht="14.25" customHeight="1">
      <c r="A484" s="212"/>
      <c r="B484" s="221"/>
      <c r="C484" s="289"/>
      <c r="D484" s="226"/>
      <c r="E484" s="242"/>
      <c r="F484" s="296"/>
    </row>
    <row r="485" spans="1:6" ht="14.25" customHeight="1">
      <c r="A485" s="333"/>
      <c r="B485" s="334"/>
      <c r="C485" s="335"/>
      <c r="D485" s="334"/>
      <c r="E485" s="336"/>
      <c r="F485" s="337"/>
    </row>
    <row r="486" spans="1:6" ht="14.25" customHeight="1">
      <c r="A486" s="212"/>
      <c r="B486" s="338"/>
      <c r="C486" s="339"/>
      <c r="D486" s="338"/>
      <c r="E486" s="340"/>
      <c r="F486" s="341"/>
    </row>
    <row r="487" spans="1:6" ht="14.25" customHeight="1">
      <c r="A487" s="212"/>
      <c r="B487" s="338"/>
      <c r="C487" s="339"/>
      <c r="D487" s="338"/>
      <c r="E487" s="340"/>
      <c r="F487" s="341"/>
    </row>
    <row r="488" spans="1:6" ht="14.25" customHeight="1">
      <c r="A488" s="212"/>
      <c r="B488" s="338"/>
      <c r="C488" s="339"/>
      <c r="D488" s="338"/>
      <c r="E488" s="340"/>
      <c r="F488" s="341"/>
    </row>
    <row r="489" spans="1:6" ht="14.25" customHeight="1">
      <c r="A489" s="212"/>
      <c r="B489" s="338"/>
      <c r="C489" s="339"/>
      <c r="D489" s="338"/>
      <c r="E489" s="340"/>
      <c r="F489" s="341"/>
    </row>
    <row r="490" spans="1:6" ht="14.25" customHeight="1">
      <c r="A490" s="212"/>
      <c r="B490" s="338"/>
      <c r="C490" s="339"/>
      <c r="D490" s="338"/>
      <c r="E490" s="340"/>
      <c r="F490" s="341"/>
    </row>
    <row r="491" spans="1:6" ht="14.25" customHeight="1">
      <c r="A491" s="212"/>
      <c r="B491" s="338"/>
      <c r="C491" s="339"/>
      <c r="D491" s="338"/>
      <c r="E491" s="340"/>
      <c r="F491" s="341"/>
    </row>
    <row r="492" spans="1:6" ht="14.25" customHeight="1">
      <c r="A492" s="212"/>
      <c r="B492" s="338"/>
      <c r="C492" s="339"/>
      <c r="D492" s="338"/>
      <c r="E492" s="340"/>
      <c r="F492" s="341"/>
    </row>
    <row r="493" spans="1:6" ht="14.25" customHeight="1">
      <c r="A493" s="212"/>
      <c r="B493" s="338"/>
      <c r="C493" s="339"/>
      <c r="D493" s="338"/>
      <c r="E493" s="340"/>
      <c r="F493" s="341"/>
    </row>
    <row r="494" spans="1:6" ht="14.25" customHeight="1">
      <c r="A494" s="212"/>
      <c r="B494" s="338"/>
      <c r="C494" s="339"/>
      <c r="D494" s="338"/>
      <c r="E494" s="340"/>
      <c r="F494" s="341"/>
    </row>
    <row r="495" spans="1:6" ht="14.25" customHeight="1">
      <c r="A495" s="212"/>
      <c r="B495" s="338"/>
      <c r="C495" s="339"/>
      <c r="D495" s="338"/>
      <c r="E495" s="340"/>
      <c r="F495" s="341"/>
    </row>
    <row r="496" spans="1:6" ht="14.25" customHeight="1">
      <c r="A496" s="212"/>
      <c r="B496" s="338"/>
      <c r="C496" s="339"/>
      <c r="D496" s="338"/>
      <c r="E496" s="340"/>
      <c r="F496" s="341"/>
    </row>
    <row r="497" spans="1:6" ht="14.25" customHeight="1">
      <c r="A497" s="212"/>
      <c r="B497" s="338"/>
      <c r="C497" s="339"/>
      <c r="D497" s="338"/>
      <c r="E497" s="340"/>
      <c r="F497" s="341"/>
    </row>
    <row r="498" spans="1:6" ht="14.25" customHeight="1">
      <c r="A498" s="212"/>
      <c r="B498" s="338"/>
      <c r="C498" s="339"/>
      <c r="D498" s="338"/>
      <c r="E498" s="340"/>
      <c r="F498" s="341"/>
    </row>
    <row r="499" spans="1:6" ht="14.25" customHeight="1">
      <c r="A499" s="212"/>
      <c r="B499" s="338"/>
      <c r="C499" s="339"/>
      <c r="D499" s="338"/>
      <c r="E499" s="340"/>
      <c r="F499" s="341"/>
    </row>
    <row r="500" spans="1:6" ht="14.25" customHeight="1">
      <c r="A500" s="212"/>
      <c r="B500" s="338"/>
      <c r="C500" s="339"/>
      <c r="D500" s="338"/>
      <c r="E500" s="340"/>
      <c r="F500" s="341"/>
    </row>
    <row r="501" spans="1:6" ht="14.25" customHeight="1">
      <c r="A501" s="212"/>
      <c r="B501" s="338"/>
      <c r="C501" s="339"/>
      <c r="D501" s="338"/>
      <c r="E501" s="340"/>
      <c r="F501" s="341"/>
    </row>
    <row r="502" spans="1:6" ht="14.25" customHeight="1">
      <c r="A502" s="212"/>
      <c r="B502" s="338"/>
      <c r="C502" s="339"/>
      <c r="D502" s="338"/>
      <c r="E502" s="340"/>
      <c r="F502" s="341"/>
    </row>
    <row r="503" spans="1:6" ht="14.25" customHeight="1">
      <c r="A503" s="212"/>
      <c r="B503" s="338"/>
      <c r="C503" s="339"/>
      <c r="D503" s="338"/>
      <c r="E503" s="340"/>
      <c r="F503" s="341"/>
    </row>
    <row r="504" spans="1:6" ht="14.25" customHeight="1">
      <c r="A504" s="212"/>
      <c r="B504" s="338"/>
      <c r="C504" s="339"/>
      <c r="D504" s="338"/>
      <c r="E504" s="340"/>
      <c r="F504" s="341"/>
    </row>
    <row r="505" spans="1:6" ht="14.25" customHeight="1">
      <c r="A505" s="212"/>
      <c r="B505" s="338"/>
      <c r="C505" s="339"/>
      <c r="D505" s="338"/>
      <c r="E505" s="340"/>
      <c r="F505" s="341"/>
    </row>
    <row r="506" spans="1:6" ht="14.25" customHeight="1">
      <c r="A506" s="212"/>
      <c r="B506" s="338"/>
      <c r="C506" s="339"/>
      <c r="D506" s="338"/>
      <c r="E506" s="340"/>
      <c r="F506" s="341"/>
    </row>
    <row r="507" spans="1:6" ht="14.25" customHeight="1">
      <c r="A507" s="212"/>
      <c r="B507" s="338"/>
      <c r="C507" s="339"/>
      <c r="D507" s="338"/>
      <c r="E507" s="340"/>
      <c r="F507" s="341"/>
    </row>
    <row r="508" spans="1:6" ht="14.25" customHeight="1">
      <c r="A508" s="212"/>
      <c r="B508" s="338"/>
      <c r="C508" s="339"/>
      <c r="D508" s="338"/>
      <c r="E508" s="340"/>
      <c r="F508" s="341"/>
    </row>
    <row r="509" spans="1:6" ht="14.25" customHeight="1">
      <c r="A509" s="212"/>
      <c r="B509" s="338"/>
      <c r="C509" s="339"/>
      <c r="D509" s="338"/>
      <c r="E509" s="340"/>
      <c r="F509" s="341"/>
    </row>
    <row r="510" spans="1:6" ht="14.25" customHeight="1">
      <c r="A510" s="212"/>
      <c r="B510" s="338"/>
      <c r="C510" s="339"/>
      <c r="D510" s="338"/>
      <c r="E510" s="340"/>
      <c r="F510" s="341"/>
    </row>
    <row r="511" spans="1:6" ht="14.25" customHeight="1">
      <c r="A511" s="342"/>
      <c r="B511" s="343"/>
      <c r="C511" s="344"/>
      <c r="D511" s="343"/>
      <c r="E511" s="345"/>
      <c r="F511" s="346"/>
    </row>
    <row r="512" spans="1:6" ht="15" customHeight="1">
      <c r="A512" s="206"/>
      <c r="B512" s="207"/>
      <c r="C512" s="208" t="s">
        <v>1779</v>
      </c>
      <c r="D512" s="209"/>
      <c r="E512" s="210"/>
      <c r="F512" s="271"/>
    </row>
    <row r="513" spans="1:60" ht="14.25" customHeight="1">
      <c r="A513" s="212"/>
      <c r="B513" s="213" t="s">
        <v>1780</v>
      </c>
      <c r="C513" s="295" t="s">
        <v>1781</v>
      </c>
      <c r="D513" s="226" t="s">
        <v>1687</v>
      </c>
      <c r="E513" s="242">
        <f>'[5]COSTO CDMX,QRO,GDL '!I513</f>
        <v>545.63728205963844</v>
      </c>
      <c r="F513" s="217" t="s">
        <v>284</v>
      </c>
    </row>
    <row r="514" spans="1:60" ht="14.25" customHeight="1">
      <c r="A514" s="212"/>
      <c r="B514" s="213" t="s">
        <v>1782</v>
      </c>
      <c r="C514" s="289" t="s">
        <v>1783</v>
      </c>
      <c r="D514" s="226" t="s">
        <v>1689</v>
      </c>
      <c r="E514" s="242">
        <f>'[5]COSTO CDMX,QRO,GDL '!I514</f>
        <v>581.7037640540982</v>
      </c>
      <c r="F514" s="217" t="s">
        <v>284</v>
      </c>
    </row>
    <row r="515" spans="1:60" ht="14.25" customHeight="1">
      <c r="A515" s="212"/>
      <c r="B515" s="213" t="s">
        <v>1784</v>
      </c>
      <c r="C515" s="295"/>
      <c r="D515" s="226" t="s">
        <v>1691</v>
      </c>
      <c r="E515" s="242">
        <f>'[5]COSTO CDMX,QRO,GDL '!I515</f>
        <v>589.50562163923757</v>
      </c>
      <c r="F515" s="217" t="s">
        <v>284</v>
      </c>
    </row>
    <row r="516" spans="1:60" ht="14.25" customHeight="1">
      <c r="A516" s="212"/>
      <c r="B516" s="213" t="s">
        <v>1785</v>
      </c>
      <c r="C516" s="295"/>
      <c r="D516" s="226" t="s">
        <v>1786</v>
      </c>
      <c r="E516" s="242">
        <f>'[5]COSTO CDMX,QRO,GDL '!I516</f>
        <v>647.80055401662082</v>
      </c>
      <c r="F516" s="217" t="s">
        <v>284</v>
      </c>
    </row>
    <row r="517" spans="1:60" ht="14.25" customHeight="1">
      <c r="A517" s="212"/>
      <c r="B517" s="213" t="s">
        <v>1787</v>
      </c>
      <c r="C517" s="295"/>
      <c r="D517" s="226" t="s">
        <v>1693</v>
      </c>
      <c r="E517" s="242">
        <f>'[5]COSTO CDMX,QRO,GDL '!I517</f>
        <v>655.60241160175997</v>
      </c>
      <c r="F517" s="217" t="s">
        <v>284</v>
      </c>
    </row>
    <row r="518" spans="1:60" ht="14.25" customHeight="1">
      <c r="A518" s="212"/>
      <c r="B518" s="213" t="s">
        <v>1788</v>
      </c>
      <c r="C518" s="295"/>
      <c r="D518" s="226" t="s">
        <v>1789</v>
      </c>
      <c r="E518" s="242">
        <f>'[5]COSTO CDMX,QRO,GDL '!I518</f>
        <v>752.40703927000175</v>
      </c>
      <c r="F518" s="217" t="s">
        <v>284</v>
      </c>
    </row>
    <row r="519" spans="1:60" ht="14.25" customHeight="1">
      <c r="A519" s="212"/>
      <c r="B519" s="213" t="s">
        <v>1790</v>
      </c>
      <c r="C519" s="295"/>
      <c r="D519" s="226" t="s">
        <v>1695</v>
      </c>
      <c r="E519" s="242">
        <f>'[5]COSTO CDMX,QRO,GDL '!I519</f>
        <v>760.20889685514112</v>
      </c>
      <c r="F519" s="217" t="s">
        <v>284</v>
      </c>
    </row>
    <row r="520" spans="1:60" ht="14.25" customHeight="1">
      <c r="A520" s="212"/>
      <c r="B520" s="213" t="s">
        <v>1791</v>
      </c>
      <c r="C520" s="295"/>
      <c r="D520" s="226" t="s">
        <v>1792</v>
      </c>
      <c r="E520" s="242">
        <f>'[5]COSTO CDMX,QRO,GDL '!I520</f>
        <v>894.24344142088955</v>
      </c>
      <c r="F520" s="217" t="s">
        <v>284</v>
      </c>
    </row>
    <row r="521" spans="1:60" ht="14.25" customHeight="1">
      <c r="A521" s="212"/>
      <c r="B521" s="213" t="s">
        <v>1793</v>
      </c>
      <c r="C521" s="295"/>
      <c r="D521" s="226" t="s">
        <v>1700</v>
      </c>
      <c r="E521" s="242">
        <f>'[5]COSTO CDMX,QRO,GDL '!I521</f>
        <v>902.04529900602904</v>
      </c>
      <c r="F521" s="217" t="s">
        <v>284</v>
      </c>
    </row>
    <row r="522" spans="1:60" ht="14.25" customHeight="1">
      <c r="A522" s="212"/>
      <c r="B522" s="213" t="s">
        <v>1794</v>
      </c>
      <c r="C522" s="295"/>
      <c r="D522" s="226" t="s">
        <v>1795</v>
      </c>
      <c r="E522" s="242">
        <f>'[5]COSTO CDMX,QRO,GDL '!I522</f>
        <v>909.84715659116864</v>
      </c>
      <c r="F522" s="217" t="s">
        <v>284</v>
      </c>
    </row>
    <row r="523" spans="1:60" ht="14.25" customHeight="1">
      <c r="A523" s="212"/>
      <c r="B523" s="213" t="s">
        <v>1796</v>
      </c>
      <c r="C523" s="295"/>
      <c r="D523" s="226" t="s">
        <v>1797</v>
      </c>
      <c r="E523" s="242">
        <f>'[5]COSTO CDMX,QRO,GDL '!I523</f>
        <v>930.91217207104455</v>
      </c>
      <c r="F523" s="217" t="s">
        <v>284</v>
      </c>
    </row>
    <row r="524" spans="1:60" ht="14.25" customHeight="1">
      <c r="A524" s="212"/>
      <c r="B524" s="213" t="s">
        <v>1798</v>
      </c>
      <c r="C524" s="295"/>
      <c r="D524" s="226" t="s">
        <v>1799</v>
      </c>
      <c r="E524" s="242">
        <f>'[5]COSTO CDMX,QRO,GDL '!I524</f>
        <v>951.9771875509208</v>
      </c>
      <c r="F524" s="217" t="s">
        <v>284</v>
      </c>
    </row>
    <row r="525" spans="1:60" ht="14.25" customHeight="1">
      <c r="A525" s="212"/>
      <c r="B525" s="213" t="s">
        <v>1800</v>
      </c>
      <c r="C525" s="295"/>
      <c r="D525" s="226" t="s">
        <v>1801</v>
      </c>
      <c r="E525" s="242">
        <f>'[5]COSTO CDMX,QRO,GDL '!I525</f>
        <v>1225.5075769920161</v>
      </c>
      <c r="F525" s="217" t="s">
        <v>284</v>
      </c>
    </row>
    <row r="526" spans="1:60" ht="14.25" customHeight="1">
      <c r="A526" s="212"/>
      <c r="B526" s="213" t="s">
        <v>1802</v>
      </c>
      <c r="C526" s="295"/>
      <c r="D526" s="226" t="s">
        <v>1803</v>
      </c>
      <c r="E526" s="242">
        <f>'[5]COSTO CDMX,QRO,GDL '!I526</f>
        <v>1253.4565844587794</v>
      </c>
      <c r="F526" s="217" t="s">
        <v>284</v>
      </c>
    </row>
    <row r="527" spans="1:60" s="184" customFormat="1" ht="15" customHeight="1">
      <c r="A527" s="232" t="s">
        <v>2013</v>
      </c>
      <c r="B527" s="233"/>
      <c r="C527" s="1524" t="s">
        <v>2288</v>
      </c>
      <c r="D527" s="232"/>
      <c r="E527" s="235"/>
      <c r="F527" s="236"/>
      <c r="G527" s="183"/>
      <c r="H527" s="183"/>
      <c r="I527" s="183"/>
      <c r="J527" s="183"/>
      <c r="K527" s="183"/>
      <c r="L527" s="183"/>
      <c r="M527" s="183"/>
      <c r="N527" s="190"/>
      <c r="O527" s="190"/>
      <c r="P527" s="190"/>
      <c r="Q527" s="190"/>
      <c r="R527" s="190"/>
      <c r="S527" s="190"/>
      <c r="T527" s="190"/>
      <c r="U527" s="190"/>
      <c r="V527" s="190"/>
      <c r="W527" s="190"/>
      <c r="X527" s="190"/>
      <c r="Y527" s="190"/>
      <c r="Z527" s="190"/>
      <c r="AA527" s="190"/>
      <c r="AB527" s="190"/>
      <c r="AC527" s="190"/>
      <c r="AD527" s="190"/>
      <c r="AE527" s="190"/>
      <c r="AF527" s="190"/>
      <c r="AG527" s="190"/>
      <c r="AH527" s="190"/>
      <c r="AI527" s="190"/>
      <c r="AJ527" s="190"/>
      <c r="AK527" s="190"/>
      <c r="AL527" s="190"/>
      <c r="AM527" s="190"/>
      <c r="AN527" s="190"/>
      <c r="AO527" s="190"/>
      <c r="AP527" s="190"/>
      <c r="AQ527" s="190"/>
      <c r="AR527" s="190"/>
      <c r="AS527" s="190"/>
      <c r="AT527" s="190"/>
      <c r="AU527" s="190"/>
      <c r="AV527" s="190"/>
      <c r="AW527" s="190"/>
      <c r="AX527" s="190"/>
      <c r="AY527" s="190"/>
      <c r="AZ527" s="190"/>
      <c r="BA527" s="190"/>
      <c r="BB527" s="190"/>
      <c r="BC527" s="190"/>
      <c r="BD527" s="190"/>
      <c r="BE527" s="190"/>
      <c r="BF527" s="190"/>
      <c r="BG527" s="190"/>
      <c r="BH527" s="190"/>
    </row>
    <row r="528" spans="1:60" s="198" customFormat="1" ht="15" customHeight="1">
      <c r="A528" s="237" t="s">
        <v>1669</v>
      </c>
      <c r="B528" s="238"/>
      <c r="C528" s="1525"/>
      <c r="D528" s="285"/>
      <c r="E528" s="286"/>
      <c r="F528" s="287"/>
      <c r="G528" s="196"/>
      <c r="H528" s="196"/>
      <c r="I528" s="196"/>
      <c r="J528" s="196"/>
      <c r="K528" s="196"/>
      <c r="L528" s="196"/>
      <c r="M528" s="196"/>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7"/>
      <c r="AR528" s="197"/>
      <c r="AS528" s="197"/>
      <c r="AT528" s="197"/>
      <c r="AU528" s="197"/>
      <c r="AV528" s="197"/>
      <c r="AW528" s="197"/>
      <c r="AX528" s="197"/>
      <c r="AY528" s="197"/>
      <c r="AZ528" s="197"/>
      <c r="BA528" s="197"/>
      <c r="BB528" s="197"/>
      <c r="BC528" s="197"/>
      <c r="BD528" s="197"/>
      <c r="BE528" s="197"/>
      <c r="BF528" s="197"/>
      <c r="BG528" s="197"/>
      <c r="BH528" s="197"/>
    </row>
    <row r="529" spans="1:60" s="204" customFormat="1">
      <c r="A529" s="199" t="s">
        <v>512</v>
      </c>
      <c r="B529" s="200" t="s">
        <v>513</v>
      </c>
      <c r="C529" s="201" t="s">
        <v>514</v>
      </c>
      <c r="D529" s="199" t="s">
        <v>515</v>
      </c>
      <c r="E529" s="202" t="s">
        <v>516</v>
      </c>
      <c r="F529" s="203" t="s">
        <v>1670</v>
      </c>
      <c r="G529" s="184"/>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c r="AS529" s="205"/>
      <c r="AT529" s="205"/>
      <c r="AU529" s="205"/>
      <c r="AV529" s="205"/>
      <c r="AW529" s="205"/>
      <c r="AX529" s="205"/>
      <c r="AY529" s="205"/>
      <c r="AZ529" s="205"/>
      <c r="BA529" s="205"/>
      <c r="BB529" s="205"/>
      <c r="BC529" s="205"/>
      <c r="BD529" s="205"/>
      <c r="BE529" s="205"/>
      <c r="BF529" s="205"/>
      <c r="BG529" s="205"/>
      <c r="BH529" s="205"/>
    </row>
    <row r="530" spans="1:60" ht="14.25" customHeight="1">
      <c r="A530" s="206"/>
      <c r="B530" s="207"/>
      <c r="C530" s="208" t="s">
        <v>1678</v>
      </c>
      <c r="D530" s="209"/>
      <c r="E530" s="210"/>
      <c r="F530" s="211"/>
    </row>
    <row r="531" spans="1:60" ht="14.25" customHeight="1">
      <c r="A531" s="212"/>
      <c r="B531" s="213" t="s">
        <v>2289</v>
      </c>
      <c r="C531" s="289" t="s">
        <v>2290</v>
      </c>
      <c r="D531" s="226" t="s">
        <v>1689</v>
      </c>
      <c r="E531" s="242">
        <f>'[5]COSTO CDMX,QRO,GDL '!I531</f>
        <v>3233.8445623863586</v>
      </c>
      <c r="F531" s="217" t="s">
        <v>284</v>
      </c>
    </row>
    <row r="532" spans="1:60" ht="14.25" customHeight="1">
      <c r="A532" s="212"/>
      <c r="B532" s="213" t="s">
        <v>2291</v>
      </c>
      <c r="C532" s="289" t="s">
        <v>1683</v>
      </c>
      <c r="D532" s="226" t="s">
        <v>1693</v>
      </c>
      <c r="E532" s="242">
        <f>'[5]COSTO CDMX,QRO,GDL '!I532</f>
        <v>3618.7707581647619</v>
      </c>
      <c r="F532" s="217" t="s">
        <v>284</v>
      </c>
    </row>
    <row r="533" spans="1:60" ht="14.25" customHeight="1">
      <c r="A533" s="212"/>
      <c r="B533" s="213"/>
      <c r="C533" s="292"/>
      <c r="D533" s="226"/>
      <c r="E533" s="242"/>
      <c r="F533" s="296"/>
    </row>
    <row r="534" spans="1:60" ht="14.25" customHeight="1">
      <c r="A534" s="212"/>
      <c r="B534" s="213"/>
      <c r="C534" s="289"/>
      <c r="D534" s="226"/>
      <c r="E534" s="242"/>
      <c r="F534" s="296"/>
    </row>
    <row r="535" spans="1:60" ht="14.25" customHeight="1">
      <c r="A535" s="212"/>
      <c r="B535" s="213"/>
      <c r="C535" s="289"/>
      <c r="D535" s="226"/>
      <c r="E535" s="242"/>
      <c r="F535" s="296"/>
    </row>
    <row r="536" spans="1:60" ht="14.25" customHeight="1">
      <c r="A536" s="212"/>
      <c r="B536" s="221"/>
      <c r="C536" s="289"/>
      <c r="D536" s="226"/>
      <c r="E536" s="242"/>
      <c r="F536" s="296"/>
    </row>
    <row r="537" spans="1:60" ht="14.25" customHeight="1">
      <c r="A537" s="212"/>
      <c r="B537" s="221"/>
      <c r="C537" s="289"/>
      <c r="D537" s="226"/>
      <c r="E537" s="242"/>
      <c r="F537" s="296"/>
    </row>
    <row r="538" spans="1:60" ht="14.25" customHeight="1">
      <c r="A538" s="212"/>
      <c r="B538" s="221"/>
      <c r="C538" s="289"/>
      <c r="D538" s="226"/>
      <c r="E538" s="242"/>
      <c r="F538" s="296"/>
    </row>
    <row r="539" spans="1:60" ht="14.25" customHeight="1">
      <c r="A539" s="212"/>
      <c r="B539" s="221"/>
      <c r="C539" s="289"/>
      <c r="D539" s="226"/>
      <c r="E539" s="242"/>
      <c r="F539" s="296"/>
    </row>
    <row r="540" spans="1:60" ht="14.25" customHeight="1">
      <c r="A540" s="245"/>
      <c r="B540" s="246"/>
      <c r="C540" s="208" t="s">
        <v>1873</v>
      </c>
      <c r="D540" s="247"/>
      <c r="E540" s="329"/>
      <c r="F540" s="298"/>
    </row>
    <row r="541" spans="1:60" ht="14.25" customHeight="1">
      <c r="A541" s="212"/>
      <c r="B541" s="213" t="s">
        <v>2292</v>
      </c>
      <c r="C541" s="289" t="s">
        <v>2293</v>
      </c>
      <c r="D541" s="226" t="s">
        <v>1689</v>
      </c>
      <c r="E541" s="242">
        <f>'[5]COSTO CDMX,QRO,GDL '!I541</f>
        <v>8821.7386699079179</v>
      </c>
      <c r="F541" s="217" t="s">
        <v>284</v>
      </c>
    </row>
    <row r="542" spans="1:60" ht="14.25" customHeight="1">
      <c r="A542" s="212"/>
      <c r="B542" s="213" t="s">
        <v>2294</v>
      </c>
      <c r="C542" s="289" t="s">
        <v>1683</v>
      </c>
      <c r="D542" s="226" t="s">
        <v>1693</v>
      </c>
      <c r="E542" s="242">
        <f>'[5]COSTO CDMX,QRO,GDL '!I542</f>
        <v>9705.6592992175756</v>
      </c>
      <c r="F542" s="217" t="s">
        <v>284</v>
      </c>
    </row>
    <row r="543" spans="1:60" ht="14.25" customHeight="1">
      <c r="A543" s="212"/>
      <c r="B543" s="213"/>
      <c r="C543" s="292"/>
      <c r="D543" s="226"/>
      <c r="E543" s="242"/>
      <c r="F543" s="296"/>
    </row>
    <row r="544" spans="1:60" ht="14.25" customHeight="1">
      <c r="A544" s="212"/>
      <c r="B544" s="213"/>
      <c r="C544" s="299"/>
      <c r="D544" s="226"/>
      <c r="E544" s="242"/>
      <c r="F544" s="296"/>
    </row>
    <row r="545" spans="1:6" ht="14.25" customHeight="1">
      <c r="A545" s="212"/>
      <c r="B545" s="213"/>
      <c r="C545" s="295"/>
      <c r="D545" s="226"/>
      <c r="E545" s="242"/>
      <c r="F545" s="280"/>
    </row>
    <row r="546" spans="1:6" ht="14.25" customHeight="1">
      <c r="A546" s="212"/>
      <c r="B546" s="213"/>
      <c r="C546" s="295"/>
      <c r="D546" s="226"/>
      <c r="E546" s="242"/>
      <c r="F546" s="280"/>
    </row>
    <row r="547" spans="1:6" ht="14.25" customHeight="1">
      <c r="A547" s="212"/>
      <c r="B547" s="213"/>
      <c r="C547" s="295"/>
      <c r="D547" s="226"/>
      <c r="E547" s="242"/>
      <c r="F547" s="280"/>
    </row>
    <row r="548" spans="1:6" ht="14.25" customHeight="1">
      <c r="A548" s="212"/>
      <c r="B548" s="221"/>
      <c r="C548" s="295"/>
      <c r="D548" s="226"/>
      <c r="E548" s="242"/>
      <c r="F548" s="280"/>
    </row>
    <row r="549" spans="1:6" ht="14.25" customHeight="1">
      <c r="A549" s="212"/>
      <c r="B549" s="221"/>
      <c r="C549" s="295"/>
      <c r="D549" s="226"/>
      <c r="E549" s="242"/>
      <c r="F549" s="280"/>
    </row>
    <row r="550" spans="1:6" ht="14.25" customHeight="1">
      <c r="A550" s="212"/>
      <c r="B550" s="221"/>
      <c r="C550" s="295"/>
      <c r="D550" s="226"/>
      <c r="E550" s="242"/>
      <c r="F550" s="280"/>
    </row>
    <row r="551" spans="1:6" ht="15" customHeight="1">
      <c r="A551" s="206"/>
      <c r="B551" s="207"/>
      <c r="C551" s="208" t="s">
        <v>1779</v>
      </c>
      <c r="D551" s="209"/>
      <c r="E551" s="328"/>
      <c r="F551" s="271"/>
    </row>
    <row r="552" spans="1:6" ht="14.25" customHeight="1">
      <c r="A552" s="212"/>
      <c r="B552" s="213" t="s">
        <v>1780</v>
      </c>
      <c r="C552" s="295" t="s">
        <v>1781</v>
      </c>
      <c r="D552" s="226" t="s">
        <v>1687</v>
      </c>
      <c r="E552" s="242">
        <f>'[5]COSTO CDMX,QRO,GDL '!I552</f>
        <v>545.63728205963844</v>
      </c>
      <c r="F552" s="217" t="s">
        <v>284</v>
      </c>
    </row>
    <row r="553" spans="1:6" ht="14.25" customHeight="1">
      <c r="A553" s="212"/>
      <c r="B553" s="213" t="s">
        <v>1782</v>
      </c>
      <c r="C553" s="289" t="s">
        <v>1783</v>
      </c>
      <c r="D553" s="226" t="s">
        <v>1689</v>
      </c>
      <c r="E553" s="242">
        <f>'[5]COSTO CDMX,QRO,GDL '!I553</f>
        <v>581.7037640540982</v>
      </c>
      <c r="F553" s="217" t="s">
        <v>284</v>
      </c>
    </row>
    <row r="554" spans="1:6" ht="14.25" customHeight="1">
      <c r="A554" s="212"/>
      <c r="B554" s="213"/>
      <c r="C554" s="292"/>
      <c r="D554" s="226" t="s">
        <v>1691</v>
      </c>
      <c r="E554" s="242">
        <f>'[5]COSTO CDMX,QRO,GDL '!I554</f>
        <v>589.50562163923757</v>
      </c>
      <c r="F554" s="217" t="s">
        <v>284</v>
      </c>
    </row>
    <row r="555" spans="1:6" ht="14.25" customHeight="1">
      <c r="A555" s="212"/>
      <c r="B555" s="213" t="s">
        <v>1785</v>
      </c>
      <c r="C555" s="295"/>
      <c r="D555" s="226" t="s">
        <v>1786</v>
      </c>
      <c r="E555" s="242">
        <f>'[5]COSTO CDMX,QRO,GDL '!I555</f>
        <v>647.80055401662082</v>
      </c>
      <c r="F555" s="217" t="s">
        <v>284</v>
      </c>
    </row>
    <row r="556" spans="1:6" ht="14.25" customHeight="1">
      <c r="A556" s="212"/>
      <c r="B556" s="213" t="s">
        <v>1787</v>
      </c>
      <c r="C556" s="295"/>
      <c r="D556" s="226" t="s">
        <v>1693</v>
      </c>
      <c r="E556" s="242">
        <f>'[5]COSTO CDMX,QRO,GDL '!I556</f>
        <v>655.60241160175997</v>
      </c>
      <c r="F556" s="217" t="s">
        <v>284</v>
      </c>
    </row>
    <row r="557" spans="1:6" ht="14.25" customHeight="1">
      <c r="A557" s="212"/>
      <c r="B557" s="213"/>
      <c r="C557" s="295"/>
      <c r="D557" s="226"/>
      <c r="E557" s="227"/>
      <c r="F557" s="296"/>
    </row>
    <row r="558" spans="1:6" ht="14.25" customHeight="1">
      <c r="A558" s="212"/>
      <c r="B558" s="213"/>
      <c r="C558" s="295"/>
      <c r="D558" s="226"/>
      <c r="E558" s="227"/>
      <c r="F558" s="296"/>
    </row>
    <row r="559" spans="1:6" ht="14.25" customHeight="1">
      <c r="A559" s="212"/>
      <c r="B559" s="213"/>
      <c r="C559" s="295"/>
      <c r="D559" s="226"/>
      <c r="E559" s="227"/>
      <c r="F559" s="296"/>
    </row>
    <row r="560" spans="1:6" ht="14.25" customHeight="1">
      <c r="A560" s="212"/>
      <c r="B560" s="221"/>
      <c r="C560" s="295"/>
      <c r="D560" s="226"/>
      <c r="E560" s="227"/>
      <c r="F560" s="296"/>
    </row>
    <row r="561" spans="1:6" ht="14.25" customHeight="1">
      <c r="A561" s="212"/>
      <c r="B561" s="221"/>
      <c r="C561" s="289"/>
      <c r="D561" s="226"/>
      <c r="E561" s="227"/>
      <c r="F561" s="296"/>
    </row>
    <row r="562" spans="1:6" ht="14.25" customHeight="1">
      <c r="A562" s="333"/>
      <c r="B562" s="334"/>
      <c r="C562" s="335"/>
      <c r="D562" s="334"/>
      <c r="E562" s="336"/>
      <c r="F562" s="337"/>
    </row>
    <row r="563" spans="1:6" ht="14.25" customHeight="1">
      <c r="A563" s="212"/>
      <c r="B563" s="338"/>
      <c r="C563" s="339"/>
      <c r="D563" s="338"/>
      <c r="E563" s="340"/>
      <c r="F563" s="341"/>
    </row>
    <row r="564" spans="1:6" ht="14.25" customHeight="1">
      <c r="A564" s="212"/>
      <c r="B564" s="338"/>
      <c r="C564" s="339"/>
      <c r="D564" s="338"/>
      <c r="E564" s="340"/>
      <c r="F564" s="341"/>
    </row>
    <row r="565" spans="1:6" ht="14.25" customHeight="1">
      <c r="A565" s="212"/>
      <c r="B565" s="338"/>
      <c r="C565" s="339"/>
      <c r="D565" s="338"/>
      <c r="E565" s="340"/>
      <c r="F565" s="341"/>
    </row>
    <row r="566" spans="1:6" ht="14.25" customHeight="1">
      <c r="A566" s="212"/>
      <c r="B566" s="338"/>
      <c r="C566" s="339"/>
      <c r="D566" s="338"/>
      <c r="E566" s="340"/>
      <c r="F566" s="341"/>
    </row>
    <row r="567" spans="1:6" ht="14.25" customHeight="1">
      <c r="A567" s="212"/>
      <c r="B567" s="338"/>
      <c r="C567" s="339"/>
      <c r="D567" s="338"/>
      <c r="E567" s="340"/>
      <c r="F567" s="341"/>
    </row>
    <row r="568" spans="1:6" ht="14.25" customHeight="1">
      <c r="A568" s="212"/>
      <c r="B568" s="338"/>
      <c r="C568" s="339"/>
      <c r="D568" s="338"/>
      <c r="E568" s="340"/>
      <c r="F568" s="341"/>
    </row>
    <row r="569" spans="1:6" ht="14.25" customHeight="1">
      <c r="A569" s="212"/>
      <c r="B569" s="338"/>
      <c r="C569" s="339"/>
      <c r="D569" s="338"/>
      <c r="E569" s="340"/>
      <c r="F569" s="341"/>
    </row>
    <row r="570" spans="1:6" ht="14.25" customHeight="1">
      <c r="A570" s="212"/>
      <c r="B570" s="338"/>
      <c r="C570" s="339"/>
      <c r="D570" s="338"/>
      <c r="E570" s="340"/>
      <c r="F570" s="341"/>
    </row>
    <row r="571" spans="1:6" ht="14.25" customHeight="1">
      <c r="A571" s="212"/>
      <c r="B571" s="338"/>
      <c r="C571" s="339"/>
      <c r="D571" s="338"/>
      <c r="E571" s="340"/>
      <c r="F571" s="341"/>
    </row>
    <row r="572" spans="1:6" ht="14.25" customHeight="1">
      <c r="A572" s="212"/>
      <c r="B572" s="338"/>
      <c r="C572" s="339"/>
      <c r="D572" s="338"/>
      <c r="E572" s="340"/>
      <c r="F572" s="341"/>
    </row>
    <row r="573" spans="1:6" ht="14.25" customHeight="1">
      <c r="A573" s="212"/>
      <c r="B573" s="338"/>
      <c r="C573" s="339"/>
      <c r="D573" s="338"/>
      <c r="E573" s="340"/>
      <c r="F573" s="341"/>
    </row>
    <row r="574" spans="1:6" ht="14.25" customHeight="1">
      <c r="A574" s="212"/>
      <c r="B574" s="338"/>
      <c r="C574" s="339"/>
      <c r="D574" s="338"/>
      <c r="E574" s="340"/>
      <c r="F574" s="341"/>
    </row>
    <row r="575" spans="1:6" ht="14.25" customHeight="1">
      <c r="A575" s="212"/>
      <c r="B575" s="338"/>
      <c r="C575" s="339"/>
      <c r="D575" s="338"/>
      <c r="E575" s="340"/>
      <c r="F575" s="341"/>
    </row>
    <row r="576" spans="1:6" ht="14.25" customHeight="1">
      <c r="A576" s="212"/>
      <c r="B576" s="338"/>
      <c r="C576" s="339"/>
      <c r="D576" s="338"/>
      <c r="E576" s="340"/>
      <c r="F576" s="341"/>
    </row>
    <row r="577" spans="1:6" ht="14.25" customHeight="1">
      <c r="A577" s="212"/>
      <c r="B577" s="338"/>
      <c r="C577" s="339"/>
      <c r="D577" s="338"/>
      <c r="E577" s="340"/>
      <c r="F577" s="341"/>
    </row>
    <row r="578" spans="1:6" ht="14.25" customHeight="1">
      <c r="A578" s="212"/>
      <c r="B578" s="338"/>
      <c r="C578" s="339"/>
      <c r="D578" s="338"/>
      <c r="E578" s="340"/>
      <c r="F578" s="341"/>
    </row>
    <row r="579" spans="1:6" ht="14.25" customHeight="1">
      <c r="A579" s="212"/>
      <c r="B579" s="338"/>
      <c r="C579" s="339"/>
      <c r="D579" s="338"/>
      <c r="E579" s="340"/>
      <c r="F579" s="341"/>
    </row>
    <row r="580" spans="1:6" ht="14.25" customHeight="1">
      <c r="A580" s="212"/>
      <c r="B580" s="338"/>
      <c r="C580" s="339"/>
      <c r="D580" s="338"/>
      <c r="E580" s="340"/>
      <c r="F580" s="341"/>
    </row>
    <row r="581" spans="1:6" ht="14.25" customHeight="1">
      <c r="A581" s="212"/>
      <c r="B581" s="338"/>
      <c r="C581" s="339"/>
      <c r="D581" s="338"/>
      <c r="E581" s="340"/>
      <c r="F581" s="341"/>
    </row>
    <row r="582" spans="1:6" ht="14.25" customHeight="1">
      <c r="A582" s="212"/>
      <c r="B582" s="338"/>
      <c r="C582" s="339"/>
      <c r="D582" s="338"/>
      <c r="E582" s="340"/>
      <c r="F582" s="341"/>
    </row>
    <row r="583" spans="1:6" ht="14.25" customHeight="1">
      <c r="A583" s="212"/>
      <c r="B583" s="338"/>
      <c r="C583" s="339"/>
      <c r="D583" s="338"/>
      <c r="E583" s="340"/>
      <c r="F583" s="341"/>
    </row>
    <row r="584" spans="1:6" ht="14.25" customHeight="1">
      <c r="A584" s="212"/>
      <c r="B584" s="338"/>
      <c r="C584" s="339"/>
      <c r="D584" s="338"/>
      <c r="E584" s="340"/>
      <c r="F584" s="341"/>
    </row>
    <row r="585" spans="1:6" ht="14.25" customHeight="1">
      <c r="A585" s="212"/>
      <c r="B585" s="338"/>
      <c r="C585" s="339"/>
      <c r="D585" s="338"/>
      <c r="E585" s="340"/>
      <c r="F585" s="341"/>
    </row>
    <row r="586" spans="1:6" ht="14.25" customHeight="1">
      <c r="A586" s="212"/>
      <c r="B586" s="338"/>
      <c r="C586" s="339"/>
      <c r="D586" s="338"/>
      <c r="E586" s="340"/>
      <c r="F586" s="341"/>
    </row>
    <row r="587" spans="1:6" ht="14.25" customHeight="1">
      <c r="A587" s="212"/>
      <c r="B587" s="338"/>
      <c r="C587" s="339"/>
      <c r="D587" s="338"/>
      <c r="E587" s="340"/>
      <c r="F587" s="341"/>
    </row>
    <row r="588" spans="1:6" ht="14.25" customHeight="1">
      <c r="A588" s="212"/>
      <c r="B588" s="338"/>
      <c r="C588" s="339"/>
      <c r="D588" s="338"/>
      <c r="E588" s="340"/>
      <c r="F588" s="341"/>
    </row>
    <row r="589" spans="1:6" ht="14.25" customHeight="1">
      <c r="A589" s="212"/>
      <c r="B589" s="338"/>
      <c r="C589" s="339"/>
      <c r="D589" s="338"/>
      <c r="E589" s="340"/>
      <c r="F589" s="341"/>
    </row>
    <row r="590" spans="1:6" ht="14.25" customHeight="1">
      <c r="A590" s="212"/>
      <c r="B590" s="338"/>
      <c r="C590" s="339"/>
      <c r="D590" s="338"/>
      <c r="E590" s="340"/>
      <c r="F590" s="341"/>
    </row>
    <row r="591" spans="1:6" ht="14.25" customHeight="1">
      <c r="A591" s="212"/>
      <c r="B591" s="338"/>
      <c r="C591" s="339"/>
      <c r="D591" s="338"/>
      <c r="E591" s="340"/>
      <c r="F591" s="341"/>
    </row>
    <row r="592" spans="1:6" ht="14.25" customHeight="1">
      <c r="A592" s="212"/>
      <c r="B592" s="338"/>
      <c r="C592" s="339"/>
      <c r="D592" s="338"/>
      <c r="E592" s="340"/>
      <c r="F592" s="341"/>
    </row>
    <row r="593" spans="1:60" ht="14.25" customHeight="1">
      <c r="A593" s="212"/>
      <c r="B593" s="338"/>
      <c r="C593" s="339"/>
      <c r="D593" s="338"/>
      <c r="E593" s="340"/>
      <c r="F593" s="341"/>
    </row>
    <row r="594" spans="1:60" ht="14.25" customHeight="1">
      <c r="A594" s="212"/>
      <c r="B594" s="338"/>
      <c r="C594" s="339"/>
      <c r="D594" s="338"/>
      <c r="E594" s="340"/>
      <c r="F594" s="341"/>
    </row>
    <row r="595" spans="1:60" ht="14.25" customHeight="1">
      <c r="A595" s="212"/>
      <c r="B595" s="338"/>
      <c r="C595" s="339"/>
      <c r="D595" s="338"/>
      <c r="E595" s="340"/>
      <c r="F595" s="341"/>
    </row>
    <row r="596" spans="1:60" ht="14.25" customHeight="1">
      <c r="A596" s="342"/>
      <c r="B596" s="343"/>
      <c r="C596" s="344"/>
      <c r="D596" s="343"/>
      <c r="E596" s="345"/>
      <c r="F596" s="346"/>
    </row>
    <row r="597" spans="1:60" s="184" customFormat="1" ht="15" customHeight="1">
      <c r="A597" s="232" t="s">
        <v>2013</v>
      </c>
      <c r="B597" s="233"/>
      <c r="C597" s="1524" t="s">
        <v>2295</v>
      </c>
      <c r="D597" s="232"/>
      <c r="E597" s="235"/>
      <c r="F597" s="236"/>
      <c r="G597" s="183"/>
      <c r="H597" s="183"/>
      <c r="I597" s="183"/>
      <c r="J597" s="183"/>
      <c r="K597" s="183"/>
      <c r="L597" s="183"/>
      <c r="M597" s="183"/>
      <c r="N597" s="190"/>
      <c r="O597" s="190"/>
      <c r="P597" s="190"/>
      <c r="Q597" s="190"/>
      <c r="R597" s="190"/>
      <c r="S597" s="190"/>
      <c r="T597" s="190"/>
      <c r="U597" s="190"/>
      <c r="V597" s="190"/>
      <c r="W597" s="190"/>
      <c r="X597" s="190"/>
      <c r="Y597" s="190"/>
      <c r="Z597" s="190"/>
      <c r="AA597" s="190"/>
      <c r="AB597" s="190"/>
      <c r="AC597" s="190"/>
      <c r="AD597" s="190"/>
      <c r="AE597" s="190"/>
      <c r="AF597" s="190"/>
      <c r="AG597" s="190"/>
      <c r="AH597" s="190"/>
      <c r="AI597" s="190"/>
      <c r="AJ597" s="190"/>
      <c r="AK597" s="190"/>
      <c r="AL597" s="190"/>
      <c r="AM597" s="190"/>
      <c r="AN597" s="190"/>
      <c r="AO597" s="190"/>
      <c r="AP597" s="190"/>
      <c r="AQ597" s="190"/>
      <c r="AR597" s="190"/>
      <c r="AS597" s="190"/>
      <c r="AT597" s="190"/>
      <c r="AU597" s="190"/>
      <c r="AV597" s="190"/>
      <c r="AW597" s="190"/>
      <c r="AX597" s="190"/>
      <c r="AY597" s="190"/>
      <c r="AZ597" s="190"/>
      <c r="BA597" s="190"/>
      <c r="BB597" s="190"/>
      <c r="BC597" s="190"/>
      <c r="BD597" s="190"/>
      <c r="BE597" s="190"/>
      <c r="BF597" s="190"/>
      <c r="BG597" s="190"/>
      <c r="BH597" s="190"/>
    </row>
    <row r="598" spans="1:60" s="198" customFormat="1" ht="15" customHeight="1">
      <c r="A598" s="237" t="s">
        <v>1669</v>
      </c>
      <c r="B598" s="238"/>
      <c r="C598" s="1525"/>
      <c r="D598" s="285"/>
      <c r="E598" s="286"/>
      <c r="F598" s="287"/>
      <c r="G598" s="196"/>
      <c r="H598" s="196"/>
      <c r="I598" s="196"/>
      <c r="J598" s="196"/>
      <c r="K598" s="196"/>
      <c r="L598" s="196"/>
      <c r="M598" s="196"/>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7"/>
      <c r="AR598" s="197"/>
      <c r="AS598" s="197"/>
      <c r="AT598" s="197"/>
      <c r="AU598" s="197"/>
      <c r="AV598" s="197"/>
      <c r="AW598" s="197"/>
      <c r="AX598" s="197"/>
      <c r="AY598" s="197"/>
      <c r="AZ598" s="197"/>
      <c r="BA598" s="197"/>
      <c r="BB598" s="197"/>
      <c r="BC598" s="197"/>
      <c r="BD598" s="197"/>
      <c r="BE598" s="197"/>
      <c r="BF598" s="197"/>
      <c r="BG598" s="197"/>
      <c r="BH598" s="197"/>
    </row>
    <row r="599" spans="1:60" s="204" customFormat="1">
      <c r="A599" s="199" t="s">
        <v>512</v>
      </c>
      <c r="B599" s="200" t="s">
        <v>513</v>
      </c>
      <c r="C599" s="201" t="s">
        <v>514</v>
      </c>
      <c r="D599" s="199" t="s">
        <v>515</v>
      </c>
      <c r="E599" s="202" t="s">
        <v>516</v>
      </c>
      <c r="F599" s="203" t="s">
        <v>1670</v>
      </c>
      <c r="G599" s="184"/>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c r="AS599" s="205"/>
      <c r="AT599" s="205"/>
      <c r="AU599" s="205"/>
      <c r="AV599" s="205"/>
      <c r="AW599" s="205"/>
      <c r="AX599" s="205"/>
      <c r="AY599" s="205"/>
      <c r="AZ599" s="205"/>
      <c r="BA599" s="205"/>
      <c r="BB599" s="205"/>
      <c r="BC599" s="205"/>
      <c r="BD599" s="205"/>
      <c r="BE599" s="205"/>
      <c r="BF599" s="205"/>
      <c r="BG599" s="205"/>
      <c r="BH599" s="205"/>
    </row>
    <row r="600" spans="1:60" ht="15" customHeight="1">
      <c r="A600" s="206"/>
      <c r="B600" s="207"/>
      <c r="C600" s="208" t="s">
        <v>2268</v>
      </c>
      <c r="D600" s="209"/>
      <c r="E600" s="210"/>
      <c r="F600" s="271"/>
    </row>
    <row r="601" spans="1:60" ht="14.25" customHeight="1">
      <c r="A601" s="212"/>
      <c r="B601" s="217" t="s">
        <v>2269</v>
      </c>
      <c r="C601" s="241" t="s">
        <v>2296</v>
      </c>
      <c r="D601" s="226" t="s">
        <v>2271</v>
      </c>
      <c r="E601" s="242">
        <f>'[5]COSTO CDMX,QRO,GDL '!I593</f>
        <v>31626.587827657386</v>
      </c>
      <c r="F601" s="217" t="s">
        <v>284</v>
      </c>
    </row>
    <row r="602" spans="1:60" ht="14.25" customHeight="1">
      <c r="A602" s="212"/>
      <c r="B602" s="221"/>
      <c r="C602" s="243" t="s">
        <v>2272</v>
      </c>
      <c r="D602" s="226"/>
      <c r="E602" s="242"/>
      <c r="F602" s="296"/>
    </row>
    <row r="603" spans="1:60" ht="14.25" customHeight="1">
      <c r="A603" s="212"/>
      <c r="B603" s="221"/>
      <c r="C603" s="243" t="s">
        <v>2273</v>
      </c>
      <c r="D603" s="226"/>
      <c r="E603" s="242"/>
      <c r="F603" s="296"/>
    </row>
    <row r="604" spans="1:60" ht="14.25" customHeight="1">
      <c r="A604" s="212"/>
      <c r="B604" s="221"/>
      <c r="C604" s="243" t="s">
        <v>2274</v>
      </c>
      <c r="D604" s="226"/>
      <c r="E604" s="242"/>
      <c r="F604" s="296"/>
    </row>
    <row r="605" spans="1:60" ht="14.25" customHeight="1">
      <c r="A605" s="212"/>
      <c r="B605" s="221"/>
      <c r="C605" s="243" t="s">
        <v>2275</v>
      </c>
      <c r="D605" s="226"/>
      <c r="E605" s="242"/>
      <c r="F605" s="296"/>
    </row>
    <row r="606" spans="1:60" ht="14.25" customHeight="1">
      <c r="A606" s="212"/>
      <c r="B606" s="221"/>
      <c r="C606" s="309"/>
      <c r="D606" s="226"/>
      <c r="E606" s="242"/>
      <c r="F606" s="296"/>
    </row>
    <row r="607" spans="1:60" ht="14.25" customHeight="1">
      <c r="A607" s="212"/>
      <c r="B607" s="221"/>
      <c r="C607" s="309"/>
      <c r="D607" s="226"/>
      <c r="E607" s="242"/>
      <c r="F607" s="296"/>
    </row>
    <row r="608" spans="1:60" ht="14.25" customHeight="1">
      <c r="A608" s="212"/>
      <c r="B608" s="221"/>
      <c r="C608" s="243"/>
      <c r="D608" s="226"/>
      <c r="E608" s="242"/>
      <c r="F608" s="296"/>
    </row>
    <row r="609" spans="1:6" ht="14.25" customHeight="1">
      <c r="A609" s="212"/>
      <c r="B609" s="221"/>
      <c r="C609" s="225"/>
      <c r="D609" s="226"/>
      <c r="E609" s="242"/>
      <c r="F609" s="296"/>
    </row>
    <row r="610" spans="1:6" ht="15" customHeight="1">
      <c r="A610" s="206"/>
      <c r="B610" s="207"/>
      <c r="C610" s="208" t="s">
        <v>2276</v>
      </c>
      <c r="D610" s="209"/>
      <c r="E610" s="347"/>
      <c r="F610" s="271"/>
    </row>
    <row r="611" spans="1:6" ht="14.25" customHeight="1">
      <c r="A611" s="212"/>
      <c r="B611" s="217" t="s">
        <v>2277</v>
      </c>
      <c r="C611" s="241" t="s">
        <v>2297</v>
      </c>
      <c r="D611" s="226" t="s">
        <v>2278</v>
      </c>
      <c r="E611" s="242">
        <f>'[5]COSTO CDMX,QRO,GDL '!I603</f>
        <v>61971.211263818259</v>
      </c>
      <c r="F611" s="217" t="s">
        <v>284</v>
      </c>
    </row>
    <row r="612" spans="1:6" ht="14.25" customHeight="1">
      <c r="A612" s="212"/>
      <c r="B612" s="221"/>
      <c r="C612" s="243" t="s">
        <v>2298</v>
      </c>
      <c r="D612" s="226"/>
      <c r="E612" s="242"/>
      <c r="F612" s="296"/>
    </row>
    <row r="613" spans="1:6" ht="14.25" customHeight="1">
      <c r="A613" s="212"/>
      <c r="B613" s="221"/>
      <c r="C613" s="243" t="s">
        <v>2273</v>
      </c>
      <c r="D613" s="226"/>
      <c r="E613" s="242"/>
      <c r="F613" s="296"/>
    </row>
    <row r="614" spans="1:6" ht="14.25" customHeight="1">
      <c r="A614" s="212"/>
      <c r="B614" s="221"/>
      <c r="C614" s="243" t="s">
        <v>2274</v>
      </c>
      <c r="D614" s="226"/>
      <c r="E614" s="242"/>
      <c r="F614" s="296"/>
    </row>
    <row r="615" spans="1:6" ht="14.25" customHeight="1">
      <c r="A615" s="212"/>
      <c r="B615" s="221"/>
      <c r="C615" s="243" t="s">
        <v>2275</v>
      </c>
      <c r="D615" s="226"/>
      <c r="E615" s="242"/>
      <c r="F615" s="296"/>
    </row>
    <row r="616" spans="1:6" ht="14.25" customHeight="1">
      <c r="A616" s="212"/>
      <c r="B616" s="221"/>
      <c r="C616" s="309"/>
      <c r="D616" s="226"/>
      <c r="E616" s="242"/>
      <c r="F616" s="296"/>
    </row>
    <row r="617" spans="1:6" ht="14.25" customHeight="1">
      <c r="A617" s="212"/>
      <c r="B617" s="221"/>
      <c r="C617" s="309"/>
      <c r="D617" s="226"/>
      <c r="E617" s="242"/>
      <c r="F617" s="296"/>
    </row>
    <row r="618" spans="1:6" ht="14.25" customHeight="1">
      <c r="A618" s="212"/>
      <c r="B618" s="221"/>
      <c r="C618" s="243"/>
      <c r="D618" s="226"/>
      <c r="E618" s="242"/>
      <c r="F618" s="296"/>
    </row>
    <row r="619" spans="1:6" ht="14.25" customHeight="1">
      <c r="A619" s="212"/>
      <c r="B619" s="221"/>
      <c r="C619" s="243"/>
      <c r="D619" s="226"/>
      <c r="E619" s="242"/>
      <c r="F619" s="296"/>
    </row>
    <row r="620" spans="1:6" ht="15" customHeight="1">
      <c r="A620" s="206"/>
      <c r="B620" s="207"/>
      <c r="C620" s="208" t="s">
        <v>2279</v>
      </c>
      <c r="D620" s="209"/>
      <c r="E620" s="347"/>
      <c r="F620" s="271"/>
    </row>
    <row r="621" spans="1:6" ht="14.25" customHeight="1">
      <c r="A621" s="212"/>
      <c r="B621" s="217" t="s">
        <v>2280</v>
      </c>
      <c r="C621" s="241" t="s">
        <v>2297</v>
      </c>
      <c r="D621" s="226" t="s">
        <v>2281</v>
      </c>
      <c r="E621" s="242">
        <f>'[5]COSTO CDMX,QRO,GDL '!I613</f>
        <v>92315.834699979154</v>
      </c>
      <c r="F621" s="217" t="s">
        <v>284</v>
      </c>
    </row>
    <row r="622" spans="1:6" ht="14.25" customHeight="1">
      <c r="A622" s="212"/>
      <c r="B622" s="221"/>
      <c r="C622" s="243" t="s">
        <v>2298</v>
      </c>
      <c r="D622" s="226"/>
      <c r="E622" s="242"/>
      <c r="F622" s="296"/>
    </row>
    <row r="623" spans="1:6" ht="14.25" customHeight="1">
      <c r="A623" s="212"/>
      <c r="B623" s="221"/>
      <c r="C623" s="243" t="s">
        <v>2273</v>
      </c>
      <c r="D623" s="226"/>
      <c r="E623" s="242"/>
      <c r="F623" s="296"/>
    </row>
    <row r="624" spans="1:6" ht="14.25" customHeight="1">
      <c r="A624" s="212"/>
      <c r="B624" s="221"/>
      <c r="C624" s="243" t="s">
        <v>2274</v>
      </c>
      <c r="D624" s="226"/>
      <c r="E624" s="242"/>
      <c r="F624" s="296"/>
    </row>
    <row r="625" spans="1:60" ht="14.25" customHeight="1">
      <c r="A625" s="212"/>
      <c r="B625" s="221"/>
      <c r="C625" s="243" t="s">
        <v>2275</v>
      </c>
      <c r="D625" s="226"/>
      <c r="E625" s="242"/>
      <c r="F625" s="296"/>
    </row>
    <row r="626" spans="1:60" ht="14.25" customHeight="1">
      <c r="A626" s="212"/>
      <c r="B626" s="221"/>
      <c r="C626" s="309"/>
      <c r="D626" s="226"/>
      <c r="E626" s="242"/>
      <c r="F626" s="296"/>
    </row>
    <row r="627" spans="1:60" ht="14.25" customHeight="1">
      <c r="A627" s="212"/>
      <c r="B627" s="221"/>
      <c r="C627" s="309"/>
      <c r="D627" s="226"/>
      <c r="E627" s="242"/>
      <c r="F627" s="296"/>
    </row>
    <row r="628" spans="1:60" ht="14.25" customHeight="1">
      <c r="A628" s="212"/>
      <c r="B628" s="221"/>
      <c r="C628" s="243"/>
      <c r="D628" s="226"/>
      <c r="E628" s="242"/>
      <c r="F628" s="296"/>
    </row>
    <row r="629" spans="1:60" ht="14.25" customHeight="1">
      <c r="A629" s="212"/>
      <c r="B629" s="221"/>
      <c r="C629" s="243"/>
      <c r="D629" s="226"/>
      <c r="E629" s="242"/>
      <c r="F629" s="296"/>
    </row>
    <row r="630" spans="1:60" ht="15" customHeight="1">
      <c r="A630" s="206"/>
      <c r="B630" s="207"/>
      <c r="C630" s="208" t="s">
        <v>2282</v>
      </c>
      <c r="D630" s="209"/>
      <c r="E630" s="347"/>
      <c r="F630" s="271"/>
    </row>
    <row r="631" spans="1:60" ht="14.25" customHeight="1">
      <c r="A631" s="212"/>
      <c r="B631" s="217" t="s">
        <v>2283</v>
      </c>
      <c r="C631" s="241" t="s">
        <v>2297</v>
      </c>
      <c r="D631" s="226" t="s">
        <v>2284</v>
      </c>
      <c r="E631" s="242">
        <f>'[5]COSTO CDMX,QRO,GDL '!I623</f>
        <v>122660.45813614002</v>
      </c>
      <c r="F631" s="217" t="s">
        <v>284</v>
      </c>
    </row>
    <row r="632" spans="1:60" ht="14.25" customHeight="1">
      <c r="A632" s="212"/>
      <c r="B632" s="221"/>
      <c r="C632" s="243" t="s">
        <v>2298</v>
      </c>
      <c r="D632" s="226"/>
      <c r="E632" s="242"/>
      <c r="F632" s="296"/>
    </row>
    <row r="633" spans="1:60" ht="14.25" customHeight="1">
      <c r="A633" s="212"/>
      <c r="B633" s="221"/>
      <c r="C633" s="243" t="s">
        <v>2273</v>
      </c>
      <c r="D633" s="226"/>
      <c r="E633" s="242"/>
      <c r="F633" s="296"/>
    </row>
    <row r="634" spans="1:60" ht="14.25" customHeight="1">
      <c r="A634" s="212"/>
      <c r="B634" s="221"/>
      <c r="C634" s="243" t="s">
        <v>2274</v>
      </c>
      <c r="D634" s="226"/>
      <c r="E634" s="242"/>
      <c r="F634" s="296"/>
    </row>
    <row r="635" spans="1:60" ht="14.25" customHeight="1">
      <c r="A635" s="212"/>
      <c r="B635" s="221"/>
      <c r="C635" s="243" t="s">
        <v>2275</v>
      </c>
      <c r="D635" s="226"/>
      <c r="E635" s="242"/>
      <c r="F635" s="296"/>
    </row>
    <row r="636" spans="1:60" ht="14.25" customHeight="1">
      <c r="A636" s="212"/>
      <c r="B636" s="221"/>
      <c r="C636" s="309"/>
      <c r="D636" s="226"/>
      <c r="E636" s="227"/>
      <c r="F636" s="228"/>
    </row>
    <row r="637" spans="1:60" ht="14.25" customHeight="1">
      <c r="A637" s="212"/>
      <c r="B637" s="221"/>
      <c r="C637" s="309"/>
      <c r="D637" s="226"/>
      <c r="E637" s="227"/>
      <c r="F637" s="228"/>
    </row>
    <row r="638" spans="1:60" ht="14.25" customHeight="1">
      <c r="A638" s="212"/>
      <c r="B638" s="221"/>
      <c r="C638" s="243"/>
      <c r="D638" s="226"/>
      <c r="E638" s="227"/>
      <c r="F638" s="228"/>
    </row>
    <row r="639" spans="1:60" ht="14.25" customHeight="1">
      <c r="A639" s="212"/>
      <c r="B639" s="221"/>
      <c r="C639" s="243"/>
      <c r="D639" s="226"/>
      <c r="E639" s="227"/>
      <c r="F639" s="228"/>
    </row>
    <row r="640" spans="1:60" s="184" customFormat="1" ht="15" customHeight="1">
      <c r="A640" s="232" t="s">
        <v>2013</v>
      </c>
      <c r="B640" s="233"/>
      <c r="C640" s="1524" t="s">
        <v>2299</v>
      </c>
      <c r="D640" s="232"/>
      <c r="E640" s="235"/>
      <c r="F640" s="236"/>
      <c r="G640" s="183"/>
      <c r="H640" s="183"/>
      <c r="I640" s="183"/>
      <c r="J640" s="183"/>
      <c r="K640" s="183"/>
      <c r="L640" s="183"/>
      <c r="M640" s="183"/>
      <c r="N640" s="190"/>
      <c r="O640" s="190"/>
      <c r="P640" s="190"/>
      <c r="Q640" s="190"/>
      <c r="R640" s="190"/>
      <c r="S640" s="190"/>
      <c r="T640" s="190"/>
      <c r="U640" s="190"/>
      <c r="V640" s="190"/>
      <c r="W640" s="190"/>
      <c r="X640" s="190"/>
      <c r="Y640" s="190"/>
      <c r="Z640" s="190"/>
      <c r="AA640" s="190"/>
      <c r="AB640" s="190"/>
      <c r="AC640" s="190"/>
      <c r="AD640" s="190"/>
      <c r="AE640" s="190"/>
      <c r="AF640" s="190"/>
      <c r="AG640" s="190"/>
      <c r="AH640" s="190"/>
      <c r="AI640" s="190"/>
      <c r="AJ640" s="190"/>
      <c r="AK640" s="190"/>
      <c r="AL640" s="190"/>
      <c r="AM640" s="190"/>
      <c r="AN640" s="190"/>
      <c r="AO640" s="190"/>
      <c r="AP640" s="190"/>
      <c r="AQ640" s="190"/>
      <c r="AR640" s="190"/>
      <c r="AS640" s="190"/>
      <c r="AT640" s="190"/>
      <c r="AU640" s="190"/>
      <c r="AV640" s="190"/>
      <c r="AW640" s="190"/>
      <c r="AX640" s="190"/>
      <c r="AY640" s="190"/>
      <c r="AZ640" s="190"/>
      <c r="BA640" s="190"/>
      <c r="BB640" s="190"/>
      <c r="BC640" s="190"/>
      <c r="BD640" s="190"/>
      <c r="BE640" s="190"/>
      <c r="BF640" s="190"/>
      <c r="BG640" s="190"/>
      <c r="BH640" s="190"/>
    </row>
    <row r="641" spans="1:60" s="198" customFormat="1" ht="15" customHeight="1">
      <c r="A641" s="237" t="s">
        <v>1669</v>
      </c>
      <c r="B641" s="238"/>
      <c r="C641" s="1525"/>
      <c r="D641" s="285"/>
      <c r="E641" s="286"/>
      <c r="F641" s="287"/>
      <c r="G641" s="196"/>
      <c r="H641" s="196"/>
      <c r="I641" s="196"/>
      <c r="J641" s="196"/>
      <c r="K641" s="196"/>
      <c r="L641" s="196"/>
      <c r="M641" s="196"/>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7"/>
      <c r="AR641" s="197"/>
      <c r="AS641" s="197"/>
      <c r="AT641" s="197"/>
      <c r="AU641" s="197"/>
      <c r="AV641" s="197"/>
      <c r="AW641" s="197"/>
      <c r="AX641" s="197"/>
      <c r="AY641" s="197"/>
      <c r="AZ641" s="197"/>
      <c r="BA641" s="197"/>
      <c r="BB641" s="197"/>
      <c r="BC641" s="197"/>
      <c r="BD641" s="197"/>
      <c r="BE641" s="197"/>
      <c r="BF641" s="197"/>
      <c r="BG641" s="197"/>
      <c r="BH641" s="197"/>
    </row>
    <row r="642" spans="1:60" s="204" customFormat="1">
      <c r="A642" s="199" t="s">
        <v>512</v>
      </c>
      <c r="B642" s="200" t="s">
        <v>513</v>
      </c>
      <c r="C642" s="201" t="s">
        <v>514</v>
      </c>
      <c r="D642" s="199" t="s">
        <v>515</v>
      </c>
      <c r="E642" s="202" t="s">
        <v>516</v>
      </c>
      <c r="F642" s="203" t="s">
        <v>1670</v>
      </c>
      <c r="G642" s="184"/>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c r="AS642" s="205"/>
      <c r="AT642" s="205"/>
      <c r="AU642" s="205"/>
      <c r="AV642" s="205"/>
      <c r="AW642" s="205"/>
      <c r="AX642" s="205"/>
      <c r="AY642" s="205"/>
      <c r="AZ642" s="205"/>
      <c r="BA642" s="205"/>
      <c r="BB642" s="205"/>
      <c r="BC642" s="205"/>
      <c r="BD642" s="205"/>
      <c r="BE642" s="205"/>
      <c r="BF642" s="205"/>
      <c r="BG642" s="205"/>
      <c r="BH642" s="205"/>
    </row>
    <row r="643" spans="1:60" ht="14.25" customHeight="1">
      <c r="A643" s="206"/>
      <c r="B643" s="207"/>
      <c r="C643" s="208" t="s">
        <v>1678</v>
      </c>
      <c r="D643" s="209"/>
      <c r="E643" s="210"/>
      <c r="F643" s="211"/>
    </row>
    <row r="644" spans="1:60" ht="14.25" customHeight="1">
      <c r="A644" s="212"/>
      <c r="B644" s="213" t="s">
        <v>1805</v>
      </c>
      <c r="C644" s="289" t="s">
        <v>1806</v>
      </c>
      <c r="D644" s="226" t="s">
        <v>1681</v>
      </c>
      <c r="E644" s="242">
        <f>'[5]COSTO CDMX,QRO,GDL '!I636</f>
        <v>2027.5250876589475</v>
      </c>
      <c r="F644" s="217" t="s">
        <v>284</v>
      </c>
    </row>
    <row r="645" spans="1:60" ht="14.25" customHeight="1">
      <c r="A645" s="212"/>
      <c r="B645" s="213" t="s">
        <v>1807</v>
      </c>
      <c r="C645" s="289" t="s">
        <v>1683</v>
      </c>
      <c r="D645" s="226" t="s">
        <v>1684</v>
      </c>
      <c r="E645" s="242">
        <f>'[5]COSTO CDMX,QRO,GDL '!I637</f>
        <v>2109.1942588669817</v>
      </c>
      <c r="F645" s="217" t="s">
        <v>284</v>
      </c>
    </row>
    <row r="646" spans="1:60" ht="14.25" customHeight="1">
      <c r="A646" s="212"/>
      <c r="B646" s="213" t="s">
        <v>1808</v>
      </c>
      <c r="C646" s="292" t="s">
        <v>1686</v>
      </c>
      <c r="D646" s="226" t="s">
        <v>1687</v>
      </c>
      <c r="E646" s="242">
        <f>'[5]COSTO CDMX,QRO,GDL '!I638</f>
        <v>2207.4688410913764</v>
      </c>
      <c r="F646" s="217" t="s">
        <v>284</v>
      </c>
    </row>
    <row r="647" spans="1:60" ht="14.25" customHeight="1">
      <c r="A647" s="212"/>
      <c r="B647" s="213" t="s">
        <v>1809</v>
      </c>
      <c r="C647" s="289"/>
      <c r="D647" s="226" t="s">
        <v>1689</v>
      </c>
      <c r="E647" s="242">
        <f>'[5]COSTO CDMX,QRO,GDL '!I639</f>
        <v>2210.5390165299737</v>
      </c>
      <c r="F647" s="217" t="s">
        <v>284</v>
      </c>
    </row>
    <row r="648" spans="1:60" ht="14.25" customHeight="1">
      <c r="A648" s="212"/>
      <c r="B648" s="213" t="s">
        <v>1810</v>
      </c>
      <c r="C648" s="289"/>
      <c r="D648" s="226" t="s">
        <v>1691</v>
      </c>
      <c r="E648" s="242">
        <f>'[5]COSTO CDMX,QRO,GDL '!I640</f>
        <v>2295.388653522351</v>
      </c>
      <c r="F648" s="217" t="s">
        <v>284</v>
      </c>
    </row>
    <row r="649" spans="1:60" ht="14.25" customHeight="1">
      <c r="A649" s="212"/>
      <c r="B649" s="213"/>
      <c r="C649" s="289"/>
      <c r="D649" s="226"/>
      <c r="E649" s="242"/>
      <c r="F649" s="296"/>
    </row>
    <row r="650" spans="1:60" ht="14.25" customHeight="1">
      <c r="A650" s="212"/>
      <c r="B650" s="213"/>
      <c r="C650" s="289"/>
      <c r="D650" s="226"/>
      <c r="E650" s="242"/>
      <c r="F650" s="296"/>
    </row>
    <row r="651" spans="1:60" ht="14.25" customHeight="1">
      <c r="A651" s="212"/>
      <c r="B651" s="213"/>
      <c r="C651" s="289"/>
      <c r="D651" s="226"/>
      <c r="E651" s="242"/>
      <c r="F651" s="296"/>
    </row>
    <row r="652" spans="1:60" ht="14.25" customHeight="1">
      <c r="A652" s="212"/>
      <c r="B652" s="213"/>
      <c r="C652" s="289"/>
      <c r="D652" s="226"/>
      <c r="E652" s="242"/>
      <c r="F652" s="296"/>
    </row>
    <row r="653" spans="1:60" ht="14.25" customHeight="1">
      <c r="A653" s="212"/>
      <c r="B653" s="213" t="s">
        <v>1811</v>
      </c>
      <c r="C653" s="289" t="s">
        <v>1806</v>
      </c>
      <c r="D653" s="226" t="s">
        <v>1693</v>
      </c>
      <c r="E653" s="242">
        <f>'[5]COSTO CDMX,QRO,GDL '!I645</f>
        <v>2547.3494378360756</v>
      </c>
      <c r="F653" s="217" t="s">
        <v>284</v>
      </c>
    </row>
    <row r="654" spans="1:60" ht="14.25" customHeight="1">
      <c r="A654" s="212"/>
      <c r="B654" s="213" t="s">
        <v>1812</v>
      </c>
      <c r="C654" s="289" t="s">
        <v>1683</v>
      </c>
      <c r="D654" s="226" t="s">
        <v>1695</v>
      </c>
      <c r="E654" s="242">
        <f>'[5]COSTO CDMX,QRO,GDL '!I646</f>
        <v>2701.7136766063772</v>
      </c>
      <c r="F654" s="217" t="s">
        <v>284</v>
      </c>
    </row>
    <row r="655" spans="1:60" ht="14.25" customHeight="1">
      <c r="A655" s="212"/>
      <c r="B655" s="213" t="s">
        <v>1813</v>
      </c>
      <c r="C655" s="292" t="s">
        <v>1697</v>
      </c>
      <c r="D655" s="226" t="s">
        <v>1698</v>
      </c>
      <c r="E655" s="242">
        <f>'[5]COSTO CDMX,QRO,GDL '!I647</f>
        <v>2755.8932431698445</v>
      </c>
      <c r="F655" s="217" t="s">
        <v>284</v>
      </c>
    </row>
    <row r="656" spans="1:60" ht="14.25" customHeight="1">
      <c r="A656" s="212"/>
      <c r="B656" s="213" t="s">
        <v>1814</v>
      </c>
      <c r="C656" s="289"/>
      <c r="D656" s="226" t="s">
        <v>1700</v>
      </c>
      <c r="E656" s="242">
        <f>'[5]COSTO CDMX,QRO,GDL '!I648</f>
        <v>3093.146334618797</v>
      </c>
      <c r="F656" s="217" t="s">
        <v>284</v>
      </c>
    </row>
    <row r="657" spans="1:6" ht="14.25" customHeight="1">
      <c r="A657" s="212"/>
      <c r="B657" s="213"/>
      <c r="C657" s="170"/>
      <c r="D657" s="226"/>
      <c r="E657" s="242"/>
      <c r="F657" s="296"/>
    </row>
    <row r="658" spans="1:6" ht="14.25" customHeight="1">
      <c r="A658" s="212"/>
      <c r="B658" s="221"/>
      <c r="C658" s="170"/>
      <c r="D658" s="226"/>
      <c r="E658" s="242"/>
      <c r="F658" s="280"/>
    </row>
    <row r="659" spans="1:6" ht="14.25" customHeight="1">
      <c r="A659" s="212"/>
      <c r="B659" s="221"/>
      <c r="C659" s="289"/>
      <c r="D659" s="226"/>
      <c r="E659" s="242"/>
      <c r="F659" s="296"/>
    </row>
    <row r="660" spans="1:6" ht="14.25" customHeight="1">
      <c r="A660" s="212"/>
      <c r="B660" s="221"/>
      <c r="C660" s="289"/>
      <c r="D660" s="226"/>
      <c r="E660" s="242"/>
      <c r="F660" s="296"/>
    </row>
    <row r="661" spans="1:6" ht="14.25" customHeight="1">
      <c r="A661" s="206"/>
      <c r="B661" s="207"/>
      <c r="C661" s="208" t="s">
        <v>1701</v>
      </c>
      <c r="D661" s="209"/>
      <c r="E661" s="209"/>
      <c r="F661" s="271"/>
    </row>
    <row r="662" spans="1:6" ht="14.25" customHeight="1">
      <c r="A662" s="212"/>
      <c r="B662" s="213" t="s">
        <v>1815</v>
      </c>
      <c r="C662" s="289" t="s">
        <v>1816</v>
      </c>
      <c r="D662" s="226" t="s">
        <v>1681</v>
      </c>
      <c r="E662" s="242">
        <f>'[5]COSTO CDMX,QRO,GDL '!I654</f>
        <v>2593.2001103459311</v>
      </c>
      <c r="F662" s="217" t="s">
        <v>284</v>
      </c>
    </row>
    <row r="663" spans="1:6" ht="14.25" customHeight="1">
      <c r="A663" s="212"/>
      <c r="B663" s="213" t="s">
        <v>1817</v>
      </c>
      <c r="C663" s="289" t="s">
        <v>1683</v>
      </c>
      <c r="D663" s="226" t="s">
        <v>1684</v>
      </c>
      <c r="E663" s="242">
        <f>'[5]COSTO CDMX,QRO,GDL '!I655</f>
        <v>2671.3707691911868</v>
      </c>
      <c r="F663" s="217" t="s">
        <v>284</v>
      </c>
    </row>
    <row r="664" spans="1:6" ht="14.25" customHeight="1">
      <c r="A664" s="212"/>
      <c r="B664" s="213" t="s">
        <v>1818</v>
      </c>
      <c r="C664" s="292" t="s">
        <v>1686</v>
      </c>
      <c r="D664" s="226" t="s">
        <v>1687</v>
      </c>
      <c r="E664" s="242">
        <f>'[5]COSTO CDMX,QRO,GDL '!I656</f>
        <v>2767.0214671434987</v>
      </c>
      <c r="F664" s="217" t="s">
        <v>284</v>
      </c>
    </row>
    <row r="665" spans="1:6" ht="14.25" customHeight="1">
      <c r="A665" s="212"/>
      <c r="B665" s="213" t="s">
        <v>1819</v>
      </c>
      <c r="C665" s="289"/>
      <c r="D665" s="226" t="s">
        <v>1689</v>
      </c>
      <c r="E665" s="242">
        <f>'[5]COSTO CDMX,QRO,GDL '!I657</f>
        <v>2770.0916425820947</v>
      </c>
      <c r="F665" s="217" t="s">
        <v>284</v>
      </c>
    </row>
    <row r="666" spans="1:6" ht="14.25" customHeight="1">
      <c r="A666" s="212"/>
      <c r="B666" s="213" t="s">
        <v>1820</v>
      </c>
      <c r="C666" s="289"/>
      <c r="D666" s="226" t="s">
        <v>1691</v>
      </c>
      <c r="E666" s="242">
        <f>'[5]COSTO CDMX,QRO,GDL '!I658</f>
        <v>2851.2678415935566</v>
      </c>
      <c r="F666" s="217" t="s">
        <v>284</v>
      </c>
    </row>
    <row r="667" spans="1:6" ht="14.25" customHeight="1">
      <c r="A667" s="212"/>
      <c r="B667" s="213"/>
      <c r="C667" s="289"/>
      <c r="D667" s="226"/>
      <c r="E667" s="242"/>
      <c r="F667" s="296"/>
    </row>
    <row r="668" spans="1:6" ht="14.25" customHeight="1">
      <c r="A668" s="212"/>
      <c r="B668" s="213"/>
      <c r="C668" s="289"/>
      <c r="D668" s="226"/>
      <c r="E668" s="242"/>
      <c r="F668" s="296"/>
    </row>
    <row r="669" spans="1:6" ht="14.25" customHeight="1">
      <c r="A669" s="212"/>
      <c r="B669" s="213"/>
      <c r="C669" s="289"/>
      <c r="D669" s="226"/>
      <c r="E669" s="242"/>
      <c r="F669" s="296"/>
    </row>
    <row r="670" spans="1:6" ht="14.25" customHeight="1">
      <c r="A670" s="212"/>
      <c r="B670" s="213"/>
      <c r="C670" s="289"/>
      <c r="D670" s="226"/>
      <c r="E670" s="242"/>
      <c r="F670" s="296"/>
    </row>
    <row r="671" spans="1:6" ht="14.25" customHeight="1">
      <c r="A671" s="212"/>
      <c r="B671" s="213" t="s">
        <v>1821</v>
      </c>
      <c r="C671" s="289" t="s">
        <v>1816</v>
      </c>
      <c r="D671" s="226" t="s">
        <v>1693</v>
      </c>
      <c r="E671" s="242">
        <f>'[5]COSTO CDMX,QRO,GDL '!I663</f>
        <v>3666.571558479056</v>
      </c>
      <c r="F671" s="217" t="s">
        <v>284</v>
      </c>
    </row>
    <row r="672" spans="1:6" ht="14.25" customHeight="1">
      <c r="A672" s="212"/>
      <c r="B672" s="213" t="s">
        <v>1822</v>
      </c>
      <c r="C672" s="289" t="s">
        <v>1683</v>
      </c>
      <c r="D672" s="226" t="s">
        <v>1695</v>
      </c>
      <c r="E672" s="242">
        <f>'[5]COSTO CDMX,QRO,GDL '!I664</f>
        <v>3888.5680551386613</v>
      </c>
      <c r="F672" s="217" t="s">
        <v>284</v>
      </c>
    </row>
    <row r="673" spans="1:6" ht="14.25" customHeight="1">
      <c r="A673" s="212"/>
      <c r="B673" s="213" t="s">
        <v>1823</v>
      </c>
      <c r="C673" s="292" t="s">
        <v>1697</v>
      </c>
      <c r="D673" s="226" t="s">
        <v>1698</v>
      </c>
      <c r="E673" s="242">
        <f>'[5]COSTO CDMX,QRO,GDL '!I665</f>
        <v>3942.7476217021285</v>
      </c>
      <c r="F673" s="217" t="s">
        <v>284</v>
      </c>
    </row>
    <row r="674" spans="1:6" ht="14.25" customHeight="1">
      <c r="A674" s="212"/>
      <c r="B674" s="213" t="s">
        <v>1824</v>
      </c>
      <c r="C674" s="289"/>
      <c r="D674" s="226" t="s">
        <v>1700</v>
      </c>
      <c r="E674" s="242">
        <f>'[5]COSTO CDMX,QRO,GDL '!I666</f>
        <v>4208.8976135548264</v>
      </c>
      <c r="F674" s="217" t="s">
        <v>284</v>
      </c>
    </row>
    <row r="675" spans="1:6" ht="14.25" customHeight="1">
      <c r="A675" s="212"/>
      <c r="B675" s="213"/>
      <c r="C675" s="170"/>
      <c r="D675" s="226"/>
      <c r="E675" s="242"/>
      <c r="F675" s="296"/>
    </row>
    <row r="676" spans="1:6" ht="14.25" customHeight="1">
      <c r="A676" s="212"/>
      <c r="B676" s="213"/>
      <c r="C676" s="170"/>
      <c r="D676" s="226"/>
      <c r="E676" s="242"/>
      <c r="F676" s="280"/>
    </row>
    <row r="677" spans="1:6" ht="14.25" customHeight="1">
      <c r="A677" s="212"/>
      <c r="B677" s="221"/>
      <c r="C677" s="289"/>
      <c r="D677" s="226"/>
      <c r="E677" s="242"/>
      <c r="F677" s="296"/>
    </row>
    <row r="678" spans="1:6" ht="14.25" customHeight="1">
      <c r="A678" s="212"/>
      <c r="B678" s="221"/>
      <c r="C678" s="289"/>
      <c r="D678" s="226"/>
      <c r="E678" s="242"/>
      <c r="F678" s="296"/>
    </row>
    <row r="679" spans="1:6" ht="14.25" customHeight="1">
      <c r="A679" s="245"/>
      <c r="B679" s="246"/>
      <c r="C679" s="208" t="s">
        <v>1724</v>
      </c>
      <c r="D679" s="247"/>
      <c r="E679" s="247"/>
      <c r="F679" s="298"/>
    </row>
    <row r="680" spans="1:6" ht="14.25" customHeight="1">
      <c r="A680" s="212"/>
      <c r="B680" s="213" t="s">
        <v>1825</v>
      </c>
      <c r="C680" s="289" t="s">
        <v>1826</v>
      </c>
      <c r="D680" s="226" t="s">
        <v>1681</v>
      </c>
      <c r="E680" s="242">
        <f>'[5]COSTO CDMX,QRO,GDL '!I672</f>
        <v>1388.0396975529584</v>
      </c>
      <c r="F680" s="217" t="s">
        <v>284</v>
      </c>
    </row>
    <row r="681" spans="1:6" ht="14.25" customHeight="1">
      <c r="A681" s="212"/>
      <c r="B681" s="213" t="s">
        <v>1827</v>
      </c>
      <c r="C681" s="289" t="s">
        <v>1683</v>
      </c>
      <c r="D681" s="226" t="s">
        <v>1684</v>
      </c>
      <c r="E681" s="242">
        <f>'[5]COSTO CDMX,QRO,GDL '!I673</f>
        <v>1469.7088687609921</v>
      </c>
      <c r="F681" s="217" t="s">
        <v>284</v>
      </c>
    </row>
    <row r="682" spans="1:6" ht="14.25" customHeight="1">
      <c r="A682" s="212"/>
      <c r="B682" s="213" t="s">
        <v>1828</v>
      </c>
      <c r="C682" s="292" t="s">
        <v>1686</v>
      </c>
      <c r="D682" s="226" t="s">
        <v>1687</v>
      </c>
      <c r="E682" s="242">
        <f>'[5]COSTO CDMX,QRO,GDL '!I674</f>
        <v>1567.9834509853865</v>
      </c>
      <c r="F682" s="217" t="s">
        <v>284</v>
      </c>
    </row>
    <row r="683" spans="1:6" ht="14.25" customHeight="1">
      <c r="A683" s="212"/>
      <c r="B683" s="213" t="s">
        <v>1829</v>
      </c>
      <c r="C683" s="289"/>
      <c r="D683" s="226" t="s">
        <v>1689</v>
      </c>
      <c r="E683" s="242">
        <f>'[5]COSTO CDMX,QRO,GDL '!I675</f>
        <v>1571.0536264239831</v>
      </c>
      <c r="F683" s="217" t="s">
        <v>284</v>
      </c>
    </row>
    <row r="684" spans="1:6" ht="14.25" customHeight="1">
      <c r="A684" s="212"/>
      <c r="B684" s="213" t="s">
        <v>1830</v>
      </c>
      <c r="C684" s="295"/>
      <c r="D684" s="226" t="s">
        <v>1691</v>
      </c>
      <c r="E684" s="242">
        <f>'[5]COSTO CDMX,QRO,GDL '!I676</f>
        <v>1655.9032634163614</v>
      </c>
      <c r="F684" s="217" t="s">
        <v>284</v>
      </c>
    </row>
    <row r="685" spans="1:6" ht="14.25" customHeight="1">
      <c r="A685" s="212"/>
      <c r="B685" s="213"/>
      <c r="C685" s="289"/>
      <c r="D685" s="226"/>
      <c r="E685" s="242"/>
      <c r="F685" s="296"/>
    </row>
    <row r="686" spans="1:6" ht="14.25" customHeight="1">
      <c r="A686" s="212"/>
      <c r="B686" s="213" t="s">
        <v>1831</v>
      </c>
      <c r="C686" s="289" t="s">
        <v>1826</v>
      </c>
      <c r="D686" s="226" t="s">
        <v>1693</v>
      </c>
      <c r="E686" s="242">
        <f>'[5]COSTO CDMX,QRO,GDL '!I678</f>
        <v>1907.8640477300864</v>
      </c>
      <c r="F686" s="217" t="s">
        <v>284</v>
      </c>
    </row>
    <row r="687" spans="1:6" ht="14.25" customHeight="1">
      <c r="A687" s="212"/>
      <c r="B687" s="213" t="s">
        <v>1832</v>
      </c>
      <c r="C687" s="289" t="s">
        <v>1683</v>
      </c>
      <c r="D687" s="226" t="s">
        <v>1695</v>
      </c>
      <c r="E687" s="242">
        <f>'[5]COSTO CDMX,QRO,GDL '!I679</f>
        <v>2062.2282865003872</v>
      </c>
      <c r="F687" s="217" t="s">
        <v>284</v>
      </c>
    </row>
    <row r="688" spans="1:6" ht="14.25" customHeight="1">
      <c r="A688" s="212"/>
      <c r="B688" s="213" t="s">
        <v>1833</v>
      </c>
      <c r="C688" s="292" t="s">
        <v>1697</v>
      </c>
      <c r="D688" s="226" t="s">
        <v>1698</v>
      </c>
      <c r="E688" s="242">
        <f>'[5]COSTO CDMX,QRO,GDL '!I680</f>
        <v>2116.4078530638549</v>
      </c>
      <c r="F688" s="217" t="s">
        <v>284</v>
      </c>
    </row>
    <row r="689" spans="1:6" ht="14.25" customHeight="1">
      <c r="A689" s="212"/>
      <c r="B689" s="213" t="s">
        <v>1834</v>
      </c>
      <c r="C689" s="289"/>
      <c r="D689" s="226" t="s">
        <v>1700</v>
      </c>
      <c r="E689" s="242">
        <f>'[5]COSTO CDMX,QRO,GDL '!I681</f>
        <v>2435.6010889916515</v>
      </c>
      <c r="F689" s="217" t="s">
        <v>284</v>
      </c>
    </row>
    <row r="690" spans="1:6" ht="14.25" customHeight="1">
      <c r="A690" s="212"/>
      <c r="B690" s="221"/>
      <c r="C690" s="289"/>
      <c r="D690" s="226"/>
      <c r="E690" s="242"/>
      <c r="F690" s="296"/>
    </row>
    <row r="691" spans="1:6" ht="14.25" customHeight="1">
      <c r="A691" s="245"/>
      <c r="B691" s="246"/>
      <c r="C691" s="208" t="s">
        <v>1735</v>
      </c>
      <c r="D691" s="247"/>
      <c r="E691" s="247"/>
      <c r="F691" s="298"/>
    </row>
    <row r="692" spans="1:6" ht="14.25" customHeight="1">
      <c r="A692" s="212"/>
      <c r="B692" s="213" t="s">
        <v>1835</v>
      </c>
      <c r="C692" s="289" t="s">
        <v>1836</v>
      </c>
      <c r="D692" s="226" t="s">
        <v>1681</v>
      </c>
      <c r="E692" s="242">
        <f>'[5]COSTO CDMX,QRO,GDL '!I684</f>
        <v>2212.1769882500416</v>
      </c>
      <c r="F692" s="217" t="s">
        <v>284</v>
      </c>
    </row>
    <row r="693" spans="1:6" ht="14.25" customHeight="1">
      <c r="A693" s="212"/>
      <c r="B693" s="213" t="s">
        <v>1837</v>
      </c>
      <c r="C693" s="289" t="s">
        <v>1683</v>
      </c>
      <c r="D693" s="226" t="s">
        <v>1684</v>
      </c>
      <c r="E693" s="242">
        <f>'[5]COSTO CDMX,QRO,GDL '!I685</f>
        <v>2301.5148840731904</v>
      </c>
      <c r="F693" s="217" t="s">
        <v>284</v>
      </c>
    </row>
    <row r="694" spans="1:6" ht="14.25" customHeight="1">
      <c r="A694" s="212"/>
      <c r="B694" s="213" t="s">
        <v>1838</v>
      </c>
      <c r="C694" s="292" t="s">
        <v>1686</v>
      </c>
      <c r="D694" s="226" t="s">
        <v>1687</v>
      </c>
      <c r="E694" s="242">
        <f>'[5]COSTO CDMX,QRO,GDL '!I686</f>
        <v>2373.6782646608831</v>
      </c>
      <c r="F694" s="217" t="s">
        <v>284</v>
      </c>
    </row>
    <row r="695" spans="1:6" ht="14.25" customHeight="1">
      <c r="A695" s="212"/>
      <c r="B695" s="213" t="s">
        <v>1839</v>
      </c>
      <c r="C695" s="289"/>
      <c r="D695" s="226" t="s">
        <v>1689</v>
      </c>
      <c r="E695" s="242">
        <f>'[5]COSTO CDMX,QRO,GDL '!I687</f>
        <v>2451.4904421634628</v>
      </c>
      <c r="F695" s="217" t="s">
        <v>284</v>
      </c>
    </row>
    <row r="696" spans="1:6" ht="14.25" customHeight="1">
      <c r="A696" s="212"/>
      <c r="B696" s="213" t="s">
        <v>1840</v>
      </c>
      <c r="C696" s="295"/>
      <c r="D696" s="226" t="s">
        <v>1691</v>
      </c>
      <c r="E696" s="242">
        <f>'[5]COSTO CDMX,QRO,GDL '!I688</f>
        <v>2507.1115382473263</v>
      </c>
      <c r="F696" s="217" t="s">
        <v>284</v>
      </c>
    </row>
    <row r="697" spans="1:6" ht="14.25" customHeight="1">
      <c r="A697" s="212"/>
      <c r="B697" s="213"/>
      <c r="C697" s="289"/>
      <c r="D697" s="226"/>
      <c r="E697" s="242"/>
      <c r="F697" s="296"/>
    </row>
    <row r="698" spans="1:6" ht="14.25" customHeight="1">
      <c r="A698" s="212"/>
      <c r="B698" s="213" t="s">
        <v>1841</v>
      </c>
      <c r="C698" s="289" t="s">
        <v>1836</v>
      </c>
      <c r="D698" s="226" t="s">
        <v>1693</v>
      </c>
      <c r="E698" s="242">
        <f>'[5]COSTO CDMX,QRO,GDL '!I690</f>
        <v>3438.8872146878975</v>
      </c>
      <c r="F698" s="217" t="s">
        <v>284</v>
      </c>
    </row>
    <row r="699" spans="1:6" ht="14.25" customHeight="1">
      <c r="A699" s="212"/>
      <c r="B699" s="213" t="s">
        <v>1842</v>
      </c>
      <c r="C699" s="289" t="s">
        <v>1683</v>
      </c>
      <c r="D699" s="226" t="s">
        <v>1695</v>
      </c>
      <c r="E699" s="242">
        <f>'[5]COSTO CDMX,QRO,GDL '!I691</f>
        <v>3692.5974965845908</v>
      </c>
      <c r="F699" s="217" t="s">
        <v>284</v>
      </c>
    </row>
    <row r="700" spans="1:6" ht="14.25" customHeight="1">
      <c r="A700" s="212"/>
      <c r="B700" s="213" t="s">
        <v>1843</v>
      </c>
      <c r="C700" s="292" t="s">
        <v>1697</v>
      </c>
      <c r="D700" s="226" t="s">
        <v>1698</v>
      </c>
      <c r="E700" s="242">
        <f>'[5]COSTO CDMX,QRO,GDL '!I692</f>
        <v>3754.5170012285525</v>
      </c>
      <c r="F700" s="217" t="s">
        <v>284</v>
      </c>
    </row>
    <row r="701" spans="1:6" ht="14.25" customHeight="1">
      <c r="A701" s="212"/>
      <c r="B701" s="213" t="s">
        <v>1844</v>
      </c>
      <c r="C701" s="289"/>
      <c r="D701" s="226" t="s">
        <v>1700</v>
      </c>
      <c r="E701" s="242">
        <f>'[5]COSTO CDMX,QRO,GDL '!I693</f>
        <v>4038.048585607457</v>
      </c>
      <c r="F701" s="217" t="s">
        <v>284</v>
      </c>
    </row>
    <row r="702" spans="1:6" ht="14.25" customHeight="1">
      <c r="A702" s="212"/>
      <c r="B702" s="221"/>
      <c r="C702" s="289"/>
      <c r="D702" s="226"/>
      <c r="E702" s="227"/>
      <c r="F702" s="296"/>
    </row>
    <row r="703" spans="1:6" ht="14.25" customHeight="1">
      <c r="A703" s="212"/>
      <c r="B703" s="221"/>
      <c r="C703" s="348"/>
      <c r="D703" s="226"/>
      <c r="E703" s="227"/>
      <c r="F703" s="296"/>
    </row>
    <row r="704" spans="1:6" ht="14.25" customHeight="1">
      <c r="A704" s="212"/>
      <c r="B704" s="221"/>
      <c r="C704" s="348"/>
      <c r="D704" s="226"/>
      <c r="E704" s="227"/>
      <c r="F704" s="296"/>
    </row>
    <row r="705" spans="1:60" s="184" customFormat="1" ht="15" customHeight="1">
      <c r="A705" s="232" t="s">
        <v>2013</v>
      </c>
      <c r="B705" s="233"/>
      <c r="C705" s="1524" t="s">
        <v>2300</v>
      </c>
      <c r="D705" s="232"/>
      <c r="E705" s="235"/>
      <c r="F705" s="236"/>
      <c r="G705" s="183"/>
      <c r="H705" s="183"/>
      <c r="I705" s="183"/>
      <c r="J705" s="183"/>
      <c r="K705" s="183"/>
      <c r="L705" s="183"/>
      <c r="M705" s="183"/>
      <c r="N705" s="190"/>
      <c r="O705" s="190"/>
      <c r="P705" s="190"/>
      <c r="Q705" s="190"/>
      <c r="R705" s="190"/>
      <c r="S705" s="190"/>
      <c r="T705" s="190"/>
      <c r="U705" s="190"/>
      <c r="V705" s="190"/>
      <c r="W705" s="190"/>
      <c r="X705" s="190"/>
      <c r="Y705" s="190"/>
      <c r="Z705" s="190"/>
      <c r="AA705" s="190"/>
      <c r="AB705" s="190"/>
      <c r="AC705" s="190"/>
      <c r="AD705" s="190"/>
      <c r="AE705" s="190"/>
      <c r="AF705" s="190"/>
      <c r="AG705" s="190"/>
      <c r="AH705" s="190"/>
      <c r="AI705" s="190"/>
      <c r="AJ705" s="190"/>
      <c r="AK705" s="190"/>
      <c r="AL705" s="190"/>
      <c r="AM705" s="190"/>
      <c r="AN705" s="190"/>
      <c r="AO705" s="190"/>
      <c r="AP705" s="190"/>
      <c r="AQ705" s="190"/>
      <c r="AR705" s="190"/>
      <c r="AS705" s="190"/>
      <c r="AT705" s="190"/>
      <c r="AU705" s="190"/>
      <c r="AV705" s="190"/>
      <c r="AW705" s="190"/>
      <c r="AX705" s="190"/>
      <c r="AY705" s="190"/>
      <c r="AZ705" s="190"/>
      <c r="BA705" s="190"/>
      <c r="BB705" s="190"/>
      <c r="BC705" s="190"/>
      <c r="BD705" s="190"/>
      <c r="BE705" s="190"/>
      <c r="BF705" s="190"/>
      <c r="BG705" s="190"/>
      <c r="BH705" s="190"/>
    </row>
    <row r="706" spans="1:60" s="198" customFormat="1" ht="15" customHeight="1">
      <c r="A706" s="237" t="s">
        <v>1669</v>
      </c>
      <c r="B706" s="238"/>
      <c r="C706" s="1525"/>
      <c r="D706" s="285"/>
      <c r="E706" s="286"/>
      <c r="F706" s="287"/>
      <c r="G706" s="196"/>
      <c r="H706" s="196"/>
      <c r="I706" s="196"/>
      <c r="J706" s="196"/>
      <c r="K706" s="196"/>
      <c r="L706" s="196"/>
      <c r="M706" s="196"/>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7"/>
      <c r="AR706" s="197"/>
      <c r="AS706" s="197"/>
      <c r="AT706" s="197"/>
      <c r="AU706" s="197"/>
      <c r="AV706" s="197"/>
      <c r="AW706" s="197"/>
      <c r="AX706" s="197"/>
      <c r="AY706" s="197"/>
      <c r="AZ706" s="197"/>
      <c r="BA706" s="197"/>
      <c r="BB706" s="197"/>
      <c r="BC706" s="197"/>
      <c r="BD706" s="197"/>
      <c r="BE706" s="197"/>
      <c r="BF706" s="197"/>
      <c r="BG706" s="197"/>
      <c r="BH706" s="197"/>
    </row>
    <row r="707" spans="1:60" s="204" customFormat="1">
      <c r="A707" s="199" t="s">
        <v>512</v>
      </c>
      <c r="B707" s="200" t="s">
        <v>513</v>
      </c>
      <c r="C707" s="201" t="s">
        <v>514</v>
      </c>
      <c r="D707" s="199" t="s">
        <v>515</v>
      </c>
      <c r="E707" s="202" t="s">
        <v>516</v>
      </c>
      <c r="F707" s="203" t="s">
        <v>1670</v>
      </c>
      <c r="G707" s="184"/>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c r="AS707" s="205"/>
      <c r="AT707" s="205"/>
      <c r="AU707" s="205"/>
      <c r="AV707" s="205"/>
      <c r="AW707" s="205"/>
      <c r="AX707" s="205"/>
      <c r="AY707" s="205"/>
      <c r="AZ707" s="205"/>
      <c r="BA707" s="205"/>
      <c r="BB707" s="205"/>
      <c r="BC707" s="205"/>
      <c r="BD707" s="205"/>
      <c r="BE707" s="205"/>
      <c r="BF707" s="205"/>
      <c r="BG707" s="205"/>
      <c r="BH707" s="205"/>
    </row>
    <row r="708" spans="1:60" ht="14.25" customHeight="1">
      <c r="A708" s="206"/>
      <c r="B708" s="207"/>
      <c r="C708" s="208" t="s">
        <v>1846</v>
      </c>
      <c r="D708" s="209"/>
      <c r="E708" s="210"/>
      <c r="F708" s="211"/>
    </row>
    <row r="709" spans="1:60" ht="14.25" customHeight="1">
      <c r="A709" s="212"/>
      <c r="B709" s="213" t="s">
        <v>1847</v>
      </c>
      <c r="C709" s="289" t="s">
        <v>1848</v>
      </c>
      <c r="D709" s="226" t="s">
        <v>1681</v>
      </c>
      <c r="E709" s="242">
        <f>'[5]COSTO CDMX,QRO,GDL '!I701</f>
        <v>2877.7997697488768</v>
      </c>
      <c r="F709" s="217" t="s">
        <v>284</v>
      </c>
    </row>
    <row r="710" spans="1:60" ht="14.25" customHeight="1">
      <c r="A710" s="212"/>
      <c r="B710" s="213" t="s">
        <v>1849</v>
      </c>
      <c r="C710" s="289" t="s">
        <v>1683</v>
      </c>
      <c r="D710" s="226" t="s">
        <v>1684</v>
      </c>
      <c r="E710" s="242">
        <f>'[5]COSTO CDMX,QRO,GDL '!I702</f>
        <v>3027.6370104828638</v>
      </c>
      <c r="F710" s="217" t="s">
        <v>284</v>
      </c>
    </row>
    <row r="711" spans="1:60" ht="14.25" customHeight="1">
      <c r="A711" s="212"/>
      <c r="B711" s="213" t="s">
        <v>1850</v>
      </c>
      <c r="C711" s="292" t="s">
        <v>1686</v>
      </c>
      <c r="D711" s="226" t="s">
        <v>1687</v>
      </c>
      <c r="E711" s="242">
        <f>'[5]COSTO CDMX,QRO,GDL '!I703</f>
        <v>3199.2612896189571</v>
      </c>
      <c r="F711" s="217" t="s">
        <v>284</v>
      </c>
    </row>
    <row r="712" spans="1:60" ht="14.25" customHeight="1">
      <c r="A712" s="212"/>
      <c r="B712" s="213" t="s">
        <v>1851</v>
      </c>
      <c r="C712" s="289"/>
      <c r="D712" s="226" t="s">
        <v>1689</v>
      </c>
      <c r="E712" s="242">
        <f>'[5]COSTO CDMX,QRO,GDL '!I704</f>
        <v>3283.0554844283051</v>
      </c>
      <c r="F712" s="217" t="s">
        <v>284</v>
      </c>
    </row>
    <row r="713" spans="1:60" ht="14.25" customHeight="1">
      <c r="A713" s="212"/>
      <c r="B713" s="213" t="s">
        <v>1852</v>
      </c>
      <c r="C713" s="289"/>
      <c r="D713" s="226" t="s">
        <v>1691</v>
      </c>
      <c r="E713" s="242">
        <f>'[5]COSTO CDMX,QRO,GDL '!I705</f>
        <v>3481.7878675015713</v>
      </c>
      <c r="F713" s="217" t="s">
        <v>284</v>
      </c>
    </row>
    <row r="714" spans="1:60" ht="14.25" customHeight="1">
      <c r="A714" s="212"/>
      <c r="B714" s="213"/>
      <c r="C714" s="289"/>
      <c r="D714" s="226"/>
      <c r="E714" s="242"/>
      <c r="F714" s="296"/>
    </row>
    <row r="715" spans="1:60" ht="14.25" customHeight="1">
      <c r="A715" s="212"/>
      <c r="B715" s="213"/>
      <c r="C715" s="289"/>
      <c r="D715" s="226"/>
      <c r="E715" s="242"/>
      <c r="F715" s="296"/>
    </row>
    <row r="716" spans="1:60" ht="14.25" customHeight="1">
      <c r="A716" s="212"/>
      <c r="B716" s="213"/>
      <c r="C716" s="289"/>
      <c r="D716" s="226"/>
      <c r="E716" s="242"/>
      <c r="F716" s="296"/>
    </row>
    <row r="717" spans="1:60" ht="14.25" customHeight="1">
      <c r="A717" s="212"/>
      <c r="B717" s="213"/>
      <c r="C717" s="289"/>
      <c r="D717" s="226"/>
      <c r="E717" s="242"/>
      <c r="F717" s="296"/>
    </row>
    <row r="718" spans="1:60" ht="14.25" customHeight="1">
      <c r="A718" s="212"/>
      <c r="B718" s="213" t="s">
        <v>1853</v>
      </c>
      <c r="C718" s="289" t="s">
        <v>1848</v>
      </c>
      <c r="D718" s="226" t="s">
        <v>1693</v>
      </c>
      <c r="E718" s="242">
        <f>'[5]COSTO CDMX,QRO,GDL '!I710</f>
        <v>3718.6692867359316</v>
      </c>
      <c r="F718" s="217" t="s">
        <v>284</v>
      </c>
    </row>
    <row r="719" spans="1:60" ht="14.25" customHeight="1">
      <c r="A719" s="212"/>
      <c r="B719" s="213" t="s">
        <v>1854</v>
      </c>
      <c r="C719" s="289" t="s">
        <v>1683</v>
      </c>
      <c r="D719" s="226" t="s">
        <v>1695</v>
      </c>
      <c r="E719" s="242">
        <f>'[5]COSTO CDMX,QRO,GDL '!I711</f>
        <v>4043.5038188867411</v>
      </c>
      <c r="F719" s="217" t="s">
        <v>284</v>
      </c>
    </row>
    <row r="720" spans="1:60" ht="14.25" customHeight="1">
      <c r="A720" s="212"/>
      <c r="B720" s="213" t="s">
        <v>1855</v>
      </c>
      <c r="C720" s="292" t="s">
        <v>1697</v>
      </c>
      <c r="D720" s="226" t="s">
        <v>1698</v>
      </c>
      <c r="E720" s="242">
        <f>'[5]COSTO CDMX,QRO,GDL '!I712</f>
        <v>4119.0308718131755</v>
      </c>
      <c r="F720" s="217" t="s">
        <v>284</v>
      </c>
    </row>
    <row r="721" spans="1:6" ht="14.25" customHeight="1">
      <c r="A721" s="212"/>
      <c r="B721" s="213" t="s">
        <v>1856</v>
      </c>
      <c r="C721" s="289"/>
      <c r="D721" s="226" t="s">
        <v>1700</v>
      </c>
      <c r="E721" s="242">
        <f>'[5]COSTO CDMX,QRO,GDL '!I713</f>
        <v>4348.9863935725107</v>
      </c>
      <c r="F721" s="217" t="s">
        <v>284</v>
      </c>
    </row>
    <row r="722" spans="1:6" ht="14.25" customHeight="1">
      <c r="A722" s="212"/>
      <c r="B722" s="213"/>
      <c r="C722" s="170"/>
      <c r="D722" s="226"/>
      <c r="E722" s="242"/>
      <c r="F722" s="296"/>
    </row>
    <row r="723" spans="1:6" ht="14.25" customHeight="1">
      <c r="A723" s="212"/>
      <c r="B723" s="221"/>
      <c r="C723" s="170"/>
      <c r="D723" s="226"/>
      <c r="E723" s="242"/>
      <c r="F723" s="280"/>
    </row>
    <row r="724" spans="1:6" ht="14.25" customHeight="1">
      <c r="A724" s="212"/>
      <c r="B724" s="221"/>
      <c r="C724" s="289"/>
      <c r="D724" s="226"/>
      <c r="E724" s="242"/>
      <c r="F724" s="296"/>
    </row>
    <row r="725" spans="1:6" ht="14.25" customHeight="1">
      <c r="A725" s="212"/>
      <c r="B725" s="221"/>
      <c r="C725" s="289"/>
      <c r="D725" s="226"/>
      <c r="E725" s="242"/>
      <c r="F725" s="296"/>
    </row>
    <row r="726" spans="1:6" ht="14.25" customHeight="1">
      <c r="A726" s="206"/>
      <c r="B726" s="207"/>
      <c r="C726" s="208" t="s">
        <v>1857</v>
      </c>
      <c r="D726" s="209"/>
      <c r="E726" s="209"/>
      <c r="F726" s="271"/>
    </row>
    <row r="727" spans="1:6" ht="14.25" customHeight="1">
      <c r="A727" s="212"/>
      <c r="B727" s="213" t="s">
        <v>1858</v>
      </c>
      <c r="C727" s="289" t="s">
        <v>1859</v>
      </c>
      <c r="D727" s="226" t="s">
        <v>1681</v>
      </c>
      <c r="E727" s="242">
        <f>'[5]COSTO CDMX,QRO,GDL '!I719</f>
        <v>3419.9483735954414</v>
      </c>
      <c r="F727" s="217" t="s">
        <v>284</v>
      </c>
    </row>
    <row r="728" spans="1:6" ht="14.25" customHeight="1">
      <c r="A728" s="212"/>
      <c r="B728" s="213" t="s">
        <v>1860</v>
      </c>
      <c r="C728" s="289" t="s">
        <v>1683</v>
      </c>
      <c r="D728" s="226" t="s">
        <v>1684</v>
      </c>
      <c r="E728" s="242">
        <f>'[5]COSTO CDMX,QRO,GDL '!I720</f>
        <v>3575.6433385620376</v>
      </c>
      <c r="F728" s="217" t="s">
        <v>284</v>
      </c>
    </row>
    <row r="729" spans="1:6" ht="14.25" customHeight="1">
      <c r="A729" s="212"/>
      <c r="B729" s="213" t="s">
        <v>1861</v>
      </c>
      <c r="C729" s="292" t="s">
        <v>1686</v>
      </c>
      <c r="D729" s="226" t="s">
        <v>1687</v>
      </c>
      <c r="E729" s="242">
        <f>'[5]COSTO CDMX,QRO,GDL '!I721</f>
        <v>3733.7411113738394</v>
      </c>
      <c r="F729" s="217" t="s">
        <v>284</v>
      </c>
    </row>
    <row r="730" spans="1:6" ht="14.25" customHeight="1">
      <c r="A730" s="212"/>
      <c r="B730" s="213" t="s">
        <v>1862</v>
      </c>
      <c r="C730" s="289"/>
      <c r="D730" s="226" t="s">
        <v>1689</v>
      </c>
      <c r="E730" s="242">
        <f>'[5]COSTO CDMX,QRO,GDL '!I722</f>
        <v>3806.5077372608821</v>
      </c>
      <c r="F730" s="217" t="s">
        <v>284</v>
      </c>
    </row>
    <row r="731" spans="1:6" ht="14.25" customHeight="1">
      <c r="A731" s="212"/>
      <c r="B731" s="213" t="s">
        <v>1863</v>
      </c>
      <c r="C731" s="289"/>
      <c r="D731" s="226" t="s">
        <v>1691</v>
      </c>
      <c r="E731" s="242">
        <f>'[5]COSTO CDMX,QRO,GDL '!I723</f>
        <v>3990.7140390490645</v>
      </c>
      <c r="F731" s="217" t="s">
        <v>284</v>
      </c>
    </row>
    <row r="732" spans="1:6" ht="14.25" customHeight="1">
      <c r="A732" s="212"/>
      <c r="B732" s="213"/>
      <c r="C732" s="289"/>
      <c r="D732" s="226"/>
      <c r="E732" s="242"/>
      <c r="F732" s="296"/>
    </row>
    <row r="733" spans="1:6" ht="14.25" customHeight="1">
      <c r="A733" s="212"/>
      <c r="B733" s="213"/>
      <c r="C733" s="289"/>
      <c r="D733" s="226"/>
      <c r="E733" s="242"/>
      <c r="F733" s="296"/>
    </row>
    <row r="734" spans="1:6" ht="14.25" customHeight="1">
      <c r="A734" s="212"/>
      <c r="B734" s="213"/>
      <c r="C734" s="289"/>
      <c r="D734" s="226"/>
      <c r="E734" s="242"/>
      <c r="F734" s="296"/>
    </row>
    <row r="735" spans="1:6" ht="14.25" customHeight="1">
      <c r="A735" s="212"/>
      <c r="B735" s="213"/>
      <c r="C735" s="289"/>
      <c r="D735" s="226"/>
      <c r="E735" s="242"/>
      <c r="F735" s="296"/>
    </row>
    <row r="736" spans="1:6" ht="14.25" customHeight="1">
      <c r="A736" s="212"/>
      <c r="B736" s="213" t="s">
        <v>1864</v>
      </c>
      <c r="C736" s="289" t="s">
        <v>1859</v>
      </c>
      <c r="D736" s="226" t="s">
        <v>1693</v>
      </c>
      <c r="E736" s="242">
        <f>'[5]COSTO CDMX,QRO,GDL '!I728</f>
        <v>4780.0936662170334</v>
      </c>
      <c r="F736" s="217" t="s">
        <v>284</v>
      </c>
    </row>
    <row r="737" spans="1:6" ht="14.25" customHeight="1">
      <c r="A737" s="212"/>
      <c r="B737" s="213" t="s">
        <v>1865</v>
      </c>
      <c r="C737" s="289" t="s">
        <v>1683</v>
      </c>
      <c r="D737" s="226" t="s">
        <v>1695</v>
      </c>
      <c r="E737" s="242">
        <f>'[5]COSTO CDMX,QRO,GDL '!I729</f>
        <v>5158.3123036258276</v>
      </c>
      <c r="F737" s="217" t="s">
        <v>284</v>
      </c>
    </row>
    <row r="738" spans="1:6" ht="14.25" customHeight="1">
      <c r="A738" s="212"/>
      <c r="B738" s="213" t="s">
        <v>1866</v>
      </c>
      <c r="C738" s="292" t="s">
        <v>1697</v>
      </c>
      <c r="D738" s="226" t="s">
        <v>1698</v>
      </c>
      <c r="E738" s="242">
        <f>'[5]COSTO CDMX,QRO,GDL '!I730</f>
        <v>5222.8117876299557</v>
      </c>
      <c r="F738" s="217" t="s">
        <v>284</v>
      </c>
    </row>
    <row r="739" spans="1:6" ht="14.25" customHeight="1">
      <c r="A739" s="212"/>
      <c r="B739" s="213" t="s">
        <v>1867</v>
      </c>
      <c r="C739" s="289"/>
      <c r="D739" s="226" t="s">
        <v>1700</v>
      </c>
      <c r="E739" s="242">
        <f>'[5]COSTO CDMX,QRO,GDL '!I731</f>
        <v>5437.5882799443343</v>
      </c>
      <c r="F739" s="217" t="s">
        <v>284</v>
      </c>
    </row>
    <row r="740" spans="1:6" ht="14.25" customHeight="1">
      <c r="A740" s="212"/>
      <c r="B740" s="213"/>
      <c r="C740" s="170"/>
      <c r="D740" s="226"/>
      <c r="E740" s="242"/>
      <c r="F740" s="296"/>
    </row>
    <row r="741" spans="1:6" ht="14.25" customHeight="1">
      <c r="A741" s="212"/>
      <c r="B741" s="213"/>
      <c r="C741" s="170"/>
      <c r="D741" s="226"/>
      <c r="E741" s="242"/>
      <c r="F741" s="280"/>
    </row>
    <row r="742" spans="1:6" ht="14.25" customHeight="1">
      <c r="A742" s="212"/>
      <c r="B742" s="221"/>
      <c r="C742" s="289"/>
      <c r="D742" s="226"/>
      <c r="E742" s="242"/>
      <c r="F742" s="296"/>
    </row>
    <row r="743" spans="1:6" ht="14.25" customHeight="1">
      <c r="A743" s="212"/>
      <c r="B743" s="221"/>
      <c r="C743" s="289"/>
      <c r="D743" s="226"/>
      <c r="E743" s="242"/>
      <c r="F743" s="296"/>
    </row>
    <row r="744" spans="1:6" ht="14.25" customHeight="1">
      <c r="A744" s="206"/>
      <c r="B744" s="207"/>
      <c r="C744" s="208" t="s">
        <v>1712</v>
      </c>
      <c r="D744" s="209"/>
      <c r="E744" s="209"/>
      <c r="F744" s="271"/>
    </row>
    <row r="745" spans="1:6" ht="14.25" customHeight="1">
      <c r="A745" s="212"/>
      <c r="B745" s="213" t="s">
        <v>1868</v>
      </c>
      <c r="C745" s="289" t="s">
        <v>1869</v>
      </c>
      <c r="D745" s="226" t="s">
        <v>1693</v>
      </c>
      <c r="E745" s="242">
        <f>'[5]COSTO CDMX,QRO,GDL '!I737</f>
        <v>4467.2908781649412</v>
      </c>
      <c r="F745" s="217" t="s">
        <v>284</v>
      </c>
    </row>
    <row r="746" spans="1:6" ht="14.25" customHeight="1">
      <c r="A746" s="212"/>
      <c r="B746" s="213" t="s">
        <v>1870</v>
      </c>
      <c r="C746" s="289" t="s">
        <v>1683</v>
      </c>
      <c r="D746" s="226" t="s">
        <v>1695</v>
      </c>
      <c r="E746" s="242">
        <f>'[5]COSTO CDMX,QRO,GDL '!I738</f>
        <v>4560.0636770351812</v>
      </c>
      <c r="F746" s="217" t="s">
        <v>284</v>
      </c>
    </row>
    <row r="747" spans="1:6" ht="14.25" customHeight="1">
      <c r="A747" s="212"/>
      <c r="B747" s="213" t="s">
        <v>1871</v>
      </c>
      <c r="C747" s="292" t="s">
        <v>1697</v>
      </c>
      <c r="D747" s="226" t="s">
        <v>1698</v>
      </c>
      <c r="E747" s="242">
        <f>'[5]COSTO CDMX,QRO,GDL '!I739</f>
        <v>4580.7035119165021</v>
      </c>
      <c r="F747" s="217" t="s">
        <v>284</v>
      </c>
    </row>
    <row r="748" spans="1:6" ht="14.25" customHeight="1">
      <c r="A748" s="294"/>
      <c r="B748" s="213" t="s">
        <v>1872</v>
      </c>
      <c r="C748" s="289"/>
      <c r="D748" s="226" t="s">
        <v>1700</v>
      </c>
      <c r="E748" s="242">
        <f>'[5]COSTO CDMX,QRO,GDL '!I740</f>
        <v>4730.1826276625243</v>
      </c>
      <c r="F748" s="217" t="s">
        <v>284</v>
      </c>
    </row>
    <row r="749" spans="1:6" ht="14.25" customHeight="1">
      <c r="A749" s="212"/>
      <c r="B749" s="213"/>
      <c r="C749" s="295"/>
      <c r="D749" s="226"/>
      <c r="E749" s="242"/>
      <c r="F749" s="296"/>
    </row>
    <row r="750" spans="1:6" ht="14.25" customHeight="1">
      <c r="A750" s="294"/>
      <c r="B750" s="213"/>
      <c r="D750" s="226"/>
      <c r="E750" s="242"/>
      <c r="F750" s="296"/>
    </row>
    <row r="751" spans="1:6" ht="14.25" customHeight="1">
      <c r="A751" s="212"/>
      <c r="B751" s="213"/>
      <c r="C751" s="289"/>
      <c r="D751" s="226"/>
      <c r="E751" s="242"/>
      <c r="F751" s="296"/>
    </row>
    <row r="752" spans="1:6" ht="14.25" customHeight="1">
      <c r="A752" s="212"/>
      <c r="B752" s="221"/>
      <c r="C752" s="289"/>
      <c r="D752" s="226"/>
      <c r="E752" s="242"/>
      <c r="F752" s="296"/>
    </row>
    <row r="753" spans="1:60" ht="14.25" customHeight="1">
      <c r="A753" s="212"/>
      <c r="B753" s="221"/>
      <c r="C753" s="289"/>
      <c r="D753" s="226"/>
      <c r="E753" s="242"/>
      <c r="F753" s="296"/>
    </row>
    <row r="754" spans="1:60" ht="14.25" customHeight="1">
      <c r="A754" s="245"/>
      <c r="B754" s="246"/>
      <c r="C754" s="208" t="s">
        <v>1873</v>
      </c>
      <c r="D754" s="247"/>
      <c r="E754" s="248"/>
      <c r="F754" s="298"/>
    </row>
    <row r="755" spans="1:60" ht="14.25" customHeight="1">
      <c r="A755" s="212"/>
      <c r="B755" s="213" t="s">
        <v>1718</v>
      </c>
      <c r="C755" s="289" t="s">
        <v>1874</v>
      </c>
      <c r="D755" s="226" t="s">
        <v>1693</v>
      </c>
      <c r="E755" s="349">
        <f>'[5]COSTO CDMX,QRO,GDL '!$I$747</f>
        <v>6081.8713450292398</v>
      </c>
      <c r="F755" s="259" t="s">
        <v>284</v>
      </c>
    </row>
    <row r="756" spans="1:60" ht="14.25" customHeight="1">
      <c r="A756" s="212"/>
      <c r="B756" s="213" t="s">
        <v>1720</v>
      </c>
      <c r="C756" s="289" t="s">
        <v>1683</v>
      </c>
      <c r="D756" s="226" t="s">
        <v>1695</v>
      </c>
      <c r="E756" s="349">
        <f>'[5]COSTO CDMX,QRO,GDL '!$I$748</f>
        <v>7907.4320980878156</v>
      </c>
      <c r="F756" s="259" t="s">
        <v>284</v>
      </c>
    </row>
    <row r="757" spans="1:60" ht="14.25" customHeight="1">
      <c r="A757" s="212"/>
      <c r="B757" s="213" t="s">
        <v>1721</v>
      </c>
      <c r="C757" s="292" t="s">
        <v>1697</v>
      </c>
      <c r="D757" s="226" t="s">
        <v>1698</v>
      </c>
      <c r="E757" s="349">
        <f>'[5]COSTO CDMX,QRO,GDL '!$I$749</f>
        <v>7928.0719329691356</v>
      </c>
      <c r="F757" s="259" t="s">
        <v>284</v>
      </c>
    </row>
    <row r="758" spans="1:60" ht="14.25" customHeight="1">
      <c r="A758" s="212"/>
      <c r="B758" s="213" t="s">
        <v>1723</v>
      </c>
      <c r="C758" s="299"/>
      <c r="D758" s="226" t="s">
        <v>1700</v>
      </c>
      <c r="E758" s="349">
        <f>'[5]COSTO CDMX,QRO,GDL '!$I$750</f>
        <v>8077.5510487151587</v>
      </c>
      <c r="F758" s="259" t="s">
        <v>284</v>
      </c>
    </row>
    <row r="759" spans="1:60" ht="14.25" customHeight="1">
      <c r="A759" s="212"/>
      <c r="B759" s="213"/>
      <c r="C759" s="295"/>
      <c r="D759" s="226"/>
      <c r="E759" s="349"/>
      <c r="F759" s="296"/>
    </row>
    <row r="760" spans="1:60" ht="14.25" customHeight="1">
      <c r="A760" s="212"/>
      <c r="B760" s="213"/>
      <c r="C760" s="295"/>
      <c r="D760" s="226"/>
      <c r="E760" s="349"/>
      <c r="F760" s="284"/>
    </row>
    <row r="761" spans="1:60" ht="14.25" customHeight="1">
      <c r="A761" s="212"/>
      <c r="B761" s="213"/>
      <c r="C761" s="295"/>
      <c r="D761" s="226"/>
      <c r="E761" s="349"/>
      <c r="F761" s="284"/>
    </row>
    <row r="762" spans="1:60" ht="14.25" customHeight="1">
      <c r="A762" s="212"/>
      <c r="B762" s="221"/>
      <c r="C762" s="295"/>
      <c r="D762" s="226"/>
      <c r="E762" s="349"/>
      <c r="F762" s="228"/>
    </row>
    <row r="763" spans="1:60" ht="14.25" customHeight="1">
      <c r="A763" s="212"/>
      <c r="B763" s="221"/>
      <c r="C763" s="289"/>
      <c r="D763" s="226"/>
      <c r="E763" s="349"/>
      <c r="F763" s="228"/>
    </row>
    <row r="764" spans="1:60" ht="14.25" customHeight="1">
      <c r="A764" s="212"/>
      <c r="B764" s="221"/>
      <c r="C764" s="289"/>
      <c r="D764" s="226"/>
      <c r="E764" s="350"/>
      <c r="F764" s="228"/>
    </row>
    <row r="765" spans="1:60" s="184" customFormat="1" ht="15" customHeight="1">
      <c r="A765" s="232" t="s">
        <v>2013</v>
      </c>
      <c r="B765" s="233"/>
      <c r="C765" s="1524" t="s">
        <v>2301</v>
      </c>
      <c r="D765" s="232"/>
      <c r="E765" s="235"/>
      <c r="F765" s="236"/>
      <c r="G765" s="183"/>
      <c r="H765" s="183"/>
      <c r="I765" s="183"/>
      <c r="J765" s="183"/>
      <c r="K765" s="183"/>
      <c r="L765" s="183"/>
      <c r="M765" s="183"/>
      <c r="N765" s="190"/>
      <c r="O765" s="190"/>
      <c r="P765" s="190"/>
      <c r="Q765" s="190"/>
      <c r="R765" s="190"/>
      <c r="S765" s="190"/>
      <c r="T765" s="190"/>
      <c r="U765" s="190"/>
      <c r="V765" s="190"/>
      <c r="W765" s="190"/>
      <c r="X765" s="190"/>
      <c r="Y765" s="190"/>
      <c r="Z765" s="190"/>
      <c r="AA765" s="190"/>
      <c r="AB765" s="190"/>
      <c r="AC765" s="190"/>
      <c r="AD765" s="190"/>
      <c r="AE765" s="190"/>
      <c r="AF765" s="190"/>
      <c r="AG765" s="190"/>
      <c r="AH765" s="190"/>
      <c r="AI765" s="190"/>
      <c r="AJ765" s="190"/>
      <c r="AK765" s="190"/>
      <c r="AL765" s="190"/>
      <c r="AM765" s="190"/>
      <c r="AN765" s="190"/>
      <c r="AO765" s="190"/>
      <c r="AP765" s="190"/>
      <c r="AQ765" s="190"/>
      <c r="AR765" s="190"/>
      <c r="AS765" s="190"/>
      <c r="AT765" s="190"/>
      <c r="AU765" s="190"/>
      <c r="AV765" s="190"/>
      <c r="AW765" s="190"/>
      <c r="AX765" s="190"/>
      <c r="AY765" s="190"/>
      <c r="AZ765" s="190"/>
      <c r="BA765" s="190"/>
      <c r="BB765" s="190"/>
      <c r="BC765" s="190"/>
      <c r="BD765" s="190"/>
      <c r="BE765" s="190"/>
      <c r="BF765" s="190"/>
      <c r="BG765" s="190"/>
      <c r="BH765" s="190"/>
    </row>
    <row r="766" spans="1:60" s="198" customFormat="1" ht="15" customHeight="1">
      <c r="A766" s="237" t="s">
        <v>1669</v>
      </c>
      <c r="B766" s="238"/>
      <c r="C766" s="1525"/>
      <c r="D766" s="285"/>
      <c r="E766" s="286"/>
      <c r="F766" s="287"/>
      <c r="G766" s="196"/>
      <c r="H766" s="196"/>
      <c r="I766" s="196"/>
      <c r="J766" s="196"/>
      <c r="K766" s="196"/>
      <c r="L766" s="196"/>
      <c r="M766" s="196"/>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7"/>
      <c r="AR766" s="197"/>
      <c r="AS766" s="197"/>
      <c r="AT766" s="197"/>
      <c r="AU766" s="197"/>
      <c r="AV766" s="197"/>
      <c r="AW766" s="197"/>
      <c r="AX766" s="197"/>
      <c r="AY766" s="197"/>
      <c r="AZ766" s="197"/>
      <c r="BA766" s="197"/>
      <c r="BB766" s="197"/>
      <c r="BC766" s="197"/>
      <c r="BD766" s="197"/>
      <c r="BE766" s="197"/>
      <c r="BF766" s="197"/>
      <c r="BG766" s="197"/>
      <c r="BH766" s="197"/>
    </row>
    <row r="767" spans="1:60" s="204" customFormat="1">
      <c r="A767" s="199" t="s">
        <v>512</v>
      </c>
      <c r="B767" s="200" t="s">
        <v>513</v>
      </c>
      <c r="C767" s="201" t="s">
        <v>514</v>
      </c>
      <c r="D767" s="199" t="s">
        <v>515</v>
      </c>
      <c r="E767" s="202" t="s">
        <v>516</v>
      </c>
      <c r="F767" s="203" t="s">
        <v>1670</v>
      </c>
      <c r="G767" s="184"/>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c r="AS767" s="205"/>
      <c r="AT767" s="205"/>
      <c r="AU767" s="205"/>
      <c r="AV767" s="205"/>
      <c r="AW767" s="205"/>
      <c r="AX767" s="205"/>
      <c r="AY767" s="205"/>
      <c r="AZ767" s="205"/>
      <c r="BA767" s="205"/>
      <c r="BB767" s="205"/>
      <c r="BC767" s="205"/>
      <c r="BD767" s="205"/>
      <c r="BE767" s="205"/>
      <c r="BF767" s="205"/>
      <c r="BG767" s="205"/>
      <c r="BH767" s="205"/>
    </row>
    <row r="768" spans="1:60" ht="14.25" customHeight="1">
      <c r="A768" s="206"/>
      <c r="B768" s="207"/>
      <c r="C768" s="208" t="s">
        <v>1746</v>
      </c>
      <c r="D768" s="209"/>
      <c r="E768" s="210"/>
      <c r="F768" s="211"/>
    </row>
    <row r="769" spans="1:6" ht="14.25" customHeight="1">
      <c r="A769" s="212"/>
      <c r="B769" s="351" t="s">
        <v>1876</v>
      </c>
      <c r="C769" s="289" t="s">
        <v>1877</v>
      </c>
      <c r="D769" s="226" t="s">
        <v>1681</v>
      </c>
      <c r="E769" s="242">
        <f>'[5]COSTO CDMX,QRO,GDL '!I761</f>
        <v>2197.7071195939202</v>
      </c>
      <c r="F769" s="217" t="s">
        <v>284</v>
      </c>
    </row>
    <row r="770" spans="1:6" ht="14.25" customHeight="1">
      <c r="A770" s="212"/>
      <c r="B770" s="221" t="s">
        <v>1878</v>
      </c>
      <c r="C770" s="289" t="s">
        <v>1683</v>
      </c>
      <c r="D770" s="226" t="s">
        <v>1684</v>
      </c>
      <c r="E770" s="242">
        <f>'[5]COSTO CDMX,QRO,GDL '!I762</f>
        <v>2371.9145680395959</v>
      </c>
      <c r="F770" s="217" t="s">
        <v>284</v>
      </c>
    </row>
    <row r="771" spans="1:6" ht="14.25" customHeight="1">
      <c r="A771" s="212"/>
      <c r="B771" s="221" t="s">
        <v>1879</v>
      </c>
      <c r="C771" s="292" t="s">
        <v>1686</v>
      </c>
      <c r="D771" s="226" t="s">
        <v>1687</v>
      </c>
      <c r="E771" s="242">
        <f>'[5]COSTO CDMX,QRO,GDL '!I763</f>
        <v>2453.3785479067042</v>
      </c>
      <c r="F771" s="217" t="s">
        <v>284</v>
      </c>
    </row>
    <row r="772" spans="1:6" ht="14.25" customHeight="1">
      <c r="A772" s="212"/>
      <c r="B772" s="221" t="s">
        <v>1880</v>
      </c>
      <c r="C772" s="289"/>
      <c r="D772" s="226" t="s">
        <v>1689</v>
      </c>
      <c r="E772" s="242">
        <f>'[5]COSTO CDMX,QRO,GDL '!I764</f>
        <v>2459.0545024990674</v>
      </c>
      <c r="F772" s="217" t="s">
        <v>284</v>
      </c>
    </row>
    <row r="773" spans="1:6" ht="14.25" customHeight="1">
      <c r="A773" s="212"/>
      <c r="B773" s="221" t="s">
        <v>1881</v>
      </c>
      <c r="C773" s="289"/>
      <c r="D773" s="226" t="s">
        <v>1691</v>
      </c>
      <c r="E773" s="242">
        <f>'[5]COSTO CDMX,QRO,GDL '!I765</f>
        <v>2532.9251957440483</v>
      </c>
      <c r="F773" s="217" t="s">
        <v>284</v>
      </c>
    </row>
    <row r="774" spans="1:6" ht="14.25" customHeight="1">
      <c r="A774" s="212"/>
      <c r="B774" s="221"/>
      <c r="C774" s="289"/>
      <c r="D774" s="226"/>
      <c r="E774" s="242"/>
      <c r="F774" s="296"/>
    </row>
    <row r="775" spans="1:6" ht="14.25" customHeight="1">
      <c r="A775" s="212"/>
      <c r="B775" s="221"/>
      <c r="C775" s="289"/>
      <c r="D775" s="226"/>
      <c r="E775" s="242"/>
      <c r="F775" s="296"/>
    </row>
    <row r="776" spans="1:6" ht="14.25" customHeight="1">
      <c r="A776" s="212"/>
      <c r="B776" s="221"/>
      <c r="C776" s="289"/>
      <c r="D776" s="226"/>
      <c r="E776" s="242"/>
      <c r="F776" s="296"/>
    </row>
    <row r="777" spans="1:6" ht="14.25" customHeight="1">
      <c r="A777" s="212"/>
      <c r="B777" s="221"/>
      <c r="C777" s="289"/>
      <c r="D777" s="226"/>
      <c r="E777" s="242"/>
      <c r="F777" s="296"/>
    </row>
    <row r="778" spans="1:6" ht="14.25" customHeight="1">
      <c r="A778" s="212"/>
      <c r="B778" s="221" t="s">
        <v>1882</v>
      </c>
      <c r="C778" s="289" t="s">
        <v>1877</v>
      </c>
      <c r="D778" s="226" t="s">
        <v>1693</v>
      </c>
      <c r="E778" s="242">
        <f>'[5]COSTO CDMX,QRO,GDL '!I770</f>
        <v>3106.4568696956417</v>
      </c>
      <c r="F778" s="217" t="s">
        <v>284</v>
      </c>
    </row>
    <row r="779" spans="1:6" ht="14.25" customHeight="1">
      <c r="A779" s="212"/>
      <c r="B779" s="221" t="s">
        <v>1883</v>
      </c>
      <c r="C779" s="289" t="s">
        <v>1683</v>
      </c>
      <c r="D779" s="226" t="s">
        <v>1695</v>
      </c>
      <c r="E779" s="242">
        <f>'[5]COSTO CDMX,QRO,GDL '!I771</f>
        <v>3328.2020220502131</v>
      </c>
      <c r="F779" s="217" t="s">
        <v>284</v>
      </c>
    </row>
    <row r="780" spans="1:6" ht="14.25" customHeight="1">
      <c r="A780" s="212"/>
      <c r="B780" s="351" t="s">
        <v>1884</v>
      </c>
      <c r="C780" s="292" t="s">
        <v>1722</v>
      </c>
      <c r="D780" s="226" t="s">
        <v>1698</v>
      </c>
      <c r="E780" s="242">
        <f>'[5]COSTO CDMX,QRO,GDL '!I772</f>
        <v>3376.3616367732948</v>
      </c>
      <c r="F780" s="217" t="s">
        <v>284</v>
      </c>
    </row>
    <row r="781" spans="1:6" ht="14.25" customHeight="1">
      <c r="A781" s="212"/>
      <c r="B781" s="351" t="s">
        <v>1885</v>
      </c>
      <c r="C781" s="289"/>
      <c r="D781" s="226" t="s">
        <v>1700</v>
      </c>
      <c r="E781" s="242">
        <f>'[5]COSTO CDMX,QRO,GDL '!I773</f>
        <v>3609.1979846088284</v>
      </c>
      <c r="F781" s="217" t="s">
        <v>284</v>
      </c>
    </row>
    <row r="782" spans="1:6" ht="14.25" customHeight="1">
      <c r="A782" s="212"/>
      <c r="B782" s="213"/>
      <c r="C782" s="170"/>
      <c r="D782" s="226"/>
      <c r="E782" s="242"/>
      <c r="F782" s="296"/>
    </row>
    <row r="783" spans="1:6" ht="14.25" customHeight="1">
      <c r="A783" s="212"/>
      <c r="B783" s="221"/>
      <c r="C783" s="170"/>
      <c r="D783" s="226"/>
      <c r="E783" s="242"/>
      <c r="F783" s="280"/>
    </row>
    <row r="784" spans="1:6" ht="14.25" customHeight="1">
      <c r="A784" s="212"/>
      <c r="B784" s="221"/>
      <c r="C784" s="289"/>
      <c r="D784" s="226"/>
      <c r="E784" s="242"/>
      <c r="F784" s="296"/>
    </row>
    <row r="785" spans="1:6" ht="14.25" customHeight="1">
      <c r="A785" s="212"/>
      <c r="B785" s="221"/>
      <c r="C785" s="289"/>
      <c r="D785" s="226"/>
      <c r="E785" s="242"/>
      <c r="F785" s="296"/>
    </row>
    <row r="786" spans="1:6" ht="14.25" customHeight="1">
      <c r="A786" s="206"/>
      <c r="B786" s="207"/>
      <c r="C786" s="208" t="s">
        <v>1757</v>
      </c>
      <c r="D786" s="209"/>
      <c r="E786" s="328"/>
      <c r="F786" s="209"/>
    </row>
    <row r="787" spans="1:6" ht="14.25" customHeight="1">
      <c r="A787" s="212"/>
      <c r="B787" s="351" t="s">
        <v>1886</v>
      </c>
      <c r="C787" s="289" t="s">
        <v>1887</v>
      </c>
      <c r="D787" s="226" t="s">
        <v>1681</v>
      </c>
      <c r="E787" s="242">
        <f>'[5]COSTO CDMX,QRO,GDL '!I779</f>
        <v>2197.7071195939202</v>
      </c>
      <c r="F787" s="217" t="s">
        <v>284</v>
      </c>
    </row>
    <row r="788" spans="1:6" ht="14.25" customHeight="1">
      <c r="A788" s="212"/>
      <c r="B788" s="221" t="s">
        <v>1888</v>
      </c>
      <c r="C788" s="289" t="s">
        <v>1683</v>
      </c>
      <c r="D788" s="226" t="s">
        <v>1684</v>
      </c>
      <c r="E788" s="242">
        <f>'[5]COSTO CDMX,QRO,GDL '!I780</f>
        <v>2371.9145680395959</v>
      </c>
      <c r="F788" s="217" t="s">
        <v>284</v>
      </c>
    </row>
    <row r="789" spans="1:6" ht="14.25" customHeight="1">
      <c r="A789" s="212"/>
      <c r="B789" s="221" t="s">
        <v>1889</v>
      </c>
      <c r="C789" s="292" t="s">
        <v>1686</v>
      </c>
      <c r="D789" s="226" t="s">
        <v>1687</v>
      </c>
      <c r="E789" s="242">
        <f>'[5]COSTO CDMX,QRO,GDL '!I781</f>
        <v>2453.3785479067042</v>
      </c>
      <c r="F789" s="217" t="s">
        <v>284</v>
      </c>
    </row>
    <row r="790" spans="1:6" ht="14.25" customHeight="1">
      <c r="A790" s="212"/>
      <c r="B790" s="221" t="s">
        <v>1890</v>
      </c>
      <c r="C790" s="289"/>
      <c r="D790" s="226" t="s">
        <v>1689</v>
      </c>
      <c r="E790" s="242">
        <f>'[5]COSTO CDMX,QRO,GDL '!I782</f>
        <v>2459.0545024990674</v>
      </c>
      <c r="F790" s="217" t="s">
        <v>284</v>
      </c>
    </row>
    <row r="791" spans="1:6" ht="14.25" customHeight="1">
      <c r="A791" s="212"/>
      <c r="B791" s="221" t="s">
        <v>1891</v>
      </c>
      <c r="C791" s="289"/>
      <c r="D791" s="226" t="s">
        <v>1691</v>
      </c>
      <c r="E791" s="242">
        <f>'[5]COSTO CDMX,QRO,GDL '!I783</f>
        <v>2532.9251957440483</v>
      </c>
      <c r="F791" s="217" t="s">
        <v>284</v>
      </c>
    </row>
    <row r="792" spans="1:6" ht="14.25" customHeight="1">
      <c r="A792" s="212"/>
      <c r="B792" s="221"/>
      <c r="C792" s="289"/>
      <c r="D792" s="226"/>
      <c r="E792" s="242"/>
      <c r="F792" s="296"/>
    </row>
    <row r="793" spans="1:6" ht="14.25" customHeight="1">
      <c r="A793" s="212"/>
      <c r="B793" s="221"/>
      <c r="C793" s="289"/>
      <c r="D793" s="226"/>
      <c r="E793" s="242"/>
      <c r="F793" s="296"/>
    </row>
    <row r="794" spans="1:6" ht="14.25" customHeight="1">
      <c r="A794" s="212"/>
      <c r="B794" s="221"/>
      <c r="C794" s="289"/>
      <c r="D794" s="226"/>
      <c r="E794" s="242"/>
      <c r="F794" s="296"/>
    </row>
    <row r="795" spans="1:6" ht="14.25" customHeight="1">
      <c r="A795" s="212"/>
      <c r="B795" s="221"/>
      <c r="C795" s="289"/>
      <c r="D795" s="226"/>
      <c r="E795" s="242"/>
      <c r="F795" s="296"/>
    </row>
    <row r="796" spans="1:6" ht="14.25" customHeight="1">
      <c r="A796" s="212"/>
      <c r="B796" s="221" t="s">
        <v>1892</v>
      </c>
      <c r="C796" s="289" t="s">
        <v>1887</v>
      </c>
      <c r="D796" s="226" t="s">
        <v>1693</v>
      </c>
      <c r="E796" s="242">
        <f>'[5]COSTO CDMX,QRO,GDL '!I788</f>
        <v>3106.4568696956417</v>
      </c>
      <c r="F796" s="217" t="s">
        <v>284</v>
      </c>
    </row>
    <row r="797" spans="1:6" ht="14.25" customHeight="1">
      <c r="A797" s="212"/>
      <c r="B797" s="221" t="s">
        <v>1893</v>
      </c>
      <c r="C797" s="289" t="s">
        <v>1683</v>
      </c>
      <c r="D797" s="226" t="s">
        <v>1695</v>
      </c>
      <c r="E797" s="242">
        <f>'[5]COSTO CDMX,QRO,GDL '!I789</f>
        <v>3328.2020220502131</v>
      </c>
      <c r="F797" s="217" t="s">
        <v>284</v>
      </c>
    </row>
    <row r="798" spans="1:6" ht="14.25" customHeight="1">
      <c r="A798" s="212"/>
      <c r="B798" s="351" t="s">
        <v>1894</v>
      </c>
      <c r="C798" s="292" t="s">
        <v>1722</v>
      </c>
      <c r="D798" s="226" t="s">
        <v>1698</v>
      </c>
      <c r="E798" s="242">
        <f>'[5]COSTO CDMX,QRO,GDL '!I790</f>
        <v>3376.3616367732948</v>
      </c>
      <c r="F798" s="217" t="s">
        <v>284</v>
      </c>
    </row>
    <row r="799" spans="1:6" ht="14.25" customHeight="1">
      <c r="A799" s="212"/>
      <c r="B799" s="351" t="s">
        <v>1895</v>
      </c>
      <c r="C799" s="292"/>
      <c r="D799" s="226" t="s">
        <v>1700</v>
      </c>
      <c r="E799" s="242">
        <f>'[5]COSTO CDMX,QRO,GDL '!I791</f>
        <v>3609.1979846088284</v>
      </c>
      <c r="F799" s="217" t="s">
        <v>284</v>
      </c>
    </row>
    <row r="800" spans="1:6" ht="14.25" customHeight="1">
      <c r="A800" s="212"/>
      <c r="B800" s="213"/>
      <c r="C800" s="170"/>
      <c r="D800" s="226"/>
      <c r="E800" s="242"/>
      <c r="F800" s="296"/>
    </row>
    <row r="801" spans="1:6" ht="14.25" customHeight="1">
      <c r="A801" s="212"/>
      <c r="B801" s="213"/>
      <c r="C801" s="170"/>
      <c r="D801" s="226"/>
      <c r="E801" s="242"/>
      <c r="F801" s="280"/>
    </row>
    <row r="802" spans="1:6" ht="14.25" customHeight="1">
      <c r="A802" s="212"/>
      <c r="B802" s="221"/>
      <c r="C802" s="289"/>
      <c r="D802" s="226"/>
      <c r="E802" s="242"/>
      <c r="F802" s="296"/>
    </row>
    <row r="803" spans="1:6" ht="14.25" customHeight="1">
      <c r="A803" s="212"/>
      <c r="B803" s="221"/>
      <c r="C803" s="289"/>
      <c r="D803" s="226"/>
      <c r="E803" s="242"/>
      <c r="F803" s="296"/>
    </row>
    <row r="804" spans="1:6" ht="14.25" customHeight="1">
      <c r="A804" s="206"/>
      <c r="B804" s="207"/>
      <c r="C804" s="208" t="s">
        <v>1768</v>
      </c>
      <c r="D804" s="209"/>
      <c r="E804" s="210"/>
      <c r="F804" s="211"/>
    </row>
    <row r="805" spans="1:6" ht="14.25" customHeight="1">
      <c r="A805" s="212"/>
      <c r="B805" s="351" t="s">
        <v>1896</v>
      </c>
      <c r="C805" s="289" t="s">
        <v>1897</v>
      </c>
      <c r="D805" s="226" t="s">
        <v>1681</v>
      </c>
      <c r="E805" s="242">
        <f>'[5]COSTO CDMX,QRO,GDL '!I797</f>
        <v>2075.2145184993333</v>
      </c>
      <c r="F805" s="217" t="s">
        <v>284</v>
      </c>
    </row>
    <row r="806" spans="1:6" ht="14.25" customHeight="1">
      <c r="A806" s="212"/>
      <c r="B806" s="221" t="s">
        <v>1898</v>
      </c>
      <c r="C806" s="289" t="s">
        <v>1683</v>
      </c>
      <c r="D806" s="226" t="s">
        <v>1684</v>
      </c>
      <c r="E806" s="242">
        <f>'[5]COSTO CDMX,QRO,GDL '!I798</f>
        <v>2140.3650683057954</v>
      </c>
      <c r="F806" s="217" t="s">
        <v>284</v>
      </c>
    </row>
    <row r="807" spans="1:6" ht="14.25" customHeight="1">
      <c r="A807" s="212"/>
      <c r="B807" s="221" t="s">
        <v>1899</v>
      </c>
      <c r="C807" s="292" t="s">
        <v>1686</v>
      </c>
      <c r="D807" s="226" t="s">
        <v>1687</v>
      </c>
      <c r="E807" s="242">
        <f>'[5]COSTO CDMX,QRO,GDL '!I799</f>
        <v>2235.3555544971937</v>
      </c>
      <c r="F807" s="217" t="s">
        <v>284</v>
      </c>
    </row>
    <row r="808" spans="1:6" ht="14.25" customHeight="1">
      <c r="A808" s="212"/>
      <c r="B808" s="221" t="s">
        <v>1900</v>
      </c>
      <c r="C808" s="289"/>
      <c r="D808" s="226" t="s">
        <v>1689</v>
      </c>
      <c r="E808" s="242">
        <f>'[5]COSTO CDMX,QRO,GDL '!I800</f>
        <v>2252.0590780118632</v>
      </c>
      <c r="F808" s="217" t="s">
        <v>284</v>
      </c>
    </row>
    <row r="809" spans="1:6" ht="14.25" customHeight="1">
      <c r="A809" s="212"/>
      <c r="B809" s="221" t="s">
        <v>1901</v>
      </c>
      <c r="C809" s="289"/>
      <c r="D809" s="226" t="s">
        <v>1691</v>
      </c>
      <c r="E809" s="242">
        <f>'[5]COSTO CDMX,QRO,GDL '!I801</f>
        <v>2340.4558525419275</v>
      </c>
      <c r="F809" s="217" t="s">
        <v>284</v>
      </c>
    </row>
    <row r="810" spans="1:6" ht="14.25" customHeight="1">
      <c r="A810" s="212"/>
      <c r="B810" s="221"/>
      <c r="C810" s="289"/>
      <c r="D810" s="226"/>
      <c r="E810" s="242"/>
      <c r="F810" s="296"/>
    </row>
    <row r="811" spans="1:6" ht="14.25" customHeight="1">
      <c r="A811" s="212"/>
      <c r="B811" s="221"/>
      <c r="C811" s="289"/>
      <c r="D811" s="226"/>
      <c r="E811" s="242"/>
      <c r="F811" s="296"/>
    </row>
    <row r="812" spans="1:6" ht="14.25" customHeight="1">
      <c r="A812" s="212"/>
      <c r="B812" s="221"/>
      <c r="C812" s="289"/>
      <c r="D812" s="226"/>
      <c r="E812" s="242"/>
      <c r="F812" s="296"/>
    </row>
    <row r="813" spans="1:6" ht="14.25" customHeight="1">
      <c r="A813" s="212"/>
      <c r="B813" s="221"/>
      <c r="C813" s="289"/>
      <c r="D813" s="226"/>
      <c r="E813" s="242"/>
      <c r="F813" s="296"/>
    </row>
    <row r="814" spans="1:6" ht="14.25" customHeight="1">
      <c r="A814" s="212"/>
      <c r="B814" s="221" t="s">
        <v>1902</v>
      </c>
      <c r="C814" s="289" t="s">
        <v>1903</v>
      </c>
      <c r="D814" s="226" t="s">
        <v>1693</v>
      </c>
      <c r="E814" s="242">
        <f>'[5]COSTO CDMX,QRO,GDL '!I806</f>
        <v>2719.2258166679285</v>
      </c>
      <c r="F814" s="217" t="s">
        <v>284</v>
      </c>
    </row>
    <row r="815" spans="1:6" ht="14.25" customHeight="1">
      <c r="A815" s="212"/>
      <c r="B815" s="221" t="s">
        <v>1904</v>
      </c>
      <c r="C815" s="289" t="s">
        <v>1683</v>
      </c>
      <c r="D815" s="226" t="s">
        <v>1695</v>
      </c>
      <c r="E815" s="242">
        <f>'[5]COSTO CDMX,QRO,GDL '!I807</f>
        <v>2887.5868637645144</v>
      </c>
      <c r="F815" s="217" t="s">
        <v>284</v>
      </c>
    </row>
    <row r="816" spans="1:6" ht="14.25" customHeight="1">
      <c r="A816" s="212"/>
      <c r="B816" s="351" t="s">
        <v>1905</v>
      </c>
      <c r="C816" s="292" t="s">
        <v>1722</v>
      </c>
      <c r="D816" s="226" t="s">
        <v>1698</v>
      </c>
      <c r="E816" s="242">
        <f>'[5]COSTO CDMX,QRO,GDL '!I808</f>
        <v>2946.7740474099028</v>
      </c>
      <c r="F816" s="217" t="s">
        <v>284</v>
      </c>
    </row>
    <row r="817" spans="1:6" ht="14.25" customHeight="1">
      <c r="A817" s="212"/>
      <c r="B817" s="351" t="s">
        <v>1906</v>
      </c>
      <c r="C817" s="289"/>
      <c r="D817" s="226" t="s">
        <v>1700</v>
      </c>
      <c r="E817" s="242">
        <f>'[5]COSTO CDMX,QRO,GDL '!I809</f>
        <v>3194.7894246903925</v>
      </c>
      <c r="F817" s="217" t="s">
        <v>284</v>
      </c>
    </row>
    <row r="818" spans="1:6" ht="14.25" customHeight="1">
      <c r="A818" s="212"/>
      <c r="B818" s="213"/>
      <c r="C818" s="170"/>
      <c r="D818" s="226"/>
      <c r="E818" s="242"/>
      <c r="F818" s="296"/>
    </row>
    <row r="819" spans="1:6" ht="14.25" customHeight="1">
      <c r="A819" s="212"/>
      <c r="B819" s="221"/>
      <c r="C819" s="170"/>
      <c r="D819" s="226"/>
      <c r="E819" s="242"/>
      <c r="F819" s="280"/>
    </row>
    <row r="820" spans="1:6" ht="14.25" customHeight="1">
      <c r="A820" s="212"/>
      <c r="B820" s="221"/>
      <c r="C820" s="289"/>
      <c r="D820" s="226"/>
      <c r="E820" s="242"/>
      <c r="F820" s="296"/>
    </row>
    <row r="821" spans="1:6" ht="14.25" customHeight="1">
      <c r="A821" s="212"/>
      <c r="B821" s="221"/>
      <c r="C821" s="289"/>
      <c r="D821" s="226"/>
      <c r="E821" s="242"/>
      <c r="F821" s="296"/>
    </row>
    <row r="822" spans="1:6" ht="14.25" customHeight="1">
      <c r="A822" s="333"/>
      <c r="B822" s="334"/>
      <c r="C822" s="335"/>
      <c r="D822" s="334"/>
      <c r="E822" s="336"/>
      <c r="F822" s="337"/>
    </row>
    <row r="823" spans="1:6" ht="14.25" customHeight="1">
      <c r="A823" s="212"/>
      <c r="B823" s="338"/>
      <c r="C823" s="339"/>
      <c r="D823" s="338"/>
      <c r="E823" s="340"/>
      <c r="F823" s="341"/>
    </row>
    <row r="824" spans="1:6" ht="14.25" customHeight="1">
      <c r="A824" s="212"/>
      <c r="B824" s="338"/>
      <c r="C824" s="339"/>
      <c r="D824" s="338"/>
      <c r="E824" s="340"/>
      <c r="F824" s="341"/>
    </row>
    <row r="825" spans="1:6" ht="14.25" customHeight="1">
      <c r="A825" s="212"/>
      <c r="B825" s="338"/>
      <c r="C825" s="339"/>
      <c r="D825" s="338"/>
      <c r="E825" s="340"/>
      <c r="F825" s="341"/>
    </row>
    <row r="826" spans="1:6" ht="14.25" customHeight="1">
      <c r="A826" s="212"/>
      <c r="B826" s="338"/>
      <c r="C826" s="339"/>
      <c r="D826" s="338"/>
      <c r="E826" s="340"/>
      <c r="F826" s="341"/>
    </row>
    <row r="827" spans="1:6" ht="14.25" customHeight="1">
      <c r="A827" s="212"/>
      <c r="B827" s="338"/>
      <c r="C827" s="339"/>
      <c r="D827" s="338"/>
      <c r="E827" s="340"/>
      <c r="F827" s="341"/>
    </row>
    <row r="828" spans="1:6" ht="14.25" customHeight="1">
      <c r="A828" s="212"/>
      <c r="B828" s="338"/>
      <c r="C828" s="339"/>
      <c r="D828" s="338"/>
      <c r="E828" s="340"/>
      <c r="F828" s="341"/>
    </row>
    <row r="829" spans="1:6" ht="14.25" customHeight="1">
      <c r="A829" s="212"/>
      <c r="B829" s="338"/>
      <c r="C829" s="339"/>
      <c r="D829" s="338"/>
      <c r="E829" s="340"/>
      <c r="F829" s="341"/>
    </row>
    <row r="830" spans="1:6" ht="14.25" customHeight="1">
      <c r="A830" s="212"/>
      <c r="B830" s="338"/>
      <c r="C830" s="339"/>
      <c r="D830" s="338"/>
      <c r="E830" s="340"/>
      <c r="F830" s="341"/>
    </row>
    <row r="831" spans="1:6" ht="14.25" customHeight="1">
      <c r="A831" s="212"/>
      <c r="B831" s="338"/>
      <c r="C831" s="339"/>
      <c r="D831" s="338"/>
      <c r="E831" s="340"/>
      <c r="F831" s="341"/>
    </row>
    <row r="832" spans="1:6" ht="14.25" customHeight="1">
      <c r="A832" s="212"/>
      <c r="B832" s="338"/>
      <c r="C832" s="339"/>
      <c r="D832" s="338"/>
      <c r="E832" s="340"/>
      <c r="F832" s="341"/>
    </row>
    <row r="833" spans="1:6" ht="14.25" customHeight="1">
      <c r="A833" s="212"/>
      <c r="B833" s="338"/>
      <c r="C833" s="339"/>
      <c r="D833" s="338"/>
      <c r="E833" s="340"/>
      <c r="F833" s="341"/>
    </row>
    <row r="834" spans="1:6" ht="14.25" customHeight="1">
      <c r="A834" s="212"/>
      <c r="B834" s="338"/>
      <c r="C834" s="339"/>
      <c r="D834" s="338"/>
      <c r="E834" s="340"/>
      <c r="F834" s="341"/>
    </row>
    <row r="835" spans="1:6" ht="14.25" customHeight="1">
      <c r="A835" s="212"/>
      <c r="B835" s="338"/>
      <c r="C835" s="339"/>
      <c r="D835" s="338"/>
      <c r="E835" s="340"/>
      <c r="F835" s="341"/>
    </row>
    <row r="836" spans="1:6" ht="14.25" customHeight="1">
      <c r="A836" s="212"/>
      <c r="B836" s="338"/>
      <c r="C836" s="339"/>
      <c r="D836" s="338"/>
      <c r="E836" s="340"/>
      <c r="F836" s="341"/>
    </row>
    <row r="837" spans="1:6" ht="14.25" customHeight="1">
      <c r="A837" s="212"/>
      <c r="B837" s="338"/>
      <c r="C837" s="339"/>
      <c r="D837" s="338"/>
      <c r="E837" s="340"/>
      <c r="F837" s="341"/>
    </row>
    <row r="838" spans="1:6" ht="14.25" customHeight="1">
      <c r="A838" s="212"/>
      <c r="B838" s="338"/>
      <c r="C838" s="339"/>
      <c r="D838" s="338"/>
      <c r="E838" s="340"/>
      <c r="F838" s="341"/>
    </row>
    <row r="839" spans="1:6" ht="14.25" customHeight="1">
      <c r="A839" s="212"/>
      <c r="B839" s="338"/>
      <c r="C839" s="339"/>
      <c r="D839" s="338"/>
      <c r="E839" s="340"/>
      <c r="F839" s="341"/>
    </row>
    <row r="840" spans="1:6" ht="14.25" customHeight="1">
      <c r="A840" s="212"/>
      <c r="B840" s="338"/>
      <c r="C840" s="339"/>
      <c r="D840" s="338"/>
      <c r="E840" s="340"/>
      <c r="F840" s="341"/>
    </row>
    <row r="841" spans="1:6" ht="14.25" customHeight="1">
      <c r="A841" s="212"/>
      <c r="B841" s="338"/>
      <c r="C841" s="339"/>
      <c r="D841" s="338"/>
      <c r="E841" s="340"/>
      <c r="F841" s="341"/>
    </row>
    <row r="842" spans="1:6" ht="14.25" customHeight="1">
      <c r="A842" s="212"/>
      <c r="B842" s="338"/>
      <c r="C842" s="339"/>
      <c r="D842" s="338"/>
      <c r="E842" s="340"/>
      <c r="F842" s="341"/>
    </row>
    <row r="843" spans="1:6" ht="14.25" customHeight="1">
      <c r="A843" s="212"/>
      <c r="B843" s="338"/>
      <c r="C843" s="339"/>
      <c r="D843" s="338"/>
      <c r="E843" s="340"/>
      <c r="F843" s="341"/>
    </row>
    <row r="844" spans="1:6" ht="14.25" customHeight="1">
      <c r="A844" s="212"/>
      <c r="B844" s="338"/>
      <c r="C844" s="339"/>
      <c r="D844" s="338"/>
      <c r="E844" s="340"/>
      <c r="F844" s="341"/>
    </row>
    <row r="845" spans="1:6" ht="14.25" customHeight="1">
      <c r="A845" s="212"/>
      <c r="B845" s="338"/>
      <c r="C845" s="339"/>
      <c r="D845" s="338"/>
      <c r="E845" s="340"/>
      <c r="F845" s="341"/>
    </row>
    <row r="846" spans="1:6" ht="14.25" customHeight="1">
      <c r="A846" s="212"/>
      <c r="B846" s="338"/>
      <c r="C846" s="339"/>
      <c r="D846" s="338"/>
      <c r="E846" s="340"/>
      <c r="F846" s="341"/>
    </row>
    <row r="847" spans="1:6" ht="14.25" customHeight="1">
      <c r="A847" s="212"/>
      <c r="B847" s="338"/>
      <c r="C847" s="339"/>
      <c r="D847" s="338"/>
      <c r="E847" s="340"/>
      <c r="F847" s="341"/>
    </row>
    <row r="848" spans="1:6" ht="14.25" customHeight="1">
      <c r="A848" s="342"/>
      <c r="B848" s="343"/>
      <c r="C848" s="344"/>
      <c r="D848" s="343"/>
      <c r="E848" s="345"/>
      <c r="F848" s="346"/>
    </row>
    <row r="849" spans="1:60" ht="15" customHeight="1">
      <c r="A849" s="206"/>
      <c r="B849" s="207"/>
      <c r="C849" s="208" t="s">
        <v>1779</v>
      </c>
      <c r="D849" s="209"/>
      <c r="E849" s="209"/>
      <c r="F849" s="209"/>
    </row>
    <row r="850" spans="1:60" ht="14.25" customHeight="1">
      <c r="A850" s="212"/>
      <c r="B850" s="213" t="s">
        <v>1780</v>
      </c>
      <c r="C850" s="295" t="s">
        <v>1781</v>
      </c>
      <c r="D850" s="226" t="s">
        <v>1687</v>
      </c>
      <c r="E850" s="242">
        <f>'[5]COSTO CDMX,QRO,GDL '!I842</f>
        <v>545.63728205963844</v>
      </c>
      <c r="F850" s="217" t="s">
        <v>284</v>
      </c>
    </row>
    <row r="851" spans="1:60" ht="14.25" customHeight="1">
      <c r="A851" s="212"/>
      <c r="B851" s="213" t="s">
        <v>1782</v>
      </c>
      <c r="C851" s="289" t="s">
        <v>1783</v>
      </c>
      <c r="D851" s="226" t="s">
        <v>1689</v>
      </c>
      <c r="E851" s="242">
        <f>'[5]COSTO CDMX,QRO,GDL '!I843</f>
        <v>581.7037640540982</v>
      </c>
      <c r="F851" s="217" t="s">
        <v>284</v>
      </c>
    </row>
    <row r="852" spans="1:60" ht="14.25" customHeight="1">
      <c r="A852" s="212"/>
      <c r="B852" s="213" t="s">
        <v>1784</v>
      </c>
      <c r="C852" s="295"/>
      <c r="D852" s="226" t="s">
        <v>1691</v>
      </c>
      <c r="E852" s="242">
        <f>'[5]COSTO CDMX,QRO,GDL '!I844</f>
        <v>589.50562163923757</v>
      </c>
      <c r="F852" s="217" t="s">
        <v>284</v>
      </c>
    </row>
    <row r="853" spans="1:60" ht="14.25" customHeight="1">
      <c r="A853" s="212"/>
      <c r="B853" s="213" t="s">
        <v>1785</v>
      </c>
      <c r="C853" s="295"/>
      <c r="D853" s="226" t="s">
        <v>1786</v>
      </c>
      <c r="E853" s="242">
        <f>'[5]COSTO CDMX,QRO,GDL '!I845</f>
        <v>647.80055401662082</v>
      </c>
      <c r="F853" s="217" t="s">
        <v>284</v>
      </c>
    </row>
    <row r="854" spans="1:60" ht="14.25" customHeight="1">
      <c r="A854" s="212"/>
      <c r="B854" s="213" t="s">
        <v>1787</v>
      </c>
      <c r="C854" s="295"/>
      <c r="D854" s="226" t="s">
        <v>1693</v>
      </c>
      <c r="E854" s="242">
        <f>'[5]COSTO CDMX,QRO,GDL '!I846</f>
        <v>655.60241160175997</v>
      </c>
      <c r="F854" s="217" t="s">
        <v>284</v>
      </c>
    </row>
    <row r="855" spans="1:60" ht="14.25" customHeight="1">
      <c r="A855" s="212"/>
      <c r="B855" s="213" t="s">
        <v>1788</v>
      </c>
      <c r="C855" s="295"/>
      <c r="D855" s="226" t="s">
        <v>1789</v>
      </c>
      <c r="E855" s="242">
        <f>'[5]COSTO CDMX,QRO,GDL '!I847</f>
        <v>752.40703927000175</v>
      </c>
      <c r="F855" s="217" t="s">
        <v>284</v>
      </c>
    </row>
    <row r="856" spans="1:60" ht="14.25" customHeight="1">
      <c r="A856" s="212"/>
      <c r="B856" s="213" t="s">
        <v>1790</v>
      </c>
      <c r="C856" s="295"/>
      <c r="D856" s="226" t="s">
        <v>1695</v>
      </c>
      <c r="E856" s="242">
        <f>'[5]COSTO CDMX,QRO,GDL '!I848</f>
        <v>760.20889685514112</v>
      </c>
      <c r="F856" s="217" t="s">
        <v>284</v>
      </c>
    </row>
    <row r="857" spans="1:60" ht="14.25" customHeight="1">
      <c r="A857" s="212"/>
      <c r="B857" s="213" t="s">
        <v>1791</v>
      </c>
      <c r="C857" s="295"/>
      <c r="D857" s="226" t="s">
        <v>1792</v>
      </c>
      <c r="E857" s="242">
        <f>'[5]COSTO CDMX,QRO,GDL '!I849</f>
        <v>894.24344142088955</v>
      </c>
      <c r="F857" s="217" t="s">
        <v>284</v>
      </c>
    </row>
    <row r="858" spans="1:60" ht="14.25" customHeight="1">
      <c r="A858" s="212"/>
      <c r="B858" s="213" t="s">
        <v>1793</v>
      </c>
      <c r="C858" s="295"/>
      <c r="D858" s="226" t="s">
        <v>1700</v>
      </c>
      <c r="E858" s="242">
        <f>'[5]COSTO CDMX,QRO,GDL '!I850</f>
        <v>902.04529900602904</v>
      </c>
      <c r="F858" s="217" t="s">
        <v>284</v>
      </c>
    </row>
    <row r="859" spans="1:60" ht="14.25" customHeight="1">
      <c r="A859" s="212"/>
      <c r="B859" s="213" t="s">
        <v>1794</v>
      </c>
      <c r="C859" s="295"/>
      <c r="D859" s="226" t="s">
        <v>1795</v>
      </c>
      <c r="E859" s="242">
        <f>'[5]COSTO CDMX,QRO,GDL '!I851</f>
        <v>909.84715659116864</v>
      </c>
      <c r="F859" s="217" t="s">
        <v>284</v>
      </c>
    </row>
    <row r="860" spans="1:60" ht="14.25" customHeight="1">
      <c r="A860" s="212"/>
      <c r="B860" s="213" t="s">
        <v>1796</v>
      </c>
      <c r="C860" s="295"/>
      <c r="D860" s="226" t="s">
        <v>1797</v>
      </c>
      <c r="E860" s="242">
        <f>'[5]COSTO CDMX,QRO,GDL '!I852</f>
        <v>930.91217207104455</v>
      </c>
      <c r="F860" s="217" t="s">
        <v>284</v>
      </c>
    </row>
    <row r="861" spans="1:60" ht="14.25" customHeight="1">
      <c r="A861" s="212"/>
      <c r="B861" s="213" t="s">
        <v>1798</v>
      </c>
      <c r="C861" s="295"/>
      <c r="D861" s="226" t="s">
        <v>1799</v>
      </c>
      <c r="E861" s="242">
        <f>'[5]COSTO CDMX,QRO,GDL '!I853</f>
        <v>951.9771875509208</v>
      </c>
      <c r="F861" s="217" t="s">
        <v>284</v>
      </c>
    </row>
    <row r="862" spans="1:60" ht="14.25" customHeight="1">
      <c r="A862" s="212"/>
      <c r="B862" s="213" t="s">
        <v>1800</v>
      </c>
      <c r="C862" s="295"/>
      <c r="D862" s="226" t="s">
        <v>1801</v>
      </c>
      <c r="E862" s="242">
        <f>'[5]COSTO CDMX,QRO,GDL '!I854</f>
        <v>1225.5075769920161</v>
      </c>
      <c r="F862" s="217" t="s">
        <v>284</v>
      </c>
    </row>
    <row r="863" spans="1:60" ht="14.25" customHeight="1">
      <c r="A863" s="212"/>
      <c r="B863" s="213" t="s">
        <v>1802</v>
      </c>
      <c r="C863" s="295"/>
      <c r="D863" s="226" t="s">
        <v>1803</v>
      </c>
      <c r="E863" s="242">
        <f>'[5]COSTO CDMX,QRO,GDL '!I855</f>
        <v>1253.4565844587794</v>
      </c>
      <c r="F863" s="217" t="s">
        <v>284</v>
      </c>
    </row>
    <row r="864" spans="1:60" s="184" customFormat="1" ht="15" customHeight="1">
      <c r="A864" s="232" t="s">
        <v>2013</v>
      </c>
      <c r="B864" s="233"/>
      <c r="C864" s="1524" t="s">
        <v>2302</v>
      </c>
      <c r="D864" s="232"/>
      <c r="E864" s="352"/>
      <c r="F864" s="353"/>
      <c r="G864" s="183"/>
      <c r="H864" s="183"/>
      <c r="I864" s="183"/>
      <c r="J864" s="183"/>
      <c r="K864" s="183"/>
      <c r="L864" s="183"/>
      <c r="M864" s="183"/>
      <c r="N864" s="190"/>
      <c r="O864" s="190"/>
      <c r="P864" s="190"/>
      <c r="Q864" s="190"/>
      <c r="R864" s="190"/>
      <c r="S864" s="190"/>
      <c r="T864" s="190"/>
      <c r="U864" s="190"/>
      <c r="V864" s="190"/>
      <c r="W864" s="190"/>
      <c r="X864" s="190"/>
      <c r="Y864" s="190"/>
      <c r="Z864" s="190"/>
      <c r="AA864" s="190"/>
      <c r="AB864" s="190"/>
      <c r="AC864" s="190"/>
      <c r="AD864" s="190"/>
      <c r="AE864" s="190"/>
      <c r="AF864" s="190"/>
      <c r="AG864" s="190"/>
      <c r="AH864" s="190"/>
      <c r="AI864" s="190"/>
      <c r="AJ864" s="190"/>
      <c r="AK864" s="190"/>
      <c r="AL864" s="190"/>
      <c r="AM864" s="190"/>
      <c r="AN864" s="190"/>
      <c r="AO864" s="190"/>
      <c r="AP864" s="190"/>
      <c r="AQ864" s="190"/>
      <c r="AR864" s="190"/>
      <c r="AS864" s="190"/>
      <c r="AT864" s="190"/>
      <c r="AU864" s="190"/>
      <c r="AV864" s="190"/>
      <c r="AW864" s="190"/>
      <c r="AX864" s="190"/>
      <c r="AY864" s="190"/>
      <c r="AZ864" s="190"/>
      <c r="BA864" s="190"/>
      <c r="BB864" s="190"/>
      <c r="BC864" s="190"/>
      <c r="BD864" s="190"/>
      <c r="BE864" s="190"/>
      <c r="BF864" s="190"/>
      <c r="BG864" s="190"/>
      <c r="BH864" s="190"/>
    </row>
    <row r="865" spans="1:60" s="198" customFormat="1" ht="15" customHeight="1">
      <c r="A865" s="237" t="s">
        <v>1669</v>
      </c>
      <c r="B865" s="238"/>
      <c r="C865" s="1525"/>
      <c r="D865" s="285"/>
      <c r="E865" s="354"/>
      <c r="F865" s="355"/>
      <c r="G865" s="196"/>
      <c r="H865" s="196"/>
      <c r="I865" s="196"/>
      <c r="J865" s="196"/>
      <c r="K865" s="196"/>
      <c r="L865" s="196"/>
      <c r="M865" s="196"/>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7"/>
      <c r="AR865" s="197"/>
      <c r="AS865" s="197"/>
      <c r="AT865" s="197"/>
      <c r="AU865" s="197"/>
      <c r="AV865" s="197"/>
      <c r="AW865" s="197"/>
      <c r="AX865" s="197"/>
      <c r="AY865" s="197"/>
      <c r="AZ865" s="197"/>
      <c r="BA865" s="197"/>
      <c r="BB865" s="197"/>
      <c r="BC865" s="197"/>
      <c r="BD865" s="197"/>
      <c r="BE865" s="197"/>
      <c r="BF865" s="197"/>
      <c r="BG865" s="197"/>
      <c r="BH865" s="197"/>
    </row>
    <row r="866" spans="1:60" s="204" customFormat="1">
      <c r="A866" s="199" t="s">
        <v>512</v>
      </c>
      <c r="B866" s="200" t="s">
        <v>513</v>
      </c>
      <c r="C866" s="201" t="s">
        <v>514</v>
      </c>
      <c r="D866" s="199" t="s">
        <v>515</v>
      </c>
      <c r="E866" s="202" t="s">
        <v>516</v>
      </c>
      <c r="F866" s="203" t="s">
        <v>1670</v>
      </c>
      <c r="G866" s="184"/>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c r="AS866" s="205"/>
      <c r="AT866" s="205"/>
      <c r="AU866" s="205"/>
      <c r="AV866" s="205"/>
      <c r="AW866" s="205"/>
      <c r="AX866" s="205"/>
      <c r="AY866" s="205"/>
      <c r="AZ866" s="205"/>
      <c r="BA866" s="205"/>
      <c r="BB866" s="205"/>
      <c r="BC866" s="205"/>
      <c r="BD866" s="205"/>
      <c r="BE866" s="205"/>
      <c r="BF866" s="205"/>
      <c r="BG866" s="205"/>
      <c r="BH866" s="205"/>
    </row>
    <row r="867" spans="1:60" ht="14.25" customHeight="1">
      <c r="A867" s="206"/>
      <c r="B867" s="207"/>
      <c r="C867" s="208" t="s">
        <v>1678</v>
      </c>
      <c r="D867" s="209"/>
      <c r="E867" s="210"/>
      <c r="F867" s="211"/>
    </row>
    <row r="868" spans="1:60" ht="14.25" customHeight="1">
      <c r="A868" s="212"/>
      <c r="B868" s="213" t="s">
        <v>2303</v>
      </c>
      <c r="C868" s="289" t="s">
        <v>2304</v>
      </c>
      <c r="D868" s="226" t="s">
        <v>1681</v>
      </c>
      <c r="E868" s="242">
        <f>'[5]COSTO CDMX,QRO,GDL '!I860</f>
        <v>2286.5505615604197</v>
      </c>
      <c r="F868" s="217" t="s">
        <v>284</v>
      </c>
    </row>
    <row r="869" spans="1:60" ht="14.25" customHeight="1">
      <c r="A869" s="212"/>
      <c r="B869" s="213" t="s">
        <v>2305</v>
      </c>
      <c r="C869" s="289" t="s">
        <v>1683</v>
      </c>
      <c r="D869" s="226" t="s">
        <v>1684</v>
      </c>
      <c r="E869" s="242">
        <f>'[5]COSTO CDMX,QRO,GDL '!I861</f>
        <v>2368.219732768453</v>
      </c>
      <c r="F869" s="217" t="s">
        <v>284</v>
      </c>
    </row>
    <row r="870" spans="1:60" ht="14.25" customHeight="1">
      <c r="A870" s="212"/>
      <c r="B870" s="213" t="s">
        <v>2306</v>
      </c>
      <c r="C870" s="292" t="s">
        <v>1686</v>
      </c>
      <c r="D870" s="226" t="s">
        <v>1687</v>
      </c>
      <c r="E870" s="242">
        <f>'[5]COSTO CDMX,QRO,GDL '!I862</f>
        <v>2466.4943149928486</v>
      </c>
      <c r="F870" s="217" t="s">
        <v>284</v>
      </c>
    </row>
    <row r="871" spans="1:60" ht="14.25" customHeight="1">
      <c r="A871" s="212"/>
      <c r="B871" s="213" t="s">
        <v>2307</v>
      </c>
      <c r="C871" s="289"/>
      <c r="D871" s="226" t="s">
        <v>1689</v>
      </c>
      <c r="E871" s="242">
        <f>'[5]COSTO CDMX,QRO,GDL '!I863</f>
        <v>2469.5644904314449</v>
      </c>
      <c r="F871" s="217" t="s">
        <v>284</v>
      </c>
    </row>
    <row r="872" spans="1:60" ht="14.25" customHeight="1">
      <c r="A872" s="212"/>
      <c r="B872" s="213" t="s">
        <v>2308</v>
      </c>
      <c r="C872" s="289"/>
      <c r="D872" s="226" t="s">
        <v>1691</v>
      </c>
      <c r="E872" s="242">
        <f>'[5]COSTO CDMX,QRO,GDL '!I864</f>
        <v>2554.4141274238232</v>
      </c>
      <c r="F872" s="217" t="s">
        <v>284</v>
      </c>
    </row>
    <row r="873" spans="1:60" ht="14.25" customHeight="1">
      <c r="A873" s="212"/>
      <c r="B873" s="213"/>
      <c r="C873" s="289"/>
      <c r="D873" s="226"/>
      <c r="E873" s="242"/>
      <c r="F873" s="296"/>
    </row>
    <row r="874" spans="1:60" ht="14.25" customHeight="1">
      <c r="A874" s="212"/>
      <c r="B874" s="213"/>
      <c r="C874" s="289"/>
      <c r="D874" s="226"/>
      <c r="E874" s="242"/>
      <c r="F874" s="296"/>
    </row>
    <row r="875" spans="1:60" ht="14.25" customHeight="1">
      <c r="A875" s="212"/>
      <c r="B875" s="213"/>
      <c r="C875" s="289"/>
      <c r="D875" s="226"/>
      <c r="E875" s="242"/>
      <c r="F875" s="296"/>
    </row>
    <row r="876" spans="1:60" ht="14.25" customHeight="1">
      <c r="A876" s="212"/>
      <c r="B876" s="213"/>
      <c r="C876" s="289"/>
      <c r="D876" s="226"/>
      <c r="E876" s="242"/>
      <c r="F876" s="296"/>
    </row>
    <row r="877" spans="1:60" ht="14.25" customHeight="1">
      <c r="A877" s="212"/>
      <c r="B877" s="213" t="s">
        <v>2309</v>
      </c>
      <c r="C877" s="289" t="s">
        <v>2304</v>
      </c>
      <c r="D877" s="226" t="s">
        <v>1693</v>
      </c>
      <c r="E877" s="242">
        <f>'[5]COSTO CDMX,QRO,GDL '!I869</f>
        <v>2806.3749117375482</v>
      </c>
      <c r="F877" s="217" t="s">
        <v>284</v>
      </c>
    </row>
    <row r="878" spans="1:60" ht="14.25" customHeight="1">
      <c r="A878" s="212"/>
      <c r="B878" s="213" t="s">
        <v>2310</v>
      </c>
      <c r="C878" s="289" t="s">
        <v>2311</v>
      </c>
      <c r="D878" s="226" t="s">
        <v>1695</v>
      </c>
      <c r="E878" s="242">
        <f>'[5]COSTO CDMX,QRO,GDL '!I870</f>
        <v>2960.7391505078485</v>
      </c>
      <c r="F878" s="217" t="s">
        <v>284</v>
      </c>
    </row>
    <row r="879" spans="1:60" ht="14.25" customHeight="1">
      <c r="A879" s="212"/>
      <c r="B879" s="213" t="s">
        <v>2312</v>
      </c>
      <c r="C879" s="292" t="s">
        <v>1697</v>
      </c>
      <c r="D879" s="226" t="s">
        <v>1698</v>
      </c>
      <c r="E879" s="242">
        <f>'[5]COSTO CDMX,QRO,GDL '!I871</f>
        <v>3014.9187170713158</v>
      </c>
      <c r="F879" s="217" t="s">
        <v>284</v>
      </c>
    </row>
    <row r="880" spans="1:60" ht="14.25" customHeight="1">
      <c r="A880" s="212"/>
      <c r="B880" s="213" t="s">
        <v>2313</v>
      </c>
      <c r="C880" s="289"/>
      <c r="D880" s="226" t="s">
        <v>1700</v>
      </c>
      <c r="E880" s="242">
        <f>'[5]COSTO CDMX,QRO,GDL '!I872</f>
        <v>3290.2523038763061</v>
      </c>
      <c r="F880" s="217" t="s">
        <v>284</v>
      </c>
    </row>
    <row r="881" spans="1:6" ht="14.25" customHeight="1">
      <c r="A881" s="212"/>
      <c r="B881" s="221"/>
      <c r="C881" s="289"/>
      <c r="D881" s="226"/>
      <c r="E881" s="242"/>
      <c r="F881" s="296"/>
    </row>
    <row r="882" spans="1:6" ht="14.25" customHeight="1">
      <c r="A882" s="212"/>
      <c r="B882" s="221"/>
      <c r="C882" s="289"/>
      <c r="D882" s="226"/>
      <c r="E882" s="242"/>
      <c r="F882" s="296"/>
    </row>
    <row r="883" spans="1:6" ht="14.25" customHeight="1">
      <c r="A883" s="212"/>
      <c r="B883" s="221"/>
      <c r="C883" s="289"/>
      <c r="D883" s="226"/>
      <c r="E883" s="242"/>
      <c r="F883" s="296"/>
    </row>
    <row r="884" spans="1:6" ht="14.25" customHeight="1">
      <c r="A884" s="212"/>
      <c r="B884" s="221"/>
      <c r="C884" s="289"/>
      <c r="D884" s="226"/>
      <c r="E884" s="242"/>
      <c r="F884" s="296"/>
    </row>
    <row r="885" spans="1:6" ht="14.25" customHeight="1">
      <c r="A885" s="206"/>
      <c r="B885" s="207"/>
      <c r="C885" s="208" t="s">
        <v>2314</v>
      </c>
      <c r="D885" s="209"/>
      <c r="E885" s="209"/>
      <c r="F885" s="209"/>
    </row>
    <row r="886" spans="1:6" ht="14.25" customHeight="1">
      <c r="A886" s="212"/>
      <c r="B886" s="213" t="s">
        <v>2315</v>
      </c>
      <c r="C886" s="289" t="s">
        <v>2316</v>
      </c>
      <c r="D886" s="356" t="s">
        <v>1681</v>
      </c>
      <c r="E886" s="242">
        <f>'[5]COSTO CDMX,QRO,GDL '!I878</f>
        <v>3259.6863819970326</v>
      </c>
      <c r="F886" s="217" t="s">
        <v>284</v>
      </c>
    </row>
    <row r="887" spans="1:6" ht="14.25" customHeight="1">
      <c r="A887" s="212"/>
      <c r="B887" s="213" t="s">
        <v>2317</v>
      </c>
      <c r="C887" s="289" t="s">
        <v>1683</v>
      </c>
      <c r="D887" s="221" t="s">
        <v>1684</v>
      </c>
      <c r="E887" s="242">
        <f>'[5]COSTO CDMX,QRO,GDL '!I879</f>
        <v>3349.0242778201819</v>
      </c>
      <c r="F887" s="217" t="s">
        <v>284</v>
      </c>
    </row>
    <row r="888" spans="1:6" ht="14.25" customHeight="1">
      <c r="A888" s="212"/>
      <c r="B888" s="213" t="s">
        <v>2318</v>
      </c>
      <c r="C888" s="292" t="s">
        <v>1686</v>
      </c>
      <c r="D888" s="221" t="s">
        <v>1687</v>
      </c>
      <c r="E888" s="242">
        <f>'[5]COSTO CDMX,QRO,GDL '!I880</f>
        <v>3458.339361194252</v>
      </c>
      <c r="F888" s="217" t="s">
        <v>284</v>
      </c>
    </row>
    <row r="889" spans="1:6" ht="14.25" customHeight="1">
      <c r="A889" s="212"/>
      <c r="B889" s="213" t="s">
        <v>2319</v>
      </c>
      <c r="C889" s="289"/>
      <c r="D889" s="221" t="s">
        <v>1689</v>
      </c>
      <c r="E889" s="242">
        <f>'[5]COSTO CDMX,QRO,GDL '!I881</f>
        <v>3461.8481331240769</v>
      </c>
      <c r="F889" s="217" t="s">
        <v>284</v>
      </c>
    </row>
    <row r="890" spans="1:6" ht="14.25" customHeight="1">
      <c r="A890" s="212"/>
      <c r="B890" s="213" t="s">
        <v>2320</v>
      </c>
      <c r="C890" s="289"/>
      <c r="D890" s="221" t="s">
        <v>1691</v>
      </c>
      <c r="E890" s="242">
        <f>'[5]COSTO CDMX,QRO,GDL '!I882</f>
        <v>3554.6209319943177</v>
      </c>
      <c r="F890" s="217" t="s">
        <v>284</v>
      </c>
    </row>
    <row r="891" spans="1:6" ht="14.25" customHeight="1">
      <c r="A891" s="212"/>
      <c r="B891" s="213"/>
      <c r="C891" s="289"/>
      <c r="D891" s="221"/>
      <c r="E891" s="242"/>
      <c r="F891" s="296"/>
    </row>
    <row r="892" spans="1:6" ht="14.25" customHeight="1">
      <c r="A892" s="212"/>
      <c r="B892" s="213"/>
      <c r="C892" s="289"/>
      <c r="D892" s="221"/>
      <c r="E892" s="242"/>
      <c r="F892" s="296"/>
    </row>
    <row r="893" spans="1:6" ht="14.25" customHeight="1">
      <c r="A893" s="212"/>
      <c r="B893" s="213"/>
      <c r="C893" s="289"/>
      <c r="D893" s="221"/>
      <c r="E893" s="242"/>
      <c r="F893" s="296"/>
    </row>
    <row r="894" spans="1:6" ht="14.25" customHeight="1">
      <c r="A894" s="212"/>
      <c r="B894" s="213"/>
      <c r="C894" s="289"/>
      <c r="D894" s="221"/>
      <c r="E894" s="242"/>
      <c r="F894" s="296"/>
    </row>
    <row r="895" spans="1:6" ht="14.25" customHeight="1">
      <c r="A895" s="212"/>
      <c r="B895" s="213" t="s">
        <v>2321</v>
      </c>
      <c r="C895" s="289" t="s">
        <v>2316</v>
      </c>
      <c r="D895" s="226" t="s">
        <v>1693</v>
      </c>
      <c r="E895" s="242">
        <f>'[5]COSTO CDMX,QRO,GDL '!I887</f>
        <v>4486.3966084348885</v>
      </c>
      <c r="F895" s="217" t="s">
        <v>284</v>
      </c>
    </row>
    <row r="896" spans="1:6" ht="14.25" customHeight="1">
      <c r="A896" s="212"/>
      <c r="B896" s="213" t="s">
        <v>2322</v>
      </c>
      <c r="C896" s="289" t="s">
        <v>1683</v>
      </c>
      <c r="D896" s="226" t="s">
        <v>1695</v>
      </c>
      <c r="E896" s="242">
        <f>'[5]COSTO CDMX,QRO,GDL '!I888</f>
        <v>4740.1068903315818</v>
      </c>
      <c r="F896" s="217" t="s">
        <v>284</v>
      </c>
    </row>
    <row r="897" spans="1:6" ht="14.25" customHeight="1">
      <c r="A897" s="212"/>
      <c r="B897" s="213" t="s">
        <v>2323</v>
      </c>
      <c r="C897" s="292" t="s">
        <v>1697</v>
      </c>
      <c r="D897" s="226" t="s">
        <v>1698</v>
      </c>
      <c r="E897" s="242">
        <f>'[5]COSTO CDMX,QRO,GDL '!I889</f>
        <v>4802.0263949755445</v>
      </c>
      <c r="F897" s="217" t="s">
        <v>284</v>
      </c>
    </row>
    <row r="898" spans="1:6" ht="14.25" customHeight="1">
      <c r="A898" s="212"/>
      <c r="B898" s="213" t="s">
        <v>2324</v>
      </c>
      <c r="C898" s="289"/>
      <c r="D898" s="226" t="s">
        <v>1700</v>
      </c>
      <c r="E898" s="242">
        <f>'[5]COSTO CDMX,QRO,GDL '!I890</f>
        <v>5106.1978142357693</v>
      </c>
      <c r="F898" s="217" t="s">
        <v>284</v>
      </c>
    </row>
    <row r="899" spans="1:6" ht="14.25" customHeight="1">
      <c r="A899" s="212"/>
      <c r="B899" s="221"/>
      <c r="C899" s="289"/>
      <c r="D899" s="221"/>
      <c r="E899" s="242"/>
      <c r="F899" s="296"/>
    </row>
    <row r="900" spans="1:6" ht="14.25" customHeight="1">
      <c r="A900" s="212"/>
      <c r="B900" s="221"/>
      <c r="C900" s="289"/>
      <c r="D900" s="221"/>
      <c r="E900" s="242"/>
      <c r="F900" s="296"/>
    </row>
    <row r="901" spans="1:6" ht="14.25" customHeight="1">
      <c r="A901" s="212"/>
      <c r="B901" s="221"/>
      <c r="C901" s="289"/>
      <c r="D901" s="221"/>
      <c r="E901" s="242"/>
      <c r="F901" s="296"/>
    </row>
    <row r="902" spans="1:6" ht="14.25" customHeight="1">
      <c r="A902" s="212"/>
      <c r="B902" s="221"/>
      <c r="C902" s="289"/>
      <c r="D902" s="224"/>
      <c r="E902" s="242"/>
      <c r="F902" s="296"/>
    </row>
    <row r="903" spans="1:6" ht="14.25" customHeight="1">
      <c r="A903" s="206"/>
      <c r="B903" s="207"/>
      <c r="C903" s="208" t="s">
        <v>1712</v>
      </c>
      <c r="D903" s="209"/>
      <c r="E903" s="209"/>
      <c r="F903" s="209"/>
    </row>
    <row r="904" spans="1:6" ht="14.25" customHeight="1">
      <c r="A904" s="294"/>
      <c r="B904" s="213" t="s">
        <v>2325</v>
      </c>
      <c r="C904" s="289" t="s">
        <v>2326</v>
      </c>
      <c r="D904" s="226" t="s">
        <v>1693</v>
      </c>
      <c r="E904" s="242">
        <f>'[5]COSTO CDMX,QRO,GDL '!I896</f>
        <v>4680.7771635378158</v>
      </c>
      <c r="F904" s="217" t="s">
        <v>284</v>
      </c>
    </row>
    <row r="905" spans="1:6" ht="14.25" customHeight="1">
      <c r="A905" s="294"/>
      <c r="B905" s="213" t="s">
        <v>2327</v>
      </c>
      <c r="C905" s="289" t="s">
        <v>1683</v>
      </c>
      <c r="D905" s="226" t="s">
        <v>1695</v>
      </c>
      <c r="E905" s="242">
        <f>'[5]COSTO CDMX,QRO,GDL '!I897</f>
        <v>4773.5499624080576</v>
      </c>
      <c r="F905" s="217" t="s">
        <v>284</v>
      </c>
    </row>
    <row r="906" spans="1:6" ht="14.25" customHeight="1">
      <c r="A906" s="294"/>
      <c r="B906" s="213" t="s">
        <v>2328</v>
      </c>
      <c r="C906" s="292" t="s">
        <v>1697</v>
      </c>
      <c r="D906" s="226" t="s">
        <v>1698</v>
      </c>
      <c r="E906" s="242">
        <f>'[5]COSTO CDMX,QRO,GDL '!I898</f>
        <v>4794.1897972893767</v>
      </c>
      <c r="F906" s="217" t="s">
        <v>284</v>
      </c>
    </row>
    <row r="907" spans="1:6" ht="14.25" customHeight="1">
      <c r="A907" s="294"/>
      <c r="B907" s="213" t="s">
        <v>2329</v>
      </c>
      <c r="C907" s="289"/>
      <c r="D907" s="226" t="s">
        <v>1700</v>
      </c>
      <c r="E907" s="242">
        <f>'[5]COSTO CDMX,QRO,GDL '!I899</f>
        <v>4960.1807809404554</v>
      </c>
      <c r="F907" s="217" t="s">
        <v>284</v>
      </c>
    </row>
    <row r="908" spans="1:6" ht="14.25" customHeight="1">
      <c r="A908" s="212"/>
      <c r="B908" s="221"/>
      <c r="C908" s="289"/>
      <c r="D908" s="226"/>
      <c r="E908" s="242"/>
      <c r="F908" s="296"/>
    </row>
    <row r="909" spans="1:6" ht="14.25" customHeight="1">
      <c r="A909" s="212"/>
      <c r="B909" s="221"/>
      <c r="C909" s="289"/>
      <c r="D909" s="226"/>
      <c r="E909" s="242"/>
      <c r="F909" s="296"/>
    </row>
    <row r="910" spans="1:6" ht="14.25" customHeight="1">
      <c r="A910" s="212"/>
      <c r="B910" s="221"/>
      <c r="C910" s="289"/>
      <c r="D910" s="226"/>
      <c r="E910" s="242"/>
      <c r="F910" s="296"/>
    </row>
    <row r="911" spans="1:6" ht="14.25" customHeight="1">
      <c r="A911" s="212"/>
      <c r="B911" s="221"/>
      <c r="C911" s="289"/>
      <c r="D911" s="226"/>
      <c r="E911" s="242"/>
      <c r="F911" s="296"/>
    </row>
    <row r="912" spans="1:6" ht="14.25" customHeight="1">
      <c r="A912" s="212"/>
      <c r="B912" s="221"/>
      <c r="C912" s="289"/>
      <c r="D912" s="226"/>
      <c r="E912" s="242"/>
      <c r="F912" s="296"/>
    </row>
    <row r="913" spans="1:6" ht="14.25" customHeight="1">
      <c r="A913" s="245"/>
      <c r="B913" s="246"/>
      <c r="C913" s="208" t="s">
        <v>1724</v>
      </c>
      <c r="D913" s="247"/>
      <c r="E913" s="247"/>
      <c r="F913" s="298"/>
    </row>
    <row r="914" spans="1:6" ht="14.25" customHeight="1">
      <c r="A914" s="212"/>
      <c r="B914" s="213" t="s">
        <v>2330</v>
      </c>
      <c r="C914" s="289" t="s">
        <v>2331</v>
      </c>
      <c r="D914" s="226" t="s">
        <v>1681</v>
      </c>
      <c r="E914" s="242">
        <f>'[5]COSTO CDMX,QRO,GDL '!I906</f>
        <v>1654.4628422621743</v>
      </c>
      <c r="F914" s="217" t="s">
        <v>284</v>
      </c>
    </row>
    <row r="915" spans="1:6" ht="14.25" customHeight="1">
      <c r="A915" s="212"/>
      <c r="B915" s="213" t="s">
        <v>2332</v>
      </c>
      <c r="C915" s="289" t="s">
        <v>1683</v>
      </c>
      <c r="D915" s="226" t="s">
        <v>1684</v>
      </c>
      <c r="E915" s="242">
        <f>'[5]COSTO CDMX,QRO,GDL '!I907</f>
        <v>1736.1320134702082</v>
      </c>
      <c r="F915" s="217" t="s">
        <v>284</v>
      </c>
    </row>
    <row r="916" spans="1:6" ht="14.25" customHeight="1">
      <c r="A916" s="212"/>
      <c r="B916" s="213" t="s">
        <v>2333</v>
      </c>
      <c r="C916" s="292" t="s">
        <v>1686</v>
      </c>
      <c r="D916" s="226" t="s">
        <v>1687</v>
      </c>
      <c r="E916" s="242">
        <f>'[5]COSTO CDMX,QRO,GDL '!I908</f>
        <v>1834.4065956946029</v>
      </c>
      <c r="F916" s="217" t="s">
        <v>284</v>
      </c>
    </row>
    <row r="917" spans="1:6" ht="14.25" customHeight="1">
      <c r="A917" s="212"/>
      <c r="B917" s="213" t="s">
        <v>2334</v>
      </c>
      <c r="C917" s="289"/>
      <c r="D917" s="226" t="s">
        <v>1689</v>
      </c>
      <c r="E917" s="242">
        <f>'[5]COSTO CDMX,QRO,GDL '!I909</f>
        <v>1837.4767711331995</v>
      </c>
      <c r="F917" s="217" t="s">
        <v>284</v>
      </c>
    </row>
    <row r="918" spans="1:6" ht="14.25" customHeight="1">
      <c r="A918" s="212"/>
      <c r="B918" s="213" t="s">
        <v>2335</v>
      </c>
      <c r="C918" s="295"/>
      <c r="D918" s="226" t="s">
        <v>1691</v>
      </c>
      <c r="E918" s="242">
        <f>'[5]COSTO CDMX,QRO,GDL '!I910</f>
        <v>1922.3264081255772</v>
      </c>
      <c r="F918" s="217" t="s">
        <v>284</v>
      </c>
    </row>
    <row r="919" spans="1:6" ht="14.25" customHeight="1">
      <c r="A919" s="212"/>
      <c r="B919" s="213"/>
      <c r="C919" s="289"/>
      <c r="D919" s="226"/>
      <c r="E919" s="242"/>
      <c r="F919" s="296"/>
    </row>
    <row r="920" spans="1:6" ht="14.25" customHeight="1">
      <c r="A920" s="212"/>
      <c r="B920" s="213" t="s">
        <v>2336</v>
      </c>
      <c r="C920" s="289" t="s">
        <v>2331</v>
      </c>
      <c r="D920" s="226" t="s">
        <v>1693</v>
      </c>
      <c r="E920" s="242">
        <f>'[5]COSTO CDMX,QRO,GDL '!I912</f>
        <v>2174.2871924393025</v>
      </c>
      <c r="F920" s="217" t="s">
        <v>284</v>
      </c>
    </row>
    <row r="921" spans="1:6" ht="14.25" customHeight="1">
      <c r="A921" s="212"/>
      <c r="B921" s="213" t="s">
        <v>2337</v>
      </c>
      <c r="C921" s="289" t="s">
        <v>1683</v>
      </c>
      <c r="D921" s="226" t="s">
        <v>1695</v>
      </c>
      <c r="E921" s="242">
        <f>'[5]COSTO CDMX,QRO,GDL '!I913</f>
        <v>2328.6514312096028</v>
      </c>
      <c r="F921" s="217" t="s">
        <v>284</v>
      </c>
    </row>
    <row r="922" spans="1:6" ht="14.25" customHeight="1">
      <c r="A922" s="212"/>
      <c r="B922" s="213" t="s">
        <v>2338</v>
      </c>
      <c r="C922" s="292" t="s">
        <v>1697</v>
      </c>
      <c r="D922" s="226" t="s">
        <v>1698</v>
      </c>
      <c r="E922" s="242">
        <f>'[5]COSTO CDMX,QRO,GDL '!I914</f>
        <v>2382.8309977730705</v>
      </c>
      <c r="F922" s="217" t="s">
        <v>284</v>
      </c>
    </row>
    <row r="923" spans="1:6" ht="14.25" customHeight="1">
      <c r="A923" s="212"/>
      <c r="B923" s="213" t="s">
        <v>2339</v>
      </c>
      <c r="C923" s="295"/>
      <c r="D923" s="226" t="s">
        <v>1700</v>
      </c>
      <c r="E923" s="242">
        <f>'[5]COSTO CDMX,QRO,GDL '!I915</f>
        <v>2658.1645845780608</v>
      </c>
      <c r="F923" s="217" t="s">
        <v>284</v>
      </c>
    </row>
    <row r="924" spans="1:6" ht="14.25" customHeight="1">
      <c r="A924" s="212"/>
      <c r="B924" s="221"/>
      <c r="C924" s="289"/>
      <c r="D924" s="226"/>
      <c r="E924" s="242"/>
      <c r="F924" s="296"/>
    </row>
    <row r="925" spans="1:6" ht="14.25" customHeight="1">
      <c r="A925" s="245"/>
      <c r="B925" s="246"/>
      <c r="C925" s="208" t="s">
        <v>1735</v>
      </c>
      <c r="D925" s="247"/>
      <c r="E925" s="247"/>
      <c r="F925" s="247"/>
    </row>
    <row r="926" spans="1:6" ht="14.25" customHeight="1">
      <c r="A926" s="212"/>
      <c r="B926" s="213" t="s">
        <v>2340</v>
      </c>
      <c r="C926" s="289" t="s">
        <v>2341</v>
      </c>
      <c r="D926" s="226" t="s">
        <v>1681</v>
      </c>
      <c r="E926" s="242">
        <f>'[5]COSTO CDMX,QRO,GDL '!I918</f>
        <v>2537.3004170847516</v>
      </c>
      <c r="F926" s="217" t="s">
        <v>284</v>
      </c>
    </row>
    <row r="927" spans="1:6" ht="14.25" customHeight="1">
      <c r="A927" s="212"/>
      <c r="B927" s="213" t="s">
        <v>2342</v>
      </c>
      <c r="C927" s="289" t="s">
        <v>1683</v>
      </c>
      <c r="D927" s="226" t="s">
        <v>1684</v>
      </c>
      <c r="E927" s="242">
        <f>'[5]COSTO CDMX,QRO,GDL '!I919</f>
        <v>2626.6383129079009</v>
      </c>
      <c r="F927" s="217" t="s">
        <v>284</v>
      </c>
    </row>
    <row r="928" spans="1:6" ht="14.25" customHeight="1">
      <c r="A928" s="212"/>
      <c r="B928" s="213" t="s">
        <v>2343</v>
      </c>
      <c r="C928" s="292" t="s">
        <v>1686</v>
      </c>
      <c r="D928" s="226" t="s">
        <v>1687</v>
      </c>
      <c r="E928" s="242">
        <f>'[5]COSTO CDMX,QRO,GDL '!I920</f>
        <v>2735.953396281971</v>
      </c>
      <c r="F928" s="217" t="s">
        <v>284</v>
      </c>
    </row>
    <row r="929" spans="1:60" ht="14.25" customHeight="1">
      <c r="A929" s="212"/>
      <c r="B929" s="213" t="s">
        <v>2344</v>
      </c>
      <c r="C929" s="289"/>
      <c r="D929" s="226" t="s">
        <v>1689</v>
      </c>
      <c r="E929" s="242">
        <f>'[5]COSTO CDMX,QRO,GDL '!I921</f>
        <v>2739.4621682117959</v>
      </c>
      <c r="F929" s="217" t="s">
        <v>284</v>
      </c>
    </row>
    <row r="930" spans="1:60" ht="14.25" customHeight="1">
      <c r="A930" s="212"/>
      <c r="B930" s="213" t="s">
        <v>2345</v>
      </c>
      <c r="C930" s="295"/>
      <c r="D930" s="226" t="s">
        <v>1691</v>
      </c>
      <c r="E930" s="242">
        <f>'[5]COSTO CDMX,QRO,GDL '!I922</f>
        <v>2832.2349670820367</v>
      </c>
      <c r="F930" s="217" t="s">
        <v>284</v>
      </c>
    </row>
    <row r="931" spans="1:60" ht="14.25" customHeight="1">
      <c r="A931" s="212"/>
      <c r="B931" s="213"/>
      <c r="C931" s="289"/>
      <c r="D931" s="226"/>
      <c r="E931" s="242"/>
      <c r="F931" s="280"/>
    </row>
    <row r="932" spans="1:60" ht="14.25" customHeight="1">
      <c r="A932" s="212"/>
      <c r="B932" s="213" t="s">
        <v>2346</v>
      </c>
      <c r="C932" s="289" t="s">
        <v>2341</v>
      </c>
      <c r="D932" s="226" t="s">
        <v>1693</v>
      </c>
      <c r="E932" s="242">
        <f>'[5]COSTO CDMX,QRO,GDL '!I924</f>
        <v>3764.0106435226085</v>
      </c>
      <c r="F932" s="217" t="s">
        <v>284</v>
      </c>
    </row>
    <row r="933" spans="1:60" ht="14.25" customHeight="1">
      <c r="A933" s="212"/>
      <c r="B933" s="213" t="s">
        <v>2347</v>
      </c>
      <c r="C933" s="289" t="s">
        <v>1683</v>
      </c>
      <c r="D933" s="226" t="s">
        <v>1695</v>
      </c>
      <c r="E933" s="242">
        <f>'[5]COSTO CDMX,QRO,GDL '!I925</f>
        <v>4017.7209254193008</v>
      </c>
      <c r="F933" s="217" t="s">
        <v>284</v>
      </c>
    </row>
    <row r="934" spans="1:60" ht="14.25" customHeight="1">
      <c r="A934" s="212"/>
      <c r="B934" s="213" t="s">
        <v>2348</v>
      </c>
      <c r="C934" s="292" t="s">
        <v>1697</v>
      </c>
      <c r="D934" s="226" t="s">
        <v>1698</v>
      </c>
      <c r="E934" s="242">
        <f>'[5]COSTO CDMX,QRO,GDL '!I926</f>
        <v>4079.6404300632644</v>
      </c>
      <c r="F934" s="217" t="s">
        <v>284</v>
      </c>
    </row>
    <row r="935" spans="1:60" ht="14.25" customHeight="1">
      <c r="A935" s="212"/>
      <c r="B935" s="213" t="s">
        <v>2349</v>
      </c>
      <c r="C935" s="295"/>
      <c r="D935" s="226" t="s">
        <v>1700</v>
      </c>
      <c r="E935" s="242">
        <f>'[5]COSTO CDMX,QRO,GDL '!I927</f>
        <v>4383.8118493234888</v>
      </c>
      <c r="F935" s="217" t="s">
        <v>284</v>
      </c>
    </row>
    <row r="936" spans="1:60" ht="14.25" customHeight="1">
      <c r="A936" s="212"/>
      <c r="B936" s="221"/>
      <c r="C936" s="289"/>
      <c r="D936" s="226"/>
      <c r="E936" s="227"/>
      <c r="F936" s="296"/>
    </row>
    <row r="937" spans="1:60" s="184" customFormat="1" ht="15" customHeight="1">
      <c r="A937" s="232" t="s">
        <v>2013</v>
      </c>
      <c r="B937" s="233"/>
      <c r="C937" s="1524" t="s">
        <v>2350</v>
      </c>
      <c r="D937" s="232"/>
      <c r="E937" s="235"/>
      <c r="F937" s="236"/>
      <c r="G937" s="183"/>
      <c r="H937" s="183"/>
      <c r="I937" s="183"/>
      <c r="J937" s="183"/>
      <c r="K937" s="183"/>
      <c r="L937" s="183"/>
      <c r="M937" s="183"/>
      <c r="N937" s="190"/>
      <c r="O937" s="190"/>
      <c r="P937" s="190"/>
      <c r="Q937" s="190"/>
      <c r="R937" s="190"/>
      <c r="S937" s="190"/>
      <c r="T937" s="190"/>
      <c r="U937" s="190"/>
      <c r="V937" s="190"/>
      <c r="W937" s="190"/>
      <c r="X937" s="190"/>
      <c r="Y937" s="190"/>
      <c r="Z937" s="190"/>
      <c r="AA937" s="190"/>
      <c r="AB937" s="190"/>
      <c r="AC937" s="190"/>
      <c r="AD937" s="190"/>
      <c r="AE937" s="190"/>
      <c r="AF937" s="190"/>
      <c r="AG937" s="190"/>
      <c r="AH937" s="190"/>
      <c r="AI937" s="190"/>
      <c r="AJ937" s="190"/>
      <c r="AK937" s="190"/>
      <c r="AL937" s="190"/>
      <c r="AM937" s="190"/>
      <c r="AN937" s="190"/>
      <c r="AO937" s="190"/>
      <c r="AP937" s="190"/>
      <c r="AQ937" s="190"/>
      <c r="AR937" s="190"/>
      <c r="AS937" s="190"/>
      <c r="AT937" s="190"/>
      <c r="AU937" s="190"/>
      <c r="AV937" s="190"/>
      <c r="AW937" s="190"/>
      <c r="AX937" s="190"/>
      <c r="AY937" s="190"/>
      <c r="AZ937" s="190"/>
      <c r="BA937" s="190"/>
      <c r="BB937" s="190"/>
      <c r="BC937" s="190"/>
      <c r="BD937" s="190"/>
      <c r="BE937" s="190"/>
      <c r="BF937" s="190"/>
      <c r="BG937" s="190"/>
      <c r="BH937" s="190"/>
    </row>
    <row r="938" spans="1:60" s="198" customFormat="1" ht="15" customHeight="1">
      <c r="A938" s="237" t="s">
        <v>1669</v>
      </c>
      <c r="B938" s="238"/>
      <c r="C938" s="1525"/>
      <c r="D938" s="285"/>
      <c r="E938" s="286"/>
      <c r="F938" s="287"/>
      <c r="G938" s="196"/>
      <c r="H938" s="196"/>
      <c r="I938" s="196"/>
      <c r="J938" s="196"/>
      <c r="K938" s="196"/>
      <c r="L938" s="196"/>
      <c r="M938" s="196"/>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7"/>
      <c r="AR938" s="197"/>
      <c r="AS938" s="197"/>
      <c r="AT938" s="197"/>
      <c r="AU938" s="197"/>
      <c r="AV938" s="197"/>
      <c r="AW938" s="197"/>
      <c r="AX938" s="197"/>
      <c r="AY938" s="197"/>
      <c r="AZ938" s="197"/>
      <c r="BA938" s="197"/>
      <c r="BB938" s="197"/>
      <c r="BC938" s="197"/>
      <c r="BD938" s="197"/>
      <c r="BE938" s="197"/>
      <c r="BF938" s="197"/>
      <c r="BG938" s="197"/>
      <c r="BH938" s="197"/>
    </row>
    <row r="939" spans="1:60" s="204" customFormat="1">
      <c r="A939" s="199" t="s">
        <v>512</v>
      </c>
      <c r="B939" s="200" t="s">
        <v>513</v>
      </c>
      <c r="C939" s="201" t="s">
        <v>514</v>
      </c>
      <c r="D939" s="199" t="s">
        <v>515</v>
      </c>
      <c r="E939" s="202" t="s">
        <v>516</v>
      </c>
      <c r="F939" s="203" t="s">
        <v>1670</v>
      </c>
      <c r="G939" s="184"/>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c r="AS939" s="205"/>
      <c r="AT939" s="205"/>
      <c r="AU939" s="205"/>
      <c r="AV939" s="205"/>
      <c r="AW939" s="205"/>
      <c r="AX939" s="205"/>
      <c r="AY939" s="205"/>
      <c r="AZ939" s="205"/>
      <c r="BA939" s="205"/>
      <c r="BB939" s="205"/>
      <c r="BC939" s="205"/>
      <c r="BD939" s="205"/>
      <c r="BE939" s="205"/>
      <c r="BF939" s="205"/>
      <c r="BG939" s="205"/>
      <c r="BH939" s="205"/>
    </row>
    <row r="940" spans="1:60" ht="15" customHeight="1">
      <c r="A940" s="206"/>
      <c r="B940" s="207"/>
      <c r="C940" s="208" t="s">
        <v>1678</v>
      </c>
      <c r="D940" s="209"/>
      <c r="E940" s="210"/>
      <c r="F940" s="211"/>
    </row>
    <row r="941" spans="1:60" ht="14.25" customHeight="1">
      <c r="A941" s="212"/>
      <c r="B941" s="213" t="s">
        <v>2351</v>
      </c>
      <c r="C941" s="289" t="s">
        <v>2352</v>
      </c>
      <c r="D941" s="226" t="s">
        <v>1681</v>
      </c>
      <c r="E941" s="242">
        <f>'[5]COSTO CDMX,QRO,GDL '!I933</f>
        <v>2447.0371846493376</v>
      </c>
      <c r="F941" s="217" t="s">
        <v>284</v>
      </c>
    </row>
    <row r="942" spans="1:60" ht="14.25" customHeight="1">
      <c r="A942" s="212"/>
      <c r="B942" s="213" t="s">
        <v>2353</v>
      </c>
      <c r="C942" s="289" t="s">
        <v>1683</v>
      </c>
      <c r="D942" s="226" t="s">
        <v>1684</v>
      </c>
      <c r="E942" s="242">
        <f>'[5]COSTO CDMX,QRO,GDL '!I934</f>
        <v>2525.2078434945929</v>
      </c>
      <c r="F942" s="217" t="s">
        <v>284</v>
      </c>
    </row>
    <row r="943" spans="1:60" ht="14.25" customHeight="1">
      <c r="A943" s="212"/>
      <c r="B943" s="213" t="s">
        <v>2354</v>
      </c>
      <c r="C943" s="292" t="s">
        <v>1686</v>
      </c>
      <c r="D943" s="226" t="s">
        <v>1687</v>
      </c>
      <c r="E943" s="242">
        <f>'[5]COSTO CDMX,QRO,GDL '!I935</f>
        <v>2620.8585414469039</v>
      </c>
      <c r="F943" s="217" t="s">
        <v>284</v>
      </c>
    </row>
    <row r="944" spans="1:60" ht="14.25" customHeight="1">
      <c r="A944" s="212"/>
      <c r="B944" s="213" t="s">
        <v>2355</v>
      </c>
      <c r="C944" s="289"/>
      <c r="D944" s="226" t="s">
        <v>1689</v>
      </c>
      <c r="E944" s="242">
        <f>'[5]COSTO CDMX,QRO,GDL '!I936</f>
        <v>2623.9287168855003</v>
      </c>
      <c r="F944" s="217" t="s">
        <v>284</v>
      </c>
    </row>
    <row r="945" spans="1:6" ht="14.25" customHeight="1">
      <c r="A945" s="212"/>
      <c r="B945" s="213" t="s">
        <v>2356</v>
      </c>
      <c r="C945" s="289"/>
      <c r="D945" s="226" t="s">
        <v>1691</v>
      </c>
      <c r="E945" s="242">
        <f>'[5]COSTO CDMX,QRO,GDL '!I937</f>
        <v>2705.1049158969613</v>
      </c>
      <c r="F945" s="217" t="s">
        <v>284</v>
      </c>
    </row>
    <row r="946" spans="1:6" ht="14.25" customHeight="1">
      <c r="A946" s="212"/>
      <c r="B946" s="213"/>
      <c r="C946" s="289"/>
      <c r="D946" s="226"/>
      <c r="E946" s="242"/>
      <c r="F946" s="296"/>
    </row>
    <row r="947" spans="1:6" ht="14.25" customHeight="1">
      <c r="A947" s="212"/>
      <c r="B947" s="213"/>
      <c r="C947" s="289"/>
      <c r="D947" s="226"/>
      <c r="E947" s="242"/>
      <c r="F947" s="296"/>
    </row>
    <row r="948" spans="1:6" ht="14.25" customHeight="1">
      <c r="A948" s="212"/>
      <c r="B948" s="213"/>
      <c r="C948" s="289"/>
      <c r="D948" s="226"/>
      <c r="E948" s="242"/>
      <c r="F948" s="296"/>
    </row>
    <row r="949" spans="1:6" ht="14.25" customHeight="1">
      <c r="A949" s="212"/>
      <c r="B949" s="213"/>
      <c r="C949" s="289"/>
      <c r="D949" s="226"/>
      <c r="E949" s="242"/>
      <c r="F949" s="296"/>
    </row>
    <row r="950" spans="1:6" ht="14.25" customHeight="1">
      <c r="A950" s="212"/>
      <c r="B950" s="213" t="s">
        <v>2357</v>
      </c>
      <c r="C950" s="289" t="s">
        <v>2352</v>
      </c>
      <c r="D950" s="226" t="s">
        <v>1693</v>
      </c>
      <c r="E950" s="242">
        <f>'[5]COSTO CDMX,QRO,GDL '!I942</f>
        <v>3520.4086327824621</v>
      </c>
      <c r="F950" s="217" t="s">
        <v>284</v>
      </c>
    </row>
    <row r="951" spans="1:6" ht="14.25" customHeight="1">
      <c r="A951" s="212"/>
      <c r="B951" s="213" t="s">
        <v>2358</v>
      </c>
      <c r="C951" s="289" t="s">
        <v>1683</v>
      </c>
      <c r="D951" s="226" t="s">
        <v>1695</v>
      </c>
      <c r="E951" s="242">
        <f>'[5]COSTO CDMX,QRO,GDL '!I943</f>
        <v>3742.4051294420669</v>
      </c>
      <c r="F951" s="217" t="s">
        <v>284</v>
      </c>
    </row>
    <row r="952" spans="1:6" ht="14.25" customHeight="1">
      <c r="A952" s="212"/>
      <c r="B952" s="213" t="s">
        <v>2359</v>
      </c>
      <c r="C952" s="292" t="s">
        <v>1697</v>
      </c>
      <c r="D952" s="226" t="s">
        <v>1698</v>
      </c>
      <c r="E952" s="242">
        <f>'[5]COSTO CDMX,QRO,GDL '!I944</f>
        <v>3796.5846960055346</v>
      </c>
      <c r="F952" s="217" t="s">
        <v>284</v>
      </c>
    </row>
    <row r="953" spans="1:6" ht="14.25" customHeight="1">
      <c r="A953" s="212"/>
      <c r="B953" s="213" t="s">
        <v>2360</v>
      </c>
      <c r="C953" s="289"/>
      <c r="D953" s="226" t="s">
        <v>1700</v>
      </c>
      <c r="E953" s="242">
        <f>'[5]COSTO CDMX,QRO,GDL '!I945</f>
        <v>4062.7346878582312</v>
      </c>
      <c r="F953" s="217" t="s">
        <v>284</v>
      </c>
    </row>
    <row r="954" spans="1:6" ht="14.25" customHeight="1">
      <c r="A954" s="212"/>
      <c r="B954" s="221"/>
      <c r="C954" s="289"/>
      <c r="D954" s="226"/>
      <c r="E954" s="242"/>
      <c r="F954" s="296"/>
    </row>
    <row r="955" spans="1:6" ht="14.25" customHeight="1">
      <c r="A955" s="212"/>
      <c r="B955" s="221"/>
      <c r="C955" s="289"/>
      <c r="D955" s="226"/>
      <c r="E955" s="242"/>
      <c r="F955" s="296"/>
    </row>
    <row r="956" spans="1:6" ht="14.25" customHeight="1">
      <c r="A956" s="212"/>
      <c r="B956" s="221"/>
      <c r="C956" s="289"/>
      <c r="D956" s="226"/>
      <c r="E956" s="242"/>
      <c r="F956" s="296"/>
    </row>
    <row r="957" spans="1:6" ht="14.25" customHeight="1">
      <c r="A957" s="212"/>
      <c r="B957" s="221"/>
      <c r="C957" s="289"/>
      <c r="D957" s="226"/>
      <c r="E957" s="242"/>
      <c r="F957" s="296"/>
    </row>
    <row r="958" spans="1:6" ht="14.25" customHeight="1">
      <c r="A958" s="212"/>
      <c r="B958" s="221"/>
      <c r="C958" s="289"/>
      <c r="D958" s="226"/>
      <c r="E958" s="242"/>
      <c r="F958" s="296"/>
    </row>
    <row r="959" spans="1:6" ht="14.25" customHeight="1">
      <c r="A959" s="206"/>
      <c r="B959" s="207"/>
      <c r="C959" s="208" t="s">
        <v>2314</v>
      </c>
      <c r="D959" s="209"/>
      <c r="E959" s="209"/>
      <c r="F959" s="271"/>
    </row>
    <row r="960" spans="1:6" ht="14.25" customHeight="1">
      <c r="A960" s="212"/>
      <c r="B960" s="213" t="s">
        <v>2361</v>
      </c>
      <c r="C960" s="289" t="s">
        <v>2362</v>
      </c>
      <c r="D960" s="226" t="s">
        <v>1681</v>
      </c>
      <c r="E960" s="242">
        <f>'[5]COSTO CDMX,QRO,GDL '!I952</f>
        <v>3898.8408474946127</v>
      </c>
      <c r="F960" s="217" t="s">
        <v>284</v>
      </c>
    </row>
    <row r="961" spans="1:6" ht="14.25" customHeight="1">
      <c r="A961" s="212"/>
      <c r="B961" s="213" t="s">
        <v>2363</v>
      </c>
      <c r="C961" s="289" t="s">
        <v>1683</v>
      </c>
      <c r="D961" s="226" t="s">
        <v>1684</v>
      </c>
      <c r="E961" s="242">
        <f>'[5]COSTO CDMX,QRO,GDL '!I953</f>
        <v>4071.2547027046185</v>
      </c>
      <c r="F961" s="217" t="s">
        <v>284</v>
      </c>
    </row>
    <row r="962" spans="1:6" ht="14.25" customHeight="1">
      <c r="A962" s="212"/>
      <c r="B962" s="213" t="s">
        <v>2364</v>
      </c>
      <c r="C962" s="292" t="s">
        <v>1686</v>
      </c>
      <c r="D962" s="226" t="s">
        <v>1687</v>
      </c>
      <c r="E962" s="242">
        <f>'[5]COSTO CDMX,QRO,GDL '!I954</f>
        <v>4263.6457454655438</v>
      </c>
      <c r="F962" s="217" t="s">
        <v>284</v>
      </c>
    </row>
    <row r="963" spans="1:6" ht="14.25" customHeight="1">
      <c r="A963" s="212"/>
      <c r="B963" s="213" t="s">
        <v>2365</v>
      </c>
      <c r="C963" s="289"/>
      <c r="D963" s="226" t="s">
        <v>1689</v>
      </c>
      <c r="E963" s="242">
        <f>'[5]COSTO CDMX,QRO,GDL '!I955</f>
        <v>4350.2304767822252</v>
      </c>
      <c r="F963" s="217" t="s">
        <v>284</v>
      </c>
    </row>
    <row r="964" spans="1:6" ht="14.25" customHeight="1">
      <c r="A964" s="212"/>
      <c r="B964" s="213" t="s">
        <v>2366</v>
      </c>
      <c r="C964" s="289"/>
      <c r="D964" s="226" t="s">
        <v>1691</v>
      </c>
      <c r="E964" s="242">
        <f>'[5]COSTO CDMX,QRO,GDL '!I956</f>
        <v>4526.0792350393231</v>
      </c>
      <c r="F964" s="217" t="s">
        <v>284</v>
      </c>
    </row>
    <row r="965" spans="1:6" ht="14.25" customHeight="1">
      <c r="A965" s="212"/>
      <c r="B965" s="213"/>
      <c r="C965" s="289"/>
      <c r="D965" s="226"/>
      <c r="E965" s="242"/>
      <c r="F965" s="296"/>
    </row>
    <row r="966" spans="1:6" ht="14.25" customHeight="1">
      <c r="A966" s="212"/>
      <c r="B966" s="213"/>
      <c r="C966" s="289"/>
      <c r="D966" s="226"/>
      <c r="E966" s="242"/>
      <c r="F966" s="296"/>
    </row>
    <row r="967" spans="1:6" ht="14.25" customHeight="1">
      <c r="A967" s="212"/>
      <c r="B967" s="213"/>
      <c r="C967" s="289"/>
      <c r="D967" s="226"/>
      <c r="E967" s="242"/>
      <c r="F967" s="296"/>
    </row>
    <row r="968" spans="1:6" ht="14.25" customHeight="1">
      <c r="A968" s="212"/>
      <c r="B968" s="213"/>
      <c r="C968" s="289"/>
      <c r="D968" s="226"/>
      <c r="E968" s="242"/>
      <c r="F968" s="296"/>
    </row>
    <row r="969" spans="1:6" ht="14.25" customHeight="1">
      <c r="A969" s="212"/>
      <c r="B969" s="213" t="s">
        <v>2367</v>
      </c>
      <c r="C969" s="289" t="s">
        <v>2362</v>
      </c>
      <c r="D969" s="226" t="s">
        <v>1693</v>
      </c>
      <c r="E969" s="242">
        <f>'[5]COSTO CDMX,QRO,GDL '!I961</f>
        <v>5590.3752513062391</v>
      </c>
      <c r="F969" s="217" t="s">
        <v>284</v>
      </c>
    </row>
    <row r="970" spans="1:6" ht="14.25" customHeight="1">
      <c r="A970" s="212"/>
      <c r="B970" s="213" t="s">
        <v>2368</v>
      </c>
      <c r="C970" s="289" t="s">
        <v>1683</v>
      </c>
      <c r="D970" s="226" t="s">
        <v>1695</v>
      </c>
      <c r="E970" s="242">
        <f>'[5]COSTO CDMX,QRO,GDL '!I962</f>
        <v>5976.6058730292752</v>
      </c>
      <c r="F970" s="217" t="s">
        <v>284</v>
      </c>
    </row>
    <row r="971" spans="1:6" ht="14.25" customHeight="1">
      <c r="A971" s="212"/>
      <c r="B971" s="213" t="s">
        <v>2369</v>
      </c>
      <c r="C971" s="292" t="s">
        <v>1697</v>
      </c>
      <c r="D971" s="226" t="s">
        <v>1698</v>
      </c>
      <c r="E971" s="242">
        <f>'[5]COSTO CDMX,QRO,GDL '!I963</f>
        <v>6110.4098869453919</v>
      </c>
      <c r="F971" s="217" t="s">
        <v>284</v>
      </c>
    </row>
    <row r="972" spans="1:6" ht="14.25" customHeight="1">
      <c r="A972" s="212"/>
      <c r="B972" s="213" t="s">
        <v>2370</v>
      </c>
      <c r="C972" s="289"/>
      <c r="D972" s="226" t="s">
        <v>1700</v>
      </c>
      <c r="E972" s="242">
        <f>'[5]COSTO CDMX,QRO,GDL '!I964</f>
        <v>2934.425078192769</v>
      </c>
      <c r="F972" s="217" t="s">
        <v>284</v>
      </c>
    </row>
    <row r="973" spans="1:6" ht="14.25" customHeight="1">
      <c r="A973" s="212"/>
      <c r="B973" s="213"/>
      <c r="C973" s="289"/>
      <c r="D973" s="226"/>
      <c r="E973" s="242"/>
      <c r="F973" s="296"/>
    </row>
    <row r="974" spans="1:6" ht="14.25" customHeight="1">
      <c r="A974" s="212"/>
      <c r="B974" s="221"/>
      <c r="C974" s="289"/>
      <c r="D974" s="226"/>
      <c r="E974" s="242"/>
      <c r="F974" s="296"/>
    </row>
    <row r="975" spans="1:6" ht="14.25" customHeight="1">
      <c r="A975" s="212"/>
      <c r="B975" s="221"/>
      <c r="C975" s="289"/>
      <c r="D975" s="226"/>
      <c r="E975" s="242"/>
      <c r="F975" s="296"/>
    </row>
    <row r="976" spans="1:6" ht="14.25" customHeight="1">
      <c r="A976" s="212"/>
      <c r="B976" s="221"/>
      <c r="C976" s="244"/>
      <c r="D976" s="226"/>
      <c r="E976" s="242"/>
      <c r="F976" s="296"/>
    </row>
    <row r="977" spans="1:6" ht="14.25" customHeight="1">
      <c r="A977" s="206"/>
      <c r="B977" s="207"/>
      <c r="C977" s="208" t="s">
        <v>1712</v>
      </c>
      <c r="D977" s="209"/>
      <c r="E977" s="209"/>
      <c r="F977" s="271"/>
    </row>
    <row r="978" spans="1:6" ht="14.25" customHeight="1">
      <c r="A978" s="294"/>
      <c r="B978" s="213" t="s">
        <v>2325</v>
      </c>
      <c r="C978" s="289" t="s">
        <v>2326</v>
      </c>
      <c r="D978" s="226" t="s">
        <v>1693</v>
      </c>
      <c r="E978" s="242">
        <f>'[5]COSTO CDMX,QRO,GDL '!I970</f>
        <v>4680.7771635378158</v>
      </c>
      <c r="F978" s="217" t="s">
        <v>284</v>
      </c>
    </row>
    <row r="979" spans="1:6" ht="14.25" customHeight="1">
      <c r="A979" s="294"/>
      <c r="B979" s="213" t="s">
        <v>2327</v>
      </c>
      <c r="C979" s="289" t="s">
        <v>1683</v>
      </c>
      <c r="D979" s="226" t="s">
        <v>1695</v>
      </c>
      <c r="E979" s="242">
        <f>'[5]COSTO CDMX,QRO,GDL '!I971</f>
        <v>4773.5499624080576</v>
      </c>
      <c r="F979" s="217" t="s">
        <v>284</v>
      </c>
    </row>
    <row r="980" spans="1:6" ht="14.25" customHeight="1">
      <c r="A980" s="294"/>
      <c r="B980" s="213" t="s">
        <v>2328</v>
      </c>
      <c r="C980" s="292" t="s">
        <v>1697</v>
      </c>
      <c r="D980" s="226" t="s">
        <v>1698</v>
      </c>
      <c r="E980" s="242">
        <f>'[5]COSTO CDMX,QRO,GDL '!I972</f>
        <v>4794.1897972893767</v>
      </c>
      <c r="F980" s="217" t="s">
        <v>284</v>
      </c>
    </row>
    <row r="981" spans="1:6" ht="14.25" customHeight="1">
      <c r="A981" s="294"/>
      <c r="B981" s="213" t="s">
        <v>2329</v>
      </c>
      <c r="C981" s="289"/>
      <c r="D981" s="226" t="s">
        <v>1700</v>
      </c>
      <c r="E981" s="242">
        <f>'[5]COSTO CDMX,QRO,GDL '!I973</f>
        <v>4960.1807809404554</v>
      </c>
      <c r="F981" s="217" t="s">
        <v>284</v>
      </c>
    </row>
    <row r="982" spans="1:6" ht="14.25" customHeight="1">
      <c r="A982" s="212"/>
      <c r="B982" s="213"/>
      <c r="C982" s="289"/>
      <c r="D982" s="226"/>
      <c r="E982" s="242"/>
      <c r="F982" s="296"/>
    </row>
    <row r="983" spans="1:6" ht="14.25" customHeight="1">
      <c r="A983" s="212"/>
      <c r="B983" s="213"/>
      <c r="C983" s="289"/>
      <c r="D983" s="226"/>
      <c r="E983" s="242"/>
      <c r="F983" s="296"/>
    </row>
    <row r="984" spans="1:6" ht="14.25" customHeight="1">
      <c r="A984" s="212"/>
      <c r="B984" s="221"/>
      <c r="C984" s="289"/>
      <c r="D984" s="226"/>
      <c r="E984" s="242"/>
      <c r="F984" s="296"/>
    </row>
    <row r="985" spans="1:6" ht="14.25" customHeight="1">
      <c r="A985" s="212"/>
      <c r="B985" s="221"/>
      <c r="C985" s="289"/>
      <c r="D985" s="226"/>
      <c r="E985" s="242"/>
      <c r="F985" s="296"/>
    </row>
    <row r="986" spans="1:6" ht="14.25" customHeight="1">
      <c r="A986" s="212"/>
      <c r="B986" s="221"/>
      <c r="C986" s="289"/>
      <c r="D986" s="226"/>
      <c r="E986" s="242"/>
      <c r="F986" s="296"/>
    </row>
    <row r="987" spans="1:6" ht="14.25" customHeight="1">
      <c r="A987" s="245"/>
      <c r="B987" s="246"/>
      <c r="C987" s="208" t="s">
        <v>1724</v>
      </c>
      <c r="D987" s="247"/>
      <c r="E987" s="247"/>
      <c r="F987" s="247"/>
    </row>
    <row r="988" spans="1:6" ht="14.25" customHeight="1">
      <c r="A988" s="212"/>
      <c r="B988" s="213" t="s">
        <v>2330</v>
      </c>
      <c r="C988" s="289" t="s">
        <v>2331</v>
      </c>
      <c r="D988" s="226" t="s">
        <v>1681</v>
      </c>
      <c r="E988" s="242">
        <f>'[5]COSTO CDMX,QRO,GDL '!I980</f>
        <v>1654.4628422621743</v>
      </c>
      <c r="F988" s="217" t="s">
        <v>284</v>
      </c>
    </row>
    <row r="989" spans="1:6" ht="14.25" customHeight="1">
      <c r="A989" s="212"/>
      <c r="B989" s="213" t="s">
        <v>2332</v>
      </c>
      <c r="C989" s="289" t="s">
        <v>1683</v>
      </c>
      <c r="D989" s="226" t="s">
        <v>1684</v>
      </c>
      <c r="E989" s="242">
        <f>'[5]COSTO CDMX,QRO,GDL '!I981</f>
        <v>1736.1320134702082</v>
      </c>
      <c r="F989" s="217" t="s">
        <v>284</v>
      </c>
    </row>
    <row r="990" spans="1:6" ht="14.25" customHeight="1">
      <c r="A990" s="212"/>
      <c r="B990" s="213" t="s">
        <v>2333</v>
      </c>
      <c r="C990" s="292" t="s">
        <v>1686</v>
      </c>
      <c r="D990" s="226" t="s">
        <v>1687</v>
      </c>
      <c r="E990" s="242">
        <f>'[5]COSTO CDMX,QRO,GDL '!I982</f>
        <v>1834.4065956946029</v>
      </c>
      <c r="F990" s="217" t="s">
        <v>284</v>
      </c>
    </row>
    <row r="991" spans="1:6" ht="14.25" customHeight="1">
      <c r="A991" s="212"/>
      <c r="B991" s="213" t="s">
        <v>2334</v>
      </c>
      <c r="C991" s="289"/>
      <c r="D991" s="226" t="s">
        <v>1689</v>
      </c>
      <c r="E991" s="242">
        <f>'[5]COSTO CDMX,QRO,GDL '!I983</f>
        <v>1837.4767711331995</v>
      </c>
      <c r="F991" s="217" t="s">
        <v>284</v>
      </c>
    </row>
    <row r="992" spans="1:6" ht="14.25" customHeight="1">
      <c r="A992" s="212"/>
      <c r="B992" s="213" t="s">
        <v>2335</v>
      </c>
      <c r="C992" s="295"/>
      <c r="D992" s="226" t="s">
        <v>1691</v>
      </c>
      <c r="E992" s="242">
        <f>'[5]COSTO CDMX,QRO,GDL '!I984</f>
        <v>0</v>
      </c>
      <c r="F992" s="217" t="s">
        <v>284</v>
      </c>
    </row>
    <row r="993" spans="1:6" ht="14.25" customHeight="1">
      <c r="A993" s="212"/>
      <c r="B993" s="213"/>
      <c r="C993" s="289"/>
      <c r="D993" s="226"/>
      <c r="E993" s="242"/>
      <c r="F993" s="296"/>
    </row>
    <row r="994" spans="1:6" ht="14.25" customHeight="1">
      <c r="A994" s="212"/>
      <c r="B994" s="213" t="s">
        <v>2336</v>
      </c>
      <c r="C994" s="289" t="s">
        <v>2331</v>
      </c>
      <c r="D994" s="226" t="s">
        <v>1693</v>
      </c>
      <c r="E994" s="242">
        <f>'[5]COSTO CDMX,QRO,GDL '!I980</f>
        <v>1654.4628422621743</v>
      </c>
      <c r="F994" s="217" t="s">
        <v>284</v>
      </c>
    </row>
    <row r="995" spans="1:6" ht="14.25" customHeight="1">
      <c r="A995" s="212"/>
      <c r="B995" s="213" t="s">
        <v>2337</v>
      </c>
      <c r="C995" s="289" t="s">
        <v>1683</v>
      </c>
      <c r="D995" s="226" t="s">
        <v>1695</v>
      </c>
      <c r="E995" s="242">
        <f>'[5]COSTO CDMX,QRO,GDL '!I981</f>
        <v>1736.1320134702082</v>
      </c>
      <c r="F995" s="217" t="s">
        <v>284</v>
      </c>
    </row>
    <row r="996" spans="1:6" ht="14.25" customHeight="1">
      <c r="A996" s="212"/>
      <c r="B996" s="213" t="s">
        <v>2338</v>
      </c>
      <c r="C996" s="292" t="s">
        <v>1697</v>
      </c>
      <c r="D996" s="226" t="s">
        <v>1698</v>
      </c>
      <c r="E996" s="242">
        <f>'[5]COSTO CDMX,QRO,GDL '!I982</f>
        <v>1834.4065956946029</v>
      </c>
      <c r="F996" s="217" t="s">
        <v>284</v>
      </c>
    </row>
    <row r="997" spans="1:6" ht="14.25" customHeight="1">
      <c r="A997" s="212"/>
      <c r="B997" s="213" t="s">
        <v>2339</v>
      </c>
      <c r="C997" s="295"/>
      <c r="D997" s="226" t="s">
        <v>1700</v>
      </c>
      <c r="E997" s="242">
        <f>'[5]COSTO CDMX,QRO,GDL '!I983</f>
        <v>1837.4767711331995</v>
      </c>
      <c r="F997" s="217" t="s">
        <v>284</v>
      </c>
    </row>
    <row r="998" spans="1:6" ht="14.25" customHeight="1">
      <c r="A998" s="212"/>
      <c r="B998" s="213"/>
      <c r="C998" s="289"/>
      <c r="D998" s="226"/>
      <c r="E998" s="242"/>
      <c r="F998" s="296"/>
    </row>
    <row r="999" spans="1:6" ht="14.25" customHeight="1">
      <c r="A999" s="245"/>
      <c r="B999" s="246"/>
      <c r="C999" s="208" t="s">
        <v>1735</v>
      </c>
      <c r="D999" s="247"/>
      <c r="E999" s="247"/>
      <c r="F999" s="298"/>
    </row>
    <row r="1000" spans="1:6" ht="14.25" customHeight="1">
      <c r="A1000" s="212"/>
      <c r="B1000" s="213" t="s">
        <v>2340</v>
      </c>
      <c r="C1000" s="289" t="s">
        <v>2341</v>
      </c>
      <c r="D1000" s="226" t="s">
        <v>1681</v>
      </c>
      <c r="E1000" s="242">
        <f>'[5]COSTO CDMX,QRO,GDL '!I992</f>
        <v>2537.3004170847516</v>
      </c>
      <c r="F1000" s="217" t="s">
        <v>284</v>
      </c>
    </row>
    <row r="1001" spans="1:6" ht="14.25" customHeight="1">
      <c r="A1001" s="212"/>
      <c r="B1001" s="213" t="s">
        <v>2342</v>
      </c>
      <c r="C1001" s="289" t="s">
        <v>1683</v>
      </c>
      <c r="D1001" s="226" t="s">
        <v>1684</v>
      </c>
      <c r="E1001" s="242">
        <f>'[5]COSTO CDMX,QRO,GDL '!I993</f>
        <v>2626.6383129079009</v>
      </c>
      <c r="F1001" s="217" t="s">
        <v>284</v>
      </c>
    </row>
    <row r="1002" spans="1:6" ht="14.25" customHeight="1">
      <c r="A1002" s="212"/>
      <c r="B1002" s="213" t="s">
        <v>2343</v>
      </c>
      <c r="C1002" s="292" t="s">
        <v>1686</v>
      </c>
      <c r="D1002" s="226" t="s">
        <v>1687</v>
      </c>
      <c r="E1002" s="242">
        <f>'[5]COSTO CDMX,QRO,GDL '!I994</f>
        <v>2735.953396281971</v>
      </c>
      <c r="F1002" s="217" t="s">
        <v>284</v>
      </c>
    </row>
    <row r="1003" spans="1:6" ht="14.25" customHeight="1">
      <c r="A1003" s="212"/>
      <c r="B1003" s="213" t="s">
        <v>2344</v>
      </c>
      <c r="C1003" s="289"/>
      <c r="D1003" s="226" t="s">
        <v>1689</v>
      </c>
      <c r="E1003" s="242">
        <f>'[5]COSTO CDMX,QRO,GDL '!I995</f>
        <v>2739.4621682117959</v>
      </c>
      <c r="F1003" s="217" t="s">
        <v>284</v>
      </c>
    </row>
    <row r="1004" spans="1:6" ht="14.25" customHeight="1">
      <c r="A1004" s="212"/>
      <c r="B1004" s="213" t="s">
        <v>2345</v>
      </c>
      <c r="C1004" s="295"/>
      <c r="D1004" s="226" t="s">
        <v>1691</v>
      </c>
      <c r="E1004" s="242">
        <f>'[5]COSTO CDMX,QRO,GDL '!I996</f>
        <v>2832.2349670820367</v>
      </c>
      <c r="F1004" s="217" t="s">
        <v>284</v>
      </c>
    </row>
    <row r="1005" spans="1:6" ht="14.25" customHeight="1">
      <c r="A1005" s="212"/>
      <c r="B1005" s="213"/>
      <c r="C1005" s="289"/>
      <c r="D1005" s="226"/>
      <c r="E1005" s="242"/>
      <c r="F1005" s="280"/>
    </row>
    <row r="1006" spans="1:6" ht="14.25" customHeight="1">
      <c r="A1006" s="212"/>
      <c r="B1006" s="213" t="s">
        <v>2346</v>
      </c>
      <c r="C1006" s="289" t="s">
        <v>2341</v>
      </c>
      <c r="D1006" s="226" t="s">
        <v>1693</v>
      </c>
      <c r="E1006" s="242">
        <f>'[5]COSTO CDMX,QRO,GDL '!I998</f>
        <v>3764.0106435226085</v>
      </c>
      <c r="F1006" s="217" t="s">
        <v>284</v>
      </c>
    </row>
    <row r="1007" spans="1:6" ht="14.25" customHeight="1">
      <c r="A1007" s="212"/>
      <c r="B1007" s="213" t="s">
        <v>2347</v>
      </c>
      <c r="C1007" s="289" t="s">
        <v>1683</v>
      </c>
      <c r="D1007" s="226" t="s">
        <v>1695</v>
      </c>
      <c r="E1007" s="242">
        <f>'[5]COSTO CDMX,QRO,GDL '!I999</f>
        <v>4017.7209254193008</v>
      </c>
      <c r="F1007" s="217" t="s">
        <v>284</v>
      </c>
    </row>
    <row r="1008" spans="1:6" ht="14.25" customHeight="1">
      <c r="A1008" s="212"/>
      <c r="B1008" s="213" t="s">
        <v>2348</v>
      </c>
      <c r="C1008" s="292" t="s">
        <v>1697</v>
      </c>
      <c r="D1008" s="226" t="s">
        <v>1698</v>
      </c>
      <c r="E1008" s="242">
        <f>'[5]COSTO CDMX,QRO,GDL '!I1000</f>
        <v>4079.6404300632644</v>
      </c>
      <c r="F1008" s="217" t="s">
        <v>284</v>
      </c>
    </row>
    <row r="1009" spans="1:60" ht="14.25" customHeight="1">
      <c r="A1009" s="212"/>
      <c r="B1009" s="213" t="s">
        <v>2349</v>
      </c>
      <c r="C1009" s="295"/>
      <c r="D1009" s="226" t="s">
        <v>1700</v>
      </c>
      <c r="E1009" s="242">
        <f>'[5]COSTO CDMX,QRO,GDL '!I1001</f>
        <v>4383.8118493234888</v>
      </c>
      <c r="F1009" s="217" t="s">
        <v>284</v>
      </c>
    </row>
    <row r="1010" spans="1:60" ht="14.25" customHeight="1">
      <c r="A1010" s="212"/>
      <c r="B1010" s="221"/>
      <c r="C1010" s="289"/>
      <c r="D1010" s="226"/>
      <c r="E1010" s="227"/>
      <c r="F1010" s="228"/>
    </row>
    <row r="1011" spans="1:60" s="184" customFormat="1" ht="15" customHeight="1">
      <c r="A1011" s="232" t="s">
        <v>2013</v>
      </c>
      <c r="B1011" s="233"/>
      <c r="C1011" s="1524" t="s">
        <v>2371</v>
      </c>
      <c r="D1011" s="232"/>
      <c r="E1011" s="235"/>
      <c r="F1011" s="236"/>
      <c r="G1011" s="183"/>
      <c r="H1011" s="183"/>
      <c r="I1011" s="183"/>
      <c r="J1011" s="183"/>
      <c r="K1011" s="183"/>
      <c r="L1011" s="183"/>
      <c r="M1011" s="183"/>
      <c r="N1011" s="190"/>
      <c r="O1011" s="190"/>
      <c r="P1011" s="190"/>
      <c r="Q1011" s="190"/>
      <c r="R1011" s="190"/>
      <c r="S1011" s="190"/>
      <c r="T1011" s="190"/>
      <c r="U1011" s="190"/>
      <c r="V1011" s="190"/>
      <c r="W1011" s="190"/>
      <c r="X1011" s="190"/>
      <c r="Y1011" s="190"/>
      <c r="Z1011" s="190"/>
      <c r="AA1011" s="190"/>
      <c r="AB1011" s="190"/>
      <c r="AC1011" s="190"/>
      <c r="AD1011" s="190"/>
      <c r="AE1011" s="190"/>
      <c r="AF1011" s="190"/>
      <c r="AG1011" s="190"/>
      <c r="AH1011" s="190"/>
      <c r="AI1011" s="190"/>
      <c r="AJ1011" s="190"/>
      <c r="AK1011" s="190"/>
      <c r="AL1011" s="190"/>
      <c r="AM1011" s="190"/>
      <c r="AN1011" s="190"/>
      <c r="AO1011" s="190"/>
      <c r="AP1011" s="190"/>
      <c r="AQ1011" s="190"/>
      <c r="AR1011" s="190"/>
      <c r="AS1011" s="190"/>
      <c r="AT1011" s="190"/>
      <c r="AU1011" s="190"/>
      <c r="AV1011" s="190"/>
      <c r="AW1011" s="190"/>
      <c r="AX1011" s="190"/>
      <c r="AY1011" s="190"/>
      <c r="AZ1011" s="190"/>
      <c r="BA1011" s="190"/>
      <c r="BB1011" s="190"/>
      <c r="BC1011" s="190"/>
      <c r="BD1011" s="190"/>
      <c r="BE1011" s="190"/>
      <c r="BF1011" s="190"/>
      <c r="BG1011" s="190"/>
      <c r="BH1011" s="190"/>
    </row>
    <row r="1012" spans="1:60" s="198" customFormat="1" ht="15" customHeight="1">
      <c r="A1012" s="237" t="s">
        <v>1669</v>
      </c>
      <c r="B1012" s="238"/>
      <c r="C1012" s="1525"/>
      <c r="D1012" s="285"/>
      <c r="E1012" s="286"/>
      <c r="F1012" s="287"/>
      <c r="G1012" s="196"/>
      <c r="H1012" s="196"/>
      <c r="I1012" s="196"/>
      <c r="J1012" s="196"/>
      <c r="K1012" s="196"/>
      <c r="L1012" s="196"/>
      <c r="M1012" s="196"/>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7"/>
      <c r="AR1012" s="197"/>
      <c r="AS1012" s="197"/>
      <c r="AT1012" s="197"/>
      <c r="AU1012" s="197"/>
      <c r="AV1012" s="197"/>
      <c r="AW1012" s="197"/>
      <c r="AX1012" s="197"/>
      <c r="AY1012" s="197"/>
      <c r="AZ1012" s="197"/>
      <c r="BA1012" s="197"/>
      <c r="BB1012" s="197"/>
      <c r="BC1012" s="197"/>
      <c r="BD1012" s="197"/>
      <c r="BE1012" s="197"/>
      <c r="BF1012" s="197"/>
      <c r="BG1012" s="197"/>
      <c r="BH1012" s="197"/>
    </row>
    <row r="1013" spans="1:60" s="204" customFormat="1">
      <c r="A1013" s="199" t="s">
        <v>512</v>
      </c>
      <c r="B1013" s="200" t="s">
        <v>513</v>
      </c>
      <c r="C1013" s="201" t="s">
        <v>514</v>
      </c>
      <c r="D1013" s="199" t="s">
        <v>515</v>
      </c>
      <c r="E1013" s="202" t="s">
        <v>516</v>
      </c>
      <c r="F1013" s="203" t="s">
        <v>1670</v>
      </c>
      <c r="G1013" s="184"/>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5"/>
      <c r="AR1013" s="205"/>
      <c r="AS1013" s="205"/>
      <c r="AT1013" s="205"/>
      <c r="AU1013" s="205"/>
      <c r="AV1013" s="205"/>
      <c r="AW1013" s="205"/>
      <c r="AX1013" s="205"/>
      <c r="AY1013" s="205"/>
      <c r="AZ1013" s="205"/>
      <c r="BA1013" s="205"/>
      <c r="BB1013" s="205"/>
      <c r="BC1013" s="205"/>
      <c r="BD1013" s="205"/>
      <c r="BE1013" s="205"/>
      <c r="BF1013" s="205"/>
      <c r="BG1013" s="205"/>
      <c r="BH1013" s="205"/>
    </row>
    <row r="1014" spans="1:60" ht="14.25" customHeight="1">
      <c r="A1014" s="245"/>
      <c r="B1014" s="246"/>
      <c r="C1014" s="208" t="s">
        <v>1873</v>
      </c>
      <c r="D1014" s="247"/>
      <c r="E1014" s="248"/>
      <c r="F1014" s="298"/>
    </row>
    <row r="1015" spans="1:60" ht="14.25" customHeight="1">
      <c r="A1015" s="212"/>
      <c r="B1015" s="213" t="s">
        <v>1718</v>
      </c>
      <c r="C1015" s="289" t="s">
        <v>1874</v>
      </c>
      <c r="D1015" s="226" t="s">
        <v>1693</v>
      </c>
      <c r="E1015" s="349">
        <f>'[5]COSTO CDMX,QRO,GDL '!$I$1007</f>
        <v>6081.8713450292398</v>
      </c>
      <c r="F1015" s="259" t="s">
        <v>284</v>
      </c>
    </row>
    <row r="1016" spans="1:60" ht="14.25" customHeight="1">
      <c r="A1016" s="212"/>
      <c r="B1016" s="213" t="s">
        <v>1720</v>
      </c>
      <c r="C1016" s="289" t="s">
        <v>1683</v>
      </c>
      <c r="D1016" s="226" t="s">
        <v>1695</v>
      </c>
      <c r="E1016" s="349">
        <f>'[5]COSTO CDMX,QRO,GDL '!$I$1008</f>
        <v>7907.4320980878156</v>
      </c>
      <c r="F1016" s="259" t="s">
        <v>284</v>
      </c>
    </row>
    <row r="1017" spans="1:60" ht="14.25" customHeight="1">
      <c r="A1017" s="212"/>
      <c r="B1017" s="213" t="s">
        <v>1721</v>
      </c>
      <c r="C1017" s="292" t="s">
        <v>1697</v>
      </c>
      <c r="D1017" s="226" t="s">
        <v>1698</v>
      </c>
      <c r="E1017" s="349">
        <f>'[5]COSTO CDMX,QRO,GDL '!$I$1009</f>
        <v>7928.0719329691356</v>
      </c>
      <c r="F1017" s="259" t="s">
        <v>284</v>
      </c>
    </row>
    <row r="1018" spans="1:60" ht="14.25" customHeight="1">
      <c r="A1018" s="212"/>
      <c r="B1018" s="213" t="s">
        <v>1723</v>
      </c>
      <c r="C1018" s="299"/>
      <c r="D1018" s="226" t="s">
        <v>1700</v>
      </c>
      <c r="E1018" s="349">
        <f>'[5]COSTO CDMX,QRO,GDL '!$I$1010</f>
        <v>8077.5510487151587</v>
      </c>
      <c r="F1018" s="259" t="s">
        <v>284</v>
      </c>
    </row>
    <row r="1019" spans="1:60" ht="14.25" customHeight="1">
      <c r="A1019" s="212"/>
      <c r="B1019" s="213"/>
      <c r="C1019" s="295"/>
      <c r="D1019" s="226"/>
      <c r="E1019" s="349"/>
      <c r="F1019" s="326"/>
    </row>
    <row r="1020" spans="1:60" ht="14.25" customHeight="1">
      <c r="A1020" s="212"/>
      <c r="B1020" s="213"/>
      <c r="C1020" s="295"/>
      <c r="D1020" s="226"/>
      <c r="E1020" s="349"/>
      <c r="F1020" s="284"/>
    </row>
    <row r="1021" spans="1:60" ht="14.25" customHeight="1">
      <c r="A1021" s="212"/>
      <c r="B1021" s="213"/>
      <c r="C1021" s="295"/>
      <c r="D1021" s="226"/>
      <c r="E1021" s="349"/>
      <c r="F1021" s="284"/>
    </row>
    <row r="1022" spans="1:60" ht="14.25" customHeight="1">
      <c r="A1022" s="212"/>
      <c r="B1022" s="221"/>
      <c r="C1022" s="295"/>
      <c r="D1022" s="226"/>
      <c r="E1022" s="349"/>
      <c r="F1022" s="228"/>
    </row>
    <row r="1023" spans="1:60" ht="14.25" customHeight="1">
      <c r="A1023" s="212"/>
      <c r="B1023" s="221"/>
      <c r="C1023" s="289"/>
      <c r="D1023" s="226"/>
      <c r="E1023" s="349"/>
      <c r="F1023" s="228"/>
    </row>
    <row r="1024" spans="1:60" ht="14.25" customHeight="1">
      <c r="A1024" s="212"/>
      <c r="B1024" s="221"/>
      <c r="C1024" s="289"/>
      <c r="D1024" s="226"/>
      <c r="E1024" s="350"/>
      <c r="F1024" s="228"/>
    </row>
    <row r="1025" spans="1:60" s="184" customFormat="1" ht="15" customHeight="1">
      <c r="A1025" s="232" t="s">
        <v>2013</v>
      </c>
      <c r="B1025" s="233"/>
      <c r="C1025" s="1524" t="s">
        <v>2372</v>
      </c>
      <c r="D1025" s="232"/>
      <c r="E1025" s="235"/>
      <c r="F1025" s="236"/>
      <c r="G1025" s="183"/>
      <c r="H1025" s="183"/>
      <c r="I1025" s="183"/>
      <c r="J1025" s="183"/>
      <c r="K1025" s="183"/>
      <c r="L1025" s="183"/>
      <c r="M1025" s="183"/>
      <c r="N1025" s="190"/>
      <c r="O1025" s="190"/>
      <c r="P1025" s="190"/>
      <c r="Q1025" s="190"/>
      <c r="R1025" s="190"/>
      <c r="S1025" s="190"/>
      <c r="T1025" s="190"/>
      <c r="U1025" s="190"/>
      <c r="V1025" s="190"/>
      <c r="W1025" s="190"/>
      <c r="X1025" s="190"/>
      <c r="Y1025" s="190"/>
      <c r="Z1025" s="190"/>
      <c r="AA1025" s="190"/>
      <c r="AB1025" s="190"/>
      <c r="AC1025" s="190"/>
      <c r="AD1025" s="190"/>
      <c r="AE1025" s="190"/>
      <c r="AF1025" s="190"/>
      <c r="AG1025" s="190"/>
      <c r="AH1025" s="190"/>
      <c r="AI1025" s="190"/>
      <c r="AJ1025" s="190"/>
      <c r="AK1025" s="190"/>
      <c r="AL1025" s="190"/>
      <c r="AM1025" s="190"/>
      <c r="AN1025" s="190"/>
      <c r="AO1025" s="190"/>
      <c r="AP1025" s="190"/>
      <c r="AQ1025" s="190"/>
      <c r="AR1025" s="190"/>
      <c r="AS1025" s="190"/>
      <c r="AT1025" s="190"/>
      <c r="AU1025" s="190"/>
      <c r="AV1025" s="190"/>
      <c r="AW1025" s="190"/>
      <c r="AX1025" s="190"/>
      <c r="AY1025" s="190"/>
      <c r="AZ1025" s="190"/>
      <c r="BA1025" s="190"/>
      <c r="BB1025" s="190"/>
      <c r="BC1025" s="190"/>
      <c r="BD1025" s="190"/>
      <c r="BE1025" s="190"/>
      <c r="BF1025" s="190"/>
      <c r="BG1025" s="190"/>
      <c r="BH1025" s="190"/>
    </row>
    <row r="1026" spans="1:60" s="198" customFormat="1" ht="15" customHeight="1">
      <c r="A1026" s="237" t="s">
        <v>1669</v>
      </c>
      <c r="B1026" s="238"/>
      <c r="C1026" s="1525"/>
      <c r="D1026" s="285"/>
      <c r="E1026" s="286"/>
      <c r="F1026" s="287"/>
      <c r="G1026" s="196"/>
      <c r="H1026" s="196"/>
      <c r="I1026" s="196"/>
      <c r="J1026" s="196"/>
      <c r="K1026" s="196"/>
      <c r="L1026" s="196"/>
      <c r="M1026" s="196"/>
      <c r="N1026" s="197"/>
      <c r="O1026" s="197"/>
      <c r="P1026" s="197"/>
      <c r="Q1026" s="197"/>
      <c r="R1026" s="197"/>
      <c r="S1026" s="197"/>
      <c r="T1026" s="197"/>
      <c r="U1026" s="197"/>
      <c r="V1026" s="197"/>
      <c r="W1026" s="197"/>
      <c r="X1026" s="197"/>
      <c r="Y1026" s="197"/>
      <c r="Z1026" s="197"/>
      <c r="AA1026" s="197"/>
      <c r="AB1026" s="197"/>
      <c r="AC1026" s="197"/>
      <c r="AD1026" s="197"/>
      <c r="AE1026" s="197"/>
      <c r="AF1026" s="197"/>
      <c r="AG1026" s="197"/>
      <c r="AH1026" s="197"/>
      <c r="AI1026" s="197"/>
      <c r="AJ1026" s="197"/>
      <c r="AK1026" s="197"/>
      <c r="AL1026" s="197"/>
      <c r="AM1026" s="197"/>
      <c r="AN1026" s="197"/>
      <c r="AO1026" s="197"/>
      <c r="AP1026" s="197"/>
      <c r="AQ1026" s="197"/>
      <c r="AR1026" s="197"/>
      <c r="AS1026" s="197"/>
      <c r="AT1026" s="197"/>
      <c r="AU1026" s="197"/>
      <c r="AV1026" s="197"/>
      <c r="AW1026" s="197"/>
      <c r="AX1026" s="197"/>
      <c r="AY1026" s="197"/>
      <c r="AZ1026" s="197"/>
      <c r="BA1026" s="197"/>
      <c r="BB1026" s="197"/>
      <c r="BC1026" s="197"/>
      <c r="BD1026" s="197"/>
      <c r="BE1026" s="197"/>
      <c r="BF1026" s="197"/>
      <c r="BG1026" s="197"/>
      <c r="BH1026" s="197"/>
    </row>
    <row r="1027" spans="1:60" s="204" customFormat="1">
      <c r="A1027" s="199" t="s">
        <v>512</v>
      </c>
      <c r="B1027" s="200" t="s">
        <v>513</v>
      </c>
      <c r="C1027" s="201" t="s">
        <v>514</v>
      </c>
      <c r="D1027" s="199" t="s">
        <v>515</v>
      </c>
      <c r="E1027" s="202" t="s">
        <v>516</v>
      </c>
      <c r="F1027" s="203" t="s">
        <v>1670</v>
      </c>
      <c r="G1027" s="184"/>
      <c r="N1027" s="205"/>
      <c r="O1027" s="205"/>
      <c r="P1027" s="205"/>
      <c r="Q1027" s="205"/>
      <c r="R1027" s="205"/>
      <c r="S1027" s="205"/>
      <c r="T1027" s="205"/>
      <c r="U1027" s="205"/>
      <c r="V1027" s="205"/>
      <c r="W1027" s="205"/>
      <c r="X1027" s="205"/>
      <c r="Y1027" s="205"/>
      <c r="Z1027" s="205"/>
      <c r="AA1027" s="205"/>
      <c r="AB1027" s="205"/>
      <c r="AC1027" s="205"/>
      <c r="AD1027" s="205"/>
      <c r="AE1027" s="205"/>
      <c r="AF1027" s="205"/>
      <c r="AG1027" s="205"/>
      <c r="AH1027" s="205"/>
      <c r="AI1027" s="205"/>
      <c r="AJ1027" s="205"/>
      <c r="AK1027" s="205"/>
      <c r="AL1027" s="205"/>
      <c r="AM1027" s="205"/>
      <c r="AN1027" s="205"/>
      <c r="AO1027" s="205"/>
      <c r="AP1027" s="205"/>
      <c r="AQ1027" s="205"/>
      <c r="AR1027" s="205"/>
      <c r="AS1027" s="205"/>
      <c r="AT1027" s="205"/>
      <c r="AU1027" s="205"/>
      <c r="AV1027" s="205"/>
      <c r="AW1027" s="205"/>
      <c r="AX1027" s="205"/>
      <c r="AY1027" s="205"/>
      <c r="AZ1027" s="205"/>
      <c r="BA1027" s="205"/>
      <c r="BB1027" s="205"/>
      <c r="BC1027" s="205"/>
      <c r="BD1027" s="205"/>
      <c r="BE1027" s="205"/>
      <c r="BF1027" s="205"/>
      <c r="BG1027" s="205"/>
      <c r="BH1027" s="205"/>
    </row>
    <row r="1028" spans="1:60" ht="14.25" customHeight="1">
      <c r="A1028" s="206"/>
      <c r="B1028" s="207"/>
      <c r="C1028" s="208" t="s">
        <v>1746</v>
      </c>
      <c r="D1028" s="209"/>
      <c r="E1028" s="210"/>
      <c r="F1028" s="211"/>
    </row>
    <row r="1029" spans="1:60" ht="14.25" customHeight="1">
      <c r="A1029" s="212"/>
      <c r="B1029" s="221" t="s">
        <v>2373</v>
      </c>
      <c r="C1029" s="289" t="s">
        <v>2374</v>
      </c>
      <c r="D1029" s="226" t="s">
        <v>1681</v>
      </c>
      <c r="E1029" s="242">
        <f>'[5]COSTO CDMX,QRO,GDL '!I1021</f>
        <v>2844.9776442627399</v>
      </c>
      <c r="F1029" s="217" t="s">
        <v>284</v>
      </c>
    </row>
    <row r="1030" spans="1:60" ht="14.25" customHeight="1">
      <c r="A1030" s="212"/>
      <c r="B1030" s="221" t="s">
        <v>2375</v>
      </c>
      <c r="C1030" s="289" t="s">
        <v>1683</v>
      </c>
      <c r="D1030" s="226" t="s">
        <v>1684</v>
      </c>
      <c r="E1030" s="242">
        <f>'[5]COSTO CDMX,QRO,GDL '!I1022</f>
        <v>2930.0613545705005</v>
      </c>
      <c r="F1030" s="217" t="s">
        <v>284</v>
      </c>
    </row>
    <row r="1031" spans="1:60" ht="14.25" customHeight="1">
      <c r="A1031" s="212"/>
      <c r="B1031" s="221" t="s">
        <v>2376</v>
      </c>
      <c r="C1031" s="292" t="s">
        <v>1686</v>
      </c>
      <c r="D1031" s="226" t="s">
        <v>1687</v>
      </c>
      <c r="E1031" s="242">
        <f>'[5]COSTO CDMX,QRO,GDL '!I1023</f>
        <v>3034.170957783901</v>
      </c>
      <c r="F1031" s="217" t="s">
        <v>284</v>
      </c>
    </row>
    <row r="1032" spans="1:60" ht="14.25" customHeight="1">
      <c r="A1032" s="212"/>
      <c r="B1032" s="221" t="s">
        <v>2377</v>
      </c>
      <c r="C1032" s="289"/>
      <c r="D1032" s="226" t="s">
        <v>1689</v>
      </c>
      <c r="E1032" s="242">
        <f>'[5]COSTO CDMX,QRO,GDL '!I1024</f>
        <v>3037.5126453361154</v>
      </c>
      <c r="F1032" s="217" t="s">
        <v>284</v>
      </c>
    </row>
    <row r="1033" spans="1:60" ht="14.25" customHeight="1">
      <c r="A1033" s="212"/>
      <c r="B1033" s="221" t="s">
        <v>2378</v>
      </c>
      <c r="C1033" s="289"/>
      <c r="D1033" s="226" t="s">
        <v>1691</v>
      </c>
      <c r="E1033" s="242">
        <f>'[5]COSTO CDMX,QRO,GDL '!I1025</f>
        <v>3125.8676918792016</v>
      </c>
      <c r="F1033" s="217" t="s">
        <v>284</v>
      </c>
    </row>
    <row r="1034" spans="1:60" ht="14.25" customHeight="1">
      <c r="A1034" s="212"/>
      <c r="B1034" s="221"/>
      <c r="C1034" s="289"/>
      <c r="D1034" s="226"/>
      <c r="E1034" s="242"/>
      <c r="F1034" s="296"/>
    </row>
    <row r="1035" spans="1:60" ht="14.25" customHeight="1">
      <c r="A1035" s="212"/>
      <c r="B1035" s="221"/>
      <c r="C1035" s="289"/>
      <c r="D1035" s="226"/>
      <c r="E1035" s="242"/>
      <c r="F1035" s="296"/>
    </row>
    <row r="1036" spans="1:60" ht="14.25" customHeight="1">
      <c r="A1036" s="212"/>
      <c r="B1036" s="221"/>
      <c r="C1036" s="289"/>
      <c r="D1036" s="226"/>
      <c r="E1036" s="242"/>
      <c r="F1036" s="296"/>
    </row>
    <row r="1037" spans="1:60" ht="14.25" customHeight="1">
      <c r="A1037" s="212"/>
      <c r="B1037" s="221"/>
      <c r="C1037" s="289"/>
      <c r="D1037" s="226"/>
      <c r="E1037" s="242"/>
      <c r="F1037" s="296"/>
    </row>
    <row r="1038" spans="1:60" ht="14.25" customHeight="1">
      <c r="A1038" s="212"/>
      <c r="B1038" s="221" t="s">
        <v>2379</v>
      </c>
      <c r="C1038" s="289" t="s">
        <v>2380</v>
      </c>
      <c r="D1038" s="226" t="s">
        <v>1693</v>
      </c>
      <c r="E1038" s="242">
        <f>'[5]COSTO CDMX,QRO,GDL '!I1030</f>
        <v>3810.2187955903555</v>
      </c>
      <c r="F1038" s="217" t="s">
        <v>284</v>
      </c>
    </row>
    <row r="1039" spans="1:60" ht="14.25" customHeight="1">
      <c r="A1039" s="212"/>
      <c r="B1039" s="221" t="s">
        <v>2381</v>
      </c>
      <c r="C1039" s="289" t="s">
        <v>1683</v>
      </c>
      <c r="D1039" s="226" t="s">
        <v>1695</v>
      </c>
      <c r="E1039" s="242">
        <f>'[5]COSTO CDMX,QRO,GDL '!I1031</f>
        <v>4051.8476354919676</v>
      </c>
      <c r="F1039" s="217" t="s">
        <v>284</v>
      </c>
    </row>
    <row r="1040" spans="1:60" ht="14.25" customHeight="1">
      <c r="A1040" s="212"/>
      <c r="B1040" s="221" t="s">
        <v>2382</v>
      </c>
      <c r="C1040" s="292" t="s">
        <v>1722</v>
      </c>
      <c r="D1040" s="226" t="s">
        <v>1698</v>
      </c>
      <c r="E1040" s="242">
        <f>'[5]COSTO CDMX,QRO,GDL '!I1032</f>
        <v>4110.8185922957409</v>
      </c>
      <c r="F1040" s="217" t="s">
        <v>284</v>
      </c>
    </row>
    <row r="1041" spans="1:6" ht="14.25" customHeight="1">
      <c r="A1041" s="212"/>
      <c r="B1041" s="213" t="s">
        <v>2383</v>
      </c>
      <c r="C1041" s="289"/>
      <c r="D1041" s="226" t="s">
        <v>1700</v>
      </c>
      <c r="E1041" s="242">
        <f>'[5]COSTO CDMX,QRO,GDL '!I1033</f>
        <v>4400.50565825786</v>
      </c>
      <c r="F1041" s="217" t="s">
        <v>284</v>
      </c>
    </row>
    <row r="1042" spans="1:6" ht="14.25" customHeight="1">
      <c r="A1042" s="212"/>
      <c r="B1042" s="213"/>
      <c r="C1042" s="170"/>
      <c r="D1042" s="226"/>
      <c r="E1042" s="242"/>
      <c r="F1042" s="296"/>
    </row>
    <row r="1043" spans="1:6" ht="14.25" customHeight="1">
      <c r="A1043" s="212"/>
      <c r="B1043" s="221"/>
      <c r="C1043" s="170"/>
      <c r="D1043" s="226"/>
      <c r="E1043" s="242"/>
      <c r="F1043" s="280"/>
    </row>
    <row r="1044" spans="1:6" ht="14.25" customHeight="1">
      <c r="A1044" s="212"/>
      <c r="B1044" s="221"/>
      <c r="C1044" s="289"/>
      <c r="D1044" s="226"/>
      <c r="E1044" s="242"/>
      <c r="F1044" s="296"/>
    </row>
    <row r="1045" spans="1:6" ht="14.25" customHeight="1">
      <c r="A1045" s="212"/>
      <c r="B1045" s="221"/>
      <c r="C1045" s="289"/>
      <c r="D1045" s="226"/>
      <c r="E1045" s="242"/>
      <c r="F1045" s="296"/>
    </row>
    <row r="1046" spans="1:6" ht="14.25" customHeight="1">
      <c r="A1046" s="206"/>
      <c r="B1046" s="207"/>
      <c r="C1046" s="208" t="s">
        <v>1757</v>
      </c>
      <c r="D1046" s="209"/>
      <c r="E1046" s="328"/>
      <c r="F1046" s="209"/>
    </row>
    <row r="1047" spans="1:6" ht="14.25" customHeight="1">
      <c r="A1047" s="212"/>
      <c r="B1047" s="351" t="s">
        <v>2384</v>
      </c>
      <c r="C1047" s="289" t="s">
        <v>2385</v>
      </c>
      <c r="D1047" s="226" t="s">
        <v>1681</v>
      </c>
      <c r="E1047" s="242">
        <f>'[5]COSTO CDMX,QRO,GDL '!I1039</f>
        <v>2844.9776442627399</v>
      </c>
      <c r="F1047" s="217" t="s">
        <v>284</v>
      </c>
    </row>
    <row r="1048" spans="1:6" ht="14.25" customHeight="1">
      <c r="A1048" s="212"/>
      <c r="B1048" s="351" t="s">
        <v>2386</v>
      </c>
      <c r="C1048" s="289" t="s">
        <v>1683</v>
      </c>
      <c r="D1048" s="226" t="s">
        <v>1684</v>
      </c>
      <c r="E1048" s="242">
        <f>'[5]COSTO CDMX,QRO,GDL '!I1040</f>
        <v>2930.0613545705005</v>
      </c>
      <c r="F1048" s="217" t="s">
        <v>284</v>
      </c>
    </row>
    <row r="1049" spans="1:6" ht="14.25" customHeight="1">
      <c r="A1049" s="212"/>
      <c r="B1049" s="351" t="s">
        <v>2387</v>
      </c>
      <c r="C1049" s="292" t="s">
        <v>1686</v>
      </c>
      <c r="D1049" s="226" t="s">
        <v>1687</v>
      </c>
      <c r="E1049" s="242">
        <f>'[5]COSTO CDMX,QRO,GDL '!I1041</f>
        <v>3034.170957783901</v>
      </c>
      <c r="F1049" s="217" t="s">
        <v>284</v>
      </c>
    </row>
    <row r="1050" spans="1:6" ht="14.25" customHeight="1">
      <c r="A1050" s="212"/>
      <c r="B1050" s="351" t="s">
        <v>2388</v>
      </c>
      <c r="C1050" s="289"/>
      <c r="D1050" s="226" t="s">
        <v>1689</v>
      </c>
      <c r="E1050" s="242">
        <f>'[5]COSTO CDMX,QRO,GDL '!I1042</f>
        <v>3037.5126453361154</v>
      </c>
      <c r="F1050" s="217" t="s">
        <v>284</v>
      </c>
    </row>
    <row r="1051" spans="1:6" ht="14.25" customHeight="1">
      <c r="A1051" s="212"/>
      <c r="B1051" s="351" t="s">
        <v>2389</v>
      </c>
      <c r="C1051" s="289"/>
      <c r="D1051" s="226" t="s">
        <v>1691</v>
      </c>
      <c r="E1051" s="242">
        <f>'[5]COSTO CDMX,QRO,GDL '!I1043</f>
        <v>3125.8676918792016</v>
      </c>
      <c r="F1051" s="217" t="s">
        <v>284</v>
      </c>
    </row>
    <row r="1052" spans="1:6" ht="14.25" customHeight="1">
      <c r="A1052" s="212"/>
      <c r="B1052" s="221"/>
      <c r="C1052" s="289"/>
      <c r="D1052" s="226"/>
      <c r="E1052" s="242"/>
      <c r="F1052" s="296"/>
    </row>
    <row r="1053" spans="1:6" ht="14.25" customHeight="1">
      <c r="A1053" s="212"/>
      <c r="B1053" s="221"/>
      <c r="C1053" s="289"/>
      <c r="D1053" s="226"/>
      <c r="E1053" s="242"/>
      <c r="F1053" s="296"/>
    </row>
    <row r="1054" spans="1:6" ht="14.25" customHeight="1">
      <c r="A1054" s="212"/>
      <c r="B1054" s="221"/>
      <c r="C1054" s="289"/>
      <c r="D1054" s="226"/>
      <c r="E1054" s="242"/>
      <c r="F1054" s="296"/>
    </row>
    <row r="1055" spans="1:6" ht="14.25" customHeight="1">
      <c r="A1055" s="212"/>
      <c r="B1055" s="221"/>
      <c r="C1055" s="289"/>
      <c r="D1055" s="226"/>
      <c r="E1055" s="242"/>
      <c r="F1055" s="296"/>
    </row>
    <row r="1056" spans="1:6" ht="14.25" customHeight="1">
      <c r="A1056" s="212"/>
      <c r="B1056" s="351" t="s">
        <v>2390</v>
      </c>
      <c r="C1056" s="289" t="s">
        <v>2385</v>
      </c>
      <c r="D1056" s="226" t="s">
        <v>1693</v>
      </c>
      <c r="E1056" s="242">
        <f>'[5]COSTO CDMX,QRO,GDL '!I1048</f>
        <v>3810.2187955903555</v>
      </c>
      <c r="F1056" s="217" t="s">
        <v>284</v>
      </c>
    </row>
    <row r="1057" spans="1:6" ht="14.25" customHeight="1">
      <c r="A1057" s="212"/>
      <c r="B1057" s="351" t="s">
        <v>2391</v>
      </c>
      <c r="C1057" s="289" t="s">
        <v>1683</v>
      </c>
      <c r="D1057" s="226" t="s">
        <v>1695</v>
      </c>
      <c r="E1057" s="242">
        <f>'[5]COSTO CDMX,QRO,GDL '!I1049</f>
        <v>4051.8476354919676</v>
      </c>
      <c r="F1057" s="217" t="s">
        <v>284</v>
      </c>
    </row>
    <row r="1058" spans="1:6" ht="14.25" customHeight="1">
      <c r="A1058" s="212"/>
      <c r="B1058" s="351" t="s">
        <v>2392</v>
      </c>
      <c r="C1058" s="292" t="s">
        <v>1722</v>
      </c>
      <c r="D1058" s="226" t="s">
        <v>1698</v>
      </c>
      <c r="E1058" s="242">
        <f>'[5]COSTO CDMX,QRO,GDL '!I1050</f>
        <v>4110.8185922957409</v>
      </c>
      <c r="F1058" s="217" t="s">
        <v>284</v>
      </c>
    </row>
    <row r="1059" spans="1:6" ht="14.25" customHeight="1">
      <c r="A1059" s="212"/>
      <c r="B1059" s="351" t="s">
        <v>2393</v>
      </c>
      <c r="C1059" s="292"/>
      <c r="D1059" s="226" t="s">
        <v>1700</v>
      </c>
      <c r="E1059" s="242">
        <f>'[5]COSTO CDMX,QRO,GDL '!I1051</f>
        <v>4400.50565825786</v>
      </c>
      <c r="F1059" s="217" t="s">
        <v>284</v>
      </c>
    </row>
    <row r="1060" spans="1:6" ht="14.25" customHeight="1">
      <c r="A1060" s="212"/>
      <c r="B1060" s="213"/>
      <c r="C1060" s="170"/>
      <c r="D1060" s="226"/>
      <c r="E1060" s="242"/>
      <c r="F1060" s="296"/>
    </row>
    <row r="1061" spans="1:6" ht="14.25" customHeight="1">
      <c r="A1061" s="212"/>
      <c r="B1061" s="213"/>
      <c r="C1061" s="170"/>
      <c r="D1061" s="226"/>
      <c r="E1061" s="242"/>
      <c r="F1061" s="280"/>
    </row>
    <row r="1062" spans="1:6" ht="14.25" customHeight="1">
      <c r="A1062" s="212"/>
      <c r="B1062" s="221"/>
      <c r="C1062" s="289"/>
      <c r="D1062" s="226"/>
      <c r="E1062" s="242"/>
      <c r="F1062" s="296"/>
    </row>
    <row r="1063" spans="1:6" ht="14.25" customHeight="1">
      <c r="A1063" s="212"/>
      <c r="B1063" s="221"/>
      <c r="C1063" s="289"/>
      <c r="D1063" s="226"/>
      <c r="E1063" s="242"/>
      <c r="F1063" s="296"/>
    </row>
    <row r="1064" spans="1:6" ht="14.25" customHeight="1">
      <c r="A1064" s="206"/>
      <c r="B1064" s="207"/>
      <c r="C1064" s="208" t="s">
        <v>1768</v>
      </c>
      <c r="D1064" s="209"/>
      <c r="E1064" s="210"/>
      <c r="F1064" s="211"/>
    </row>
    <row r="1065" spans="1:6" ht="14.25" customHeight="1">
      <c r="A1065" s="212"/>
      <c r="B1065" s="351" t="s">
        <v>2394</v>
      </c>
      <c r="C1065" s="289" t="s">
        <v>2395</v>
      </c>
      <c r="D1065" s="226" t="s">
        <v>1681</v>
      </c>
      <c r="E1065" s="242">
        <f>'[5]COSTO CDMX,QRO,GDL '!I1057</f>
        <v>2611.4788305801449</v>
      </c>
      <c r="F1065" s="217" t="s">
        <v>284</v>
      </c>
    </row>
    <row r="1066" spans="1:6" ht="14.25" customHeight="1">
      <c r="A1066" s="212"/>
      <c r="B1066" s="351" t="s">
        <v>2396</v>
      </c>
      <c r="C1066" s="289" t="s">
        <v>1683</v>
      </c>
      <c r="D1066" s="226" t="s">
        <v>1684</v>
      </c>
      <c r="E1066" s="242">
        <f>'[5]COSTO CDMX,QRO,GDL '!I1058</f>
        <v>2700.370445500454</v>
      </c>
      <c r="F1066" s="217" t="s">
        <v>284</v>
      </c>
    </row>
    <row r="1067" spans="1:6" ht="14.25" customHeight="1">
      <c r="A1067" s="212"/>
      <c r="B1067" s="351" t="s">
        <v>2397</v>
      </c>
      <c r="C1067" s="292" t="s">
        <v>1686</v>
      </c>
      <c r="D1067" s="226" t="s">
        <v>1687</v>
      </c>
      <c r="E1067" s="242">
        <f>'[5]COSTO CDMX,QRO,GDL '!I1059</f>
        <v>2807.3359771732648</v>
      </c>
      <c r="F1067" s="217" t="s">
        <v>284</v>
      </c>
    </row>
    <row r="1068" spans="1:6" ht="14.25" customHeight="1">
      <c r="A1068" s="212"/>
      <c r="B1068" s="351" t="s">
        <v>2398</v>
      </c>
      <c r="C1068" s="289"/>
      <c r="D1068" s="226" t="s">
        <v>1689</v>
      </c>
      <c r="E1068" s="242">
        <f>'[5]COSTO CDMX,QRO,GDL '!I1060</f>
        <v>2863.1898976888392</v>
      </c>
      <c r="F1068" s="217" t="s">
        <v>284</v>
      </c>
    </row>
    <row r="1069" spans="1:6" ht="14.25" customHeight="1">
      <c r="A1069" s="212"/>
      <c r="B1069" s="351" t="s">
        <v>2399</v>
      </c>
      <c r="C1069" s="289"/>
      <c r="D1069" s="226" t="s">
        <v>1691</v>
      </c>
      <c r="E1069" s="242">
        <f>'[5]COSTO CDMX,QRO,GDL '!I1061</f>
        <v>2955.543244075101</v>
      </c>
      <c r="F1069" s="217" t="s">
        <v>284</v>
      </c>
    </row>
    <row r="1070" spans="1:6" ht="14.25" customHeight="1">
      <c r="A1070" s="212"/>
      <c r="B1070" s="221"/>
      <c r="C1070" s="289"/>
      <c r="D1070" s="226"/>
      <c r="E1070" s="242"/>
      <c r="F1070" s="296"/>
    </row>
    <row r="1071" spans="1:6" ht="14.25" customHeight="1">
      <c r="A1071" s="212"/>
      <c r="B1071" s="221"/>
      <c r="C1071" s="289"/>
      <c r="D1071" s="226"/>
      <c r="E1071" s="242"/>
      <c r="F1071" s="296"/>
    </row>
    <row r="1072" spans="1:6" ht="14.25" customHeight="1">
      <c r="A1072" s="212"/>
      <c r="B1072" s="221"/>
      <c r="C1072" s="289"/>
      <c r="D1072" s="226"/>
      <c r="E1072" s="242"/>
      <c r="F1072" s="296"/>
    </row>
    <row r="1073" spans="1:6" ht="14.25" customHeight="1">
      <c r="A1073" s="212"/>
      <c r="B1073" s="221"/>
      <c r="C1073" s="289"/>
      <c r="D1073" s="226"/>
      <c r="E1073" s="242"/>
      <c r="F1073" s="296"/>
    </row>
    <row r="1074" spans="1:6" ht="14.25" customHeight="1">
      <c r="A1074" s="212"/>
      <c r="B1074" s="351" t="s">
        <v>2400</v>
      </c>
      <c r="C1074" s="289" t="s">
        <v>2401</v>
      </c>
      <c r="D1074" s="226" t="s">
        <v>1693</v>
      </c>
      <c r="E1074" s="242">
        <f>'[5]COSTO CDMX,QRO,GDL '!I1066</f>
        <v>3377.4826865187447</v>
      </c>
      <c r="F1074" s="217" t="s">
        <v>284</v>
      </c>
    </row>
    <row r="1075" spans="1:6" ht="14.25" customHeight="1">
      <c r="A1075" s="212"/>
      <c r="B1075" s="351" t="s">
        <v>2402</v>
      </c>
      <c r="C1075" s="289" t="s">
        <v>1683</v>
      </c>
      <c r="D1075" s="226" t="s">
        <v>1695</v>
      </c>
      <c r="E1075" s="242">
        <f>'[5]COSTO CDMX,QRO,GDL '!I1067</f>
        <v>3545.4981845000239</v>
      </c>
      <c r="F1075" s="217" t="s">
        <v>284</v>
      </c>
    </row>
    <row r="1076" spans="1:6" ht="14.25" customHeight="1">
      <c r="A1076" s="212"/>
      <c r="B1076" s="351" t="s">
        <v>2403</v>
      </c>
      <c r="C1076" s="292" t="s">
        <v>1722</v>
      </c>
      <c r="D1076" s="226" t="s">
        <v>1698</v>
      </c>
      <c r="E1076" s="242">
        <f>'[5]COSTO CDMX,QRO,GDL '!I1068</f>
        <v>3604.4691413037976</v>
      </c>
      <c r="F1076" s="217" t="s">
        <v>284</v>
      </c>
    </row>
    <row r="1077" spans="1:6" ht="14.25" customHeight="1">
      <c r="A1077" s="212"/>
      <c r="B1077" s="351" t="s">
        <v>2404</v>
      </c>
      <c r="C1077" s="289"/>
      <c r="D1077" s="226" t="s">
        <v>1700</v>
      </c>
      <c r="E1077" s="242">
        <f>'[5]COSTO CDMX,QRO,GDL '!I1069</f>
        <v>3904.1519568738549</v>
      </c>
      <c r="F1077" s="217" t="s">
        <v>284</v>
      </c>
    </row>
    <row r="1078" spans="1:6" ht="14.25" customHeight="1">
      <c r="A1078" s="212"/>
      <c r="B1078" s="213"/>
      <c r="C1078" s="170"/>
      <c r="D1078" s="226"/>
      <c r="E1078" s="242"/>
      <c r="F1078" s="296"/>
    </row>
    <row r="1079" spans="1:6" ht="14.25" customHeight="1">
      <c r="A1079" s="212"/>
      <c r="B1079" s="221"/>
      <c r="C1079" s="170"/>
      <c r="D1079" s="226"/>
      <c r="E1079" s="242"/>
      <c r="F1079" s="280"/>
    </row>
    <row r="1080" spans="1:6" ht="14.25" customHeight="1">
      <c r="A1080" s="212"/>
      <c r="B1080" s="221"/>
      <c r="C1080" s="289"/>
      <c r="D1080" s="226"/>
      <c r="E1080" s="242"/>
      <c r="F1080" s="296"/>
    </row>
    <row r="1081" spans="1:6" ht="14.25" customHeight="1">
      <c r="A1081" s="212"/>
      <c r="B1081" s="221"/>
      <c r="C1081" s="289"/>
      <c r="D1081" s="226"/>
      <c r="E1081" s="242"/>
      <c r="F1081" s="296"/>
    </row>
    <row r="1082" spans="1:6" ht="14.25" customHeight="1">
      <c r="A1082" s="333"/>
      <c r="B1082" s="334"/>
      <c r="C1082" s="335"/>
      <c r="D1082" s="334"/>
      <c r="E1082" s="336"/>
      <c r="F1082" s="337"/>
    </row>
    <row r="1083" spans="1:6" ht="14.25" customHeight="1">
      <c r="A1083" s="212"/>
      <c r="B1083" s="338"/>
      <c r="C1083" s="339"/>
      <c r="D1083" s="338"/>
      <c r="E1083" s="340"/>
      <c r="F1083" s="341"/>
    </row>
    <row r="1084" spans="1:6" ht="14.25" customHeight="1">
      <c r="A1084" s="212"/>
      <c r="B1084" s="338"/>
      <c r="C1084" s="339"/>
      <c r="D1084" s="338"/>
      <c r="E1084" s="340"/>
      <c r="F1084" s="341"/>
    </row>
    <row r="1085" spans="1:6" ht="14.25" customHeight="1">
      <c r="A1085" s="212"/>
      <c r="B1085" s="338"/>
      <c r="C1085" s="339"/>
      <c r="D1085" s="338"/>
      <c r="E1085" s="340"/>
      <c r="F1085" s="341"/>
    </row>
    <row r="1086" spans="1:6" ht="14.25" customHeight="1">
      <c r="A1086" s="212"/>
      <c r="B1086" s="338"/>
      <c r="C1086" s="339"/>
      <c r="D1086" s="338"/>
      <c r="E1086" s="340"/>
      <c r="F1086" s="341"/>
    </row>
    <row r="1087" spans="1:6" ht="14.25" customHeight="1">
      <c r="A1087" s="212"/>
      <c r="B1087" s="338"/>
      <c r="C1087" s="339"/>
      <c r="D1087" s="338"/>
      <c r="E1087" s="340"/>
      <c r="F1087" s="341"/>
    </row>
    <row r="1088" spans="1:6" ht="14.25" customHeight="1">
      <c r="A1088" s="212"/>
      <c r="B1088" s="338"/>
      <c r="C1088" s="339"/>
      <c r="D1088" s="338"/>
      <c r="E1088" s="340"/>
      <c r="F1088" s="341"/>
    </row>
    <row r="1089" spans="1:6" ht="14.25" customHeight="1">
      <c r="A1089" s="212"/>
      <c r="B1089" s="338"/>
      <c r="C1089" s="339"/>
      <c r="D1089" s="338"/>
      <c r="E1089" s="340"/>
      <c r="F1089" s="341"/>
    </row>
    <row r="1090" spans="1:6" ht="14.25" customHeight="1">
      <c r="A1090" s="212"/>
      <c r="B1090" s="338"/>
      <c r="C1090" s="339"/>
      <c r="D1090" s="338"/>
      <c r="E1090" s="340"/>
      <c r="F1090" s="341"/>
    </row>
    <row r="1091" spans="1:6" ht="14.25" customHeight="1">
      <c r="A1091" s="212"/>
      <c r="B1091" s="338"/>
      <c r="C1091" s="339"/>
      <c r="D1091" s="338"/>
      <c r="E1091" s="340"/>
      <c r="F1091" s="341"/>
    </row>
    <row r="1092" spans="1:6" ht="14.25" customHeight="1">
      <c r="A1092" s="212"/>
      <c r="B1092" s="338"/>
      <c r="C1092" s="339"/>
      <c r="D1092" s="338"/>
      <c r="E1092" s="340"/>
      <c r="F1092" s="341"/>
    </row>
    <row r="1093" spans="1:6" ht="14.25" customHeight="1">
      <c r="A1093" s="212"/>
      <c r="B1093" s="338"/>
      <c r="C1093" s="339"/>
      <c r="D1093" s="338"/>
      <c r="E1093" s="340"/>
      <c r="F1093" s="341"/>
    </row>
    <row r="1094" spans="1:6" ht="14.25" customHeight="1">
      <c r="A1094" s="212"/>
      <c r="B1094" s="338"/>
      <c r="C1094" s="339"/>
      <c r="D1094" s="338"/>
      <c r="E1094" s="340"/>
      <c r="F1094" s="341"/>
    </row>
    <row r="1095" spans="1:6" ht="14.25" customHeight="1">
      <c r="A1095" s="212"/>
      <c r="B1095" s="338"/>
      <c r="C1095" s="339"/>
      <c r="D1095" s="338"/>
      <c r="E1095" s="340"/>
      <c r="F1095" s="341"/>
    </row>
    <row r="1096" spans="1:6" ht="14.25" customHeight="1">
      <c r="A1096" s="212"/>
      <c r="B1096" s="338"/>
      <c r="C1096" s="339"/>
      <c r="D1096" s="338"/>
      <c r="E1096" s="340"/>
      <c r="F1096" s="341"/>
    </row>
    <row r="1097" spans="1:6" ht="14.25" customHeight="1">
      <c r="A1097" s="212"/>
      <c r="B1097" s="338"/>
      <c r="C1097" s="339"/>
      <c r="D1097" s="338"/>
      <c r="E1097" s="340"/>
      <c r="F1097" s="341"/>
    </row>
    <row r="1098" spans="1:6" ht="14.25" customHeight="1">
      <c r="A1098" s="212"/>
      <c r="B1098" s="338"/>
      <c r="C1098" s="339"/>
      <c r="D1098" s="338"/>
      <c r="E1098" s="340"/>
      <c r="F1098" s="341"/>
    </row>
    <row r="1099" spans="1:6" ht="14.25" customHeight="1">
      <c r="A1099" s="212"/>
      <c r="B1099" s="338"/>
      <c r="C1099" s="339"/>
      <c r="D1099" s="338"/>
      <c r="E1099" s="340"/>
      <c r="F1099" s="341"/>
    </row>
    <row r="1100" spans="1:6" ht="14.25" customHeight="1">
      <c r="A1100" s="212"/>
      <c r="B1100" s="338"/>
      <c r="C1100" s="339"/>
      <c r="D1100" s="338"/>
      <c r="E1100" s="340"/>
      <c r="F1100" s="341"/>
    </row>
    <row r="1101" spans="1:6" ht="14.25" customHeight="1">
      <c r="A1101" s="212"/>
      <c r="B1101" s="338"/>
      <c r="C1101" s="339"/>
      <c r="D1101" s="338"/>
      <c r="E1101" s="340"/>
      <c r="F1101" s="341"/>
    </row>
    <row r="1102" spans="1:6" ht="14.25" customHeight="1">
      <c r="A1102" s="212"/>
      <c r="B1102" s="338"/>
      <c r="C1102" s="339"/>
      <c r="D1102" s="338"/>
      <c r="E1102" s="340"/>
      <c r="F1102" s="341"/>
    </row>
    <row r="1103" spans="1:6" ht="14.25" customHeight="1">
      <c r="A1103" s="212"/>
      <c r="B1103" s="338"/>
      <c r="C1103" s="339"/>
      <c r="D1103" s="338"/>
      <c r="E1103" s="340"/>
      <c r="F1103" s="341"/>
    </row>
    <row r="1104" spans="1:6" ht="14.25" customHeight="1">
      <c r="A1104" s="212"/>
      <c r="B1104" s="338"/>
      <c r="C1104" s="339"/>
      <c r="D1104" s="338"/>
      <c r="E1104" s="340"/>
      <c r="F1104" s="341"/>
    </row>
    <row r="1105" spans="1:6" ht="14.25" customHeight="1">
      <c r="A1105" s="212"/>
      <c r="B1105" s="338"/>
      <c r="C1105" s="339"/>
      <c r="D1105" s="338"/>
      <c r="E1105" s="340"/>
      <c r="F1105" s="341"/>
    </row>
    <row r="1106" spans="1:6" ht="14.25" customHeight="1">
      <c r="A1106" s="212"/>
      <c r="B1106" s="338"/>
      <c r="C1106" s="339"/>
      <c r="D1106" s="338"/>
      <c r="E1106" s="340"/>
      <c r="F1106" s="341"/>
    </row>
    <row r="1107" spans="1:6" ht="14.25" customHeight="1">
      <c r="A1107" s="212"/>
      <c r="B1107" s="338"/>
      <c r="C1107" s="339"/>
      <c r="D1107" s="338"/>
      <c r="E1107" s="340"/>
      <c r="F1107" s="341"/>
    </row>
    <row r="1108" spans="1:6" ht="14.25" customHeight="1">
      <c r="A1108" s="342"/>
      <c r="B1108" s="343"/>
      <c r="C1108" s="344"/>
      <c r="D1108" s="343"/>
      <c r="E1108" s="345"/>
      <c r="F1108" s="346"/>
    </row>
    <row r="1109" spans="1:6" ht="15" customHeight="1">
      <c r="A1109" s="206"/>
      <c r="B1109" s="207"/>
      <c r="C1109" s="208" t="s">
        <v>1779</v>
      </c>
      <c r="D1109" s="209"/>
      <c r="E1109" s="209"/>
      <c r="F1109" s="209"/>
    </row>
    <row r="1110" spans="1:6" ht="14.25" customHeight="1">
      <c r="A1110" s="212"/>
      <c r="B1110" s="213" t="s">
        <v>1780</v>
      </c>
      <c r="C1110" s="295" t="s">
        <v>1781</v>
      </c>
      <c r="D1110" s="226" t="s">
        <v>1687</v>
      </c>
      <c r="E1110" s="242">
        <f>'[5]COSTO CDMX,QRO,GDL '!I1102</f>
        <v>545.63728205963844</v>
      </c>
      <c r="F1110" s="217" t="s">
        <v>284</v>
      </c>
    </row>
    <row r="1111" spans="1:6" ht="14.25" customHeight="1">
      <c r="A1111" s="212"/>
      <c r="B1111" s="213" t="s">
        <v>1782</v>
      </c>
      <c r="C1111" s="289" t="s">
        <v>1783</v>
      </c>
      <c r="D1111" s="226" t="s">
        <v>1689</v>
      </c>
      <c r="E1111" s="242">
        <f>'[5]COSTO CDMX,QRO,GDL '!I1103</f>
        <v>581.7037640540982</v>
      </c>
      <c r="F1111" s="217" t="s">
        <v>284</v>
      </c>
    </row>
    <row r="1112" spans="1:6" ht="14.25" customHeight="1">
      <c r="A1112" s="212"/>
      <c r="B1112" s="213" t="s">
        <v>1784</v>
      </c>
      <c r="C1112" s="295"/>
      <c r="D1112" s="226" t="s">
        <v>1691</v>
      </c>
      <c r="E1112" s="242">
        <f>'[5]COSTO CDMX,QRO,GDL '!I1104</f>
        <v>589.50562163923757</v>
      </c>
      <c r="F1112" s="217" t="s">
        <v>284</v>
      </c>
    </row>
    <row r="1113" spans="1:6" ht="14.25" customHeight="1">
      <c r="A1113" s="212"/>
      <c r="B1113" s="213" t="s">
        <v>1785</v>
      </c>
      <c r="C1113" s="295"/>
      <c r="D1113" s="226" t="s">
        <v>1786</v>
      </c>
      <c r="E1113" s="242">
        <f>'[5]COSTO CDMX,QRO,GDL '!I1105</f>
        <v>647.80055401662082</v>
      </c>
      <c r="F1113" s="217" t="s">
        <v>284</v>
      </c>
    </row>
    <row r="1114" spans="1:6" ht="14.25" customHeight="1">
      <c r="A1114" s="212"/>
      <c r="B1114" s="213" t="s">
        <v>1787</v>
      </c>
      <c r="C1114" s="295"/>
      <c r="D1114" s="226" t="s">
        <v>1693</v>
      </c>
      <c r="E1114" s="242">
        <f>'[5]COSTO CDMX,QRO,GDL '!I1106</f>
        <v>655.60241160175997</v>
      </c>
      <c r="F1114" s="217" t="s">
        <v>284</v>
      </c>
    </row>
    <row r="1115" spans="1:6" ht="14.25" customHeight="1">
      <c r="A1115" s="212"/>
      <c r="B1115" s="213" t="s">
        <v>1788</v>
      </c>
      <c r="C1115" s="295"/>
      <c r="D1115" s="226" t="s">
        <v>1789</v>
      </c>
      <c r="E1115" s="242">
        <f>'[5]COSTO CDMX,QRO,GDL '!I1107</f>
        <v>752.40703927000175</v>
      </c>
      <c r="F1115" s="217" t="s">
        <v>284</v>
      </c>
    </row>
    <row r="1116" spans="1:6" ht="14.25" customHeight="1">
      <c r="A1116" s="212"/>
      <c r="B1116" s="213" t="s">
        <v>1790</v>
      </c>
      <c r="C1116" s="295"/>
      <c r="D1116" s="226" t="s">
        <v>1695</v>
      </c>
      <c r="E1116" s="242">
        <f>'[5]COSTO CDMX,QRO,GDL '!I1108</f>
        <v>760.20889685514112</v>
      </c>
      <c r="F1116" s="217" t="s">
        <v>284</v>
      </c>
    </row>
    <row r="1117" spans="1:6" ht="14.25" customHeight="1">
      <c r="A1117" s="212"/>
      <c r="B1117" s="213" t="s">
        <v>1791</v>
      </c>
      <c r="C1117" s="295"/>
      <c r="D1117" s="226" t="s">
        <v>1792</v>
      </c>
      <c r="E1117" s="242">
        <f>'[5]COSTO CDMX,QRO,GDL '!I1109</f>
        <v>894.24344142088955</v>
      </c>
      <c r="F1117" s="217" t="s">
        <v>284</v>
      </c>
    </row>
    <row r="1118" spans="1:6" ht="14.25" customHeight="1">
      <c r="A1118" s="212"/>
      <c r="B1118" s="213" t="s">
        <v>1793</v>
      </c>
      <c r="C1118" s="295"/>
      <c r="D1118" s="226" t="s">
        <v>1700</v>
      </c>
      <c r="E1118" s="242">
        <f>'[5]COSTO CDMX,QRO,GDL '!I1110</f>
        <v>902.04529900602904</v>
      </c>
      <c r="F1118" s="217" t="s">
        <v>284</v>
      </c>
    </row>
    <row r="1119" spans="1:6" ht="14.25" customHeight="1">
      <c r="A1119" s="212"/>
      <c r="B1119" s="213" t="s">
        <v>1794</v>
      </c>
      <c r="C1119" s="295"/>
      <c r="D1119" s="226" t="s">
        <v>1795</v>
      </c>
      <c r="E1119" s="242">
        <f>'[5]COSTO CDMX,QRO,GDL '!I1111</f>
        <v>909.84715659116864</v>
      </c>
      <c r="F1119" s="217" t="s">
        <v>284</v>
      </c>
    </row>
    <row r="1120" spans="1:6" ht="14.25" customHeight="1">
      <c r="A1120" s="212"/>
      <c r="B1120" s="213" t="s">
        <v>1796</v>
      </c>
      <c r="C1120" s="295"/>
      <c r="D1120" s="226" t="s">
        <v>1797</v>
      </c>
      <c r="E1120" s="242">
        <f>'[5]COSTO CDMX,QRO,GDL '!I1112</f>
        <v>930.91217207104455</v>
      </c>
      <c r="F1120" s="217" t="s">
        <v>284</v>
      </c>
    </row>
    <row r="1121" spans="1:60" ht="14.25" customHeight="1">
      <c r="A1121" s="212"/>
      <c r="B1121" s="213" t="s">
        <v>1798</v>
      </c>
      <c r="C1121" s="295"/>
      <c r="D1121" s="226" t="s">
        <v>1799</v>
      </c>
      <c r="E1121" s="242">
        <f>'[5]COSTO CDMX,QRO,GDL '!I1113</f>
        <v>951.9771875509208</v>
      </c>
      <c r="F1121" s="217" t="s">
        <v>284</v>
      </c>
    </row>
    <row r="1122" spans="1:60" ht="14.25" customHeight="1">
      <c r="A1122" s="212"/>
      <c r="B1122" s="213" t="s">
        <v>1800</v>
      </c>
      <c r="C1122" s="295"/>
      <c r="D1122" s="226" t="s">
        <v>1801</v>
      </c>
      <c r="E1122" s="242">
        <f>'[5]COSTO CDMX,QRO,GDL '!I1114</f>
        <v>1225.5075769920161</v>
      </c>
      <c r="F1122" s="217" t="s">
        <v>284</v>
      </c>
    </row>
    <row r="1123" spans="1:60" ht="14.25" customHeight="1">
      <c r="A1123" s="212"/>
      <c r="B1123" s="213" t="s">
        <v>1802</v>
      </c>
      <c r="C1123" s="295"/>
      <c r="D1123" s="226" t="s">
        <v>1803</v>
      </c>
      <c r="E1123" s="242">
        <f>'[5]COSTO CDMX,QRO,GDL '!I1115</f>
        <v>1253.4565844587794</v>
      </c>
      <c r="F1123" s="217" t="s">
        <v>284</v>
      </c>
    </row>
    <row r="1124" spans="1:60" s="184" customFormat="1" ht="15" customHeight="1">
      <c r="A1124" s="232" t="s">
        <v>2013</v>
      </c>
      <c r="B1124" s="233"/>
      <c r="C1124" s="1524" t="s">
        <v>2405</v>
      </c>
      <c r="D1124" s="232"/>
      <c r="E1124" s="235"/>
      <c r="F1124" s="236"/>
      <c r="G1124" s="183"/>
      <c r="H1124" s="183"/>
      <c r="I1124" s="183"/>
      <c r="J1124" s="183"/>
      <c r="K1124" s="183"/>
      <c r="L1124" s="183"/>
      <c r="M1124" s="183"/>
      <c r="N1124" s="190"/>
      <c r="O1124" s="190"/>
      <c r="P1124" s="190"/>
      <c r="Q1124" s="190"/>
      <c r="R1124" s="190"/>
      <c r="S1124" s="190"/>
      <c r="T1124" s="190"/>
      <c r="U1124" s="190"/>
      <c r="V1124" s="190"/>
      <c r="W1124" s="190"/>
      <c r="X1124" s="190"/>
      <c r="Y1124" s="190"/>
      <c r="Z1124" s="190"/>
      <c r="AA1124" s="190"/>
      <c r="AB1124" s="190"/>
      <c r="AC1124" s="190"/>
      <c r="AD1124" s="190"/>
      <c r="AE1124" s="190"/>
      <c r="AF1124" s="190"/>
      <c r="AG1124" s="190"/>
      <c r="AH1124" s="190"/>
      <c r="AI1124" s="190"/>
      <c r="AJ1124" s="190"/>
      <c r="AK1124" s="190"/>
      <c r="AL1124" s="190"/>
      <c r="AM1124" s="190"/>
      <c r="AN1124" s="190"/>
      <c r="AO1124" s="190"/>
      <c r="AP1124" s="190"/>
      <c r="AQ1124" s="190"/>
      <c r="AR1124" s="190"/>
      <c r="AS1124" s="190"/>
      <c r="AT1124" s="190"/>
      <c r="AU1124" s="190"/>
      <c r="AV1124" s="190"/>
      <c r="AW1124" s="190"/>
      <c r="AX1124" s="190"/>
      <c r="AY1124" s="190"/>
      <c r="AZ1124" s="190"/>
      <c r="BA1124" s="190"/>
      <c r="BB1124" s="190"/>
      <c r="BC1124" s="190"/>
      <c r="BD1124" s="190"/>
      <c r="BE1124" s="190"/>
      <c r="BF1124" s="190"/>
      <c r="BG1124" s="190"/>
      <c r="BH1124" s="190"/>
    </row>
    <row r="1125" spans="1:60" s="198" customFormat="1" ht="15" customHeight="1">
      <c r="A1125" s="237" t="s">
        <v>1669</v>
      </c>
      <c r="B1125" s="238"/>
      <c r="C1125" s="1525"/>
      <c r="D1125" s="285"/>
      <c r="E1125" s="286"/>
      <c r="F1125" s="287"/>
      <c r="G1125" s="196"/>
      <c r="H1125" s="196"/>
      <c r="I1125" s="196"/>
      <c r="J1125" s="196"/>
      <c r="K1125" s="196"/>
      <c r="L1125" s="196"/>
      <c r="M1125" s="196"/>
      <c r="N1125" s="197"/>
      <c r="O1125" s="197"/>
      <c r="P1125" s="197"/>
      <c r="Q1125" s="197"/>
      <c r="R1125" s="197"/>
      <c r="S1125" s="197"/>
      <c r="T1125" s="197"/>
      <c r="U1125" s="197"/>
      <c r="V1125" s="197"/>
      <c r="W1125" s="197"/>
      <c r="X1125" s="197"/>
      <c r="Y1125" s="197"/>
      <c r="Z1125" s="197"/>
      <c r="AA1125" s="197"/>
      <c r="AB1125" s="197"/>
      <c r="AC1125" s="197"/>
      <c r="AD1125" s="197"/>
      <c r="AE1125" s="197"/>
      <c r="AF1125" s="197"/>
      <c r="AG1125" s="197"/>
      <c r="AH1125" s="197"/>
      <c r="AI1125" s="197"/>
      <c r="AJ1125" s="197"/>
      <c r="AK1125" s="197"/>
      <c r="AL1125" s="197"/>
      <c r="AM1125" s="197"/>
      <c r="AN1125" s="197"/>
      <c r="AO1125" s="197"/>
      <c r="AP1125" s="197"/>
      <c r="AQ1125" s="197"/>
      <c r="AR1125" s="197"/>
      <c r="AS1125" s="197"/>
      <c r="AT1125" s="197"/>
      <c r="AU1125" s="197"/>
      <c r="AV1125" s="197"/>
      <c r="AW1125" s="197"/>
      <c r="AX1125" s="197"/>
      <c r="AY1125" s="197"/>
      <c r="AZ1125" s="197"/>
      <c r="BA1125" s="197"/>
      <c r="BB1125" s="197"/>
      <c r="BC1125" s="197"/>
      <c r="BD1125" s="197"/>
      <c r="BE1125" s="197"/>
      <c r="BF1125" s="197"/>
      <c r="BG1125" s="197"/>
      <c r="BH1125" s="197"/>
    </row>
    <row r="1126" spans="1:60" s="204" customFormat="1">
      <c r="A1126" s="199" t="s">
        <v>512</v>
      </c>
      <c r="B1126" s="200" t="s">
        <v>513</v>
      </c>
      <c r="C1126" s="201" t="s">
        <v>514</v>
      </c>
      <c r="D1126" s="199" t="s">
        <v>515</v>
      </c>
      <c r="E1126" s="202" t="s">
        <v>516</v>
      </c>
      <c r="F1126" s="203" t="s">
        <v>1670</v>
      </c>
      <c r="G1126" s="184"/>
      <c r="N1126" s="205"/>
      <c r="O1126" s="205"/>
      <c r="P1126" s="205"/>
      <c r="Q1126" s="205"/>
      <c r="R1126" s="205"/>
      <c r="S1126" s="205"/>
      <c r="T1126" s="205"/>
      <c r="U1126" s="205"/>
      <c r="V1126" s="205"/>
      <c r="W1126" s="205"/>
      <c r="X1126" s="205"/>
      <c r="Y1126" s="205"/>
      <c r="Z1126" s="205"/>
      <c r="AA1126" s="205"/>
      <c r="AB1126" s="205"/>
      <c r="AC1126" s="205"/>
      <c r="AD1126" s="205"/>
      <c r="AE1126" s="205"/>
      <c r="AF1126" s="205"/>
      <c r="AG1126" s="205"/>
      <c r="AH1126" s="205"/>
      <c r="AI1126" s="205"/>
      <c r="AJ1126" s="205"/>
      <c r="AK1126" s="205"/>
      <c r="AL1126" s="205"/>
      <c r="AM1126" s="205"/>
      <c r="AN1126" s="205"/>
      <c r="AO1126" s="205"/>
      <c r="AP1126" s="205"/>
      <c r="AQ1126" s="205"/>
      <c r="AR1126" s="205"/>
      <c r="AS1126" s="205"/>
      <c r="AT1126" s="205"/>
      <c r="AU1126" s="205"/>
      <c r="AV1126" s="205"/>
      <c r="AW1126" s="205"/>
      <c r="AX1126" s="205"/>
      <c r="AY1126" s="205"/>
      <c r="AZ1126" s="205"/>
      <c r="BA1126" s="205"/>
      <c r="BB1126" s="205"/>
      <c r="BC1126" s="205"/>
      <c r="BD1126" s="205"/>
      <c r="BE1126" s="205"/>
      <c r="BF1126" s="205"/>
      <c r="BG1126" s="205"/>
      <c r="BH1126" s="205"/>
    </row>
    <row r="1127" spans="1:60" ht="15" customHeight="1">
      <c r="A1127" s="206"/>
      <c r="B1127" s="207"/>
      <c r="C1127" s="208" t="s">
        <v>2406</v>
      </c>
      <c r="D1127" s="209"/>
      <c r="E1127" s="209"/>
      <c r="F1127" s="209"/>
    </row>
    <row r="1128" spans="1:60" ht="14.25" customHeight="1">
      <c r="A1128" s="212"/>
      <c r="B1128" s="213" t="s">
        <v>2407</v>
      </c>
      <c r="C1128" s="357" t="s">
        <v>2408</v>
      </c>
      <c r="D1128" s="226" t="s">
        <v>1691</v>
      </c>
      <c r="E1128" s="242">
        <f>'[5]COSTO CDMX,QRO,GDL '!I1120</f>
        <v>3957.5348540936411</v>
      </c>
      <c r="F1128" s="217" t="s">
        <v>284</v>
      </c>
    </row>
    <row r="1129" spans="1:60" ht="14.25" customHeight="1">
      <c r="A1129" s="212"/>
      <c r="B1129" s="213" t="s">
        <v>2409</v>
      </c>
      <c r="C1129" s="358" t="s">
        <v>2410</v>
      </c>
      <c r="D1129" s="226" t="s">
        <v>1786</v>
      </c>
      <c r="E1129" s="242">
        <f>'[5]COSTO CDMX,QRO,GDL '!I1121</f>
        <v>3957.5348540936411</v>
      </c>
      <c r="F1129" s="217" t="s">
        <v>284</v>
      </c>
    </row>
    <row r="1130" spans="1:60" ht="14.25" customHeight="1">
      <c r="A1130" s="212"/>
      <c r="B1130" s="213" t="s">
        <v>2411</v>
      </c>
      <c r="C1130" s="289" t="s">
        <v>2412</v>
      </c>
      <c r="D1130" s="226" t="s">
        <v>1693</v>
      </c>
      <c r="E1130" s="242">
        <f>'[5]COSTO CDMX,QRO,GDL '!I1122</f>
        <v>3957.5348540936411</v>
      </c>
      <c r="F1130" s="217" t="s">
        <v>284</v>
      </c>
    </row>
    <row r="1131" spans="1:60" ht="14.25" customHeight="1">
      <c r="A1131" s="212"/>
      <c r="B1131" s="213" t="s">
        <v>2413</v>
      </c>
      <c r="C1131" s="292" t="s">
        <v>2414</v>
      </c>
      <c r="D1131" s="226" t="s">
        <v>1789</v>
      </c>
      <c r="E1131" s="242">
        <f>'[5]COSTO CDMX,QRO,GDL '!I1123</f>
        <v>4051.4971144840883</v>
      </c>
      <c r="F1131" s="217" t="s">
        <v>284</v>
      </c>
    </row>
    <row r="1132" spans="1:60" ht="14.25" customHeight="1">
      <c r="A1132" s="212"/>
      <c r="B1132" s="213" t="s">
        <v>2415</v>
      </c>
      <c r="C1132" s="359"/>
      <c r="D1132" s="226" t="s">
        <v>1695</v>
      </c>
      <c r="E1132" s="242">
        <f>'[5]COSTO CDMX,QRO,GDL '!I1124</f>
        <v>4145.4593748745365</v>
      </c>
      <c r="F1132" s="217" t="s">
        <v>284</v>
      </c>
    </row>
    <row r="1133" spans="1:60" ht="14.25" customHeight="1">
      <c r="A1133" s="212"/>
      <c r="B1133" s="213" t="s">
        <v>2416</v>
      </c>
      <c r="C1133" s="358"/>
      <c r="D1133" s="226" t="s">
        <v>1792</v>
      </c>
      <c r="E1133" s="242">
        <f>'[5]COSTO CDMX,QRO,GDL '!I1125</f>
        <v>4239.4216352649846</v>
      </c>
      <c r="F1133" s="217" t="s">
        <v>284</v>
      </c>
    </row>
    <row r="1134" spans="1:60" ht="14.25" customHeight="1">
      <c r="A1134" s="212"/>
      <c r="B1134" s="213" t="s">
        <v>2417</v>
      </c>
      <c r="C1134" s="358"/>
      <c r="D1134" s="226" t="s">
        <v>1700</v>
      </c>
      <c r="E1134" s="242">
        <f>'[5]COSTO CDMX,QRO,GDL '!I1126</f>
        <v>4333.3838956554318</v>
      </c>
      <c r="F1134" s="217" t="s">
        <v>284</v>
      </c>
    </row>
    <row r="1135" spans="1:60" ht="14.25" customHeight="1">
      <c r="A1135" s="212"/>
      <c r="B1135" s="213" t="s">
        <v>2418</v>
      </c>
      <c r="C1135" s="339"/>
      <c r="D1135" s="226" t="s">
        <v>1795</v>
      </c>
      <c r="E1135" s="242">
        <f>'[5]COSTO CDMX,QRO,GDL '!I1127</f>
        <v>4427.3461560458809</v>
      </c>
      <c r="F1135" s="217" t="s">
        <v>284</v>
      </c>
    </row>
    <row r="1136" spans="1:60" ht="14.25" customHeight="1">
      <c r="A1136" s="212"/>
      <c r="B1136" s="213" t="s">
        <v>2419</v>
      </c>
      <c r="C1136" s="339"/>
      <c r="D1136" s="226" t="s">
        <v>1797</v>
      </c>
      <c r="E1136" s="242">
        <f>'[5]COSTO CDMX,QRO,GDL '!I1128</f>
        <v>4521.308416436329</v>
      </c>
      <c r="F1136" s="217" t="s">
        <v>284</v>
      </c>
    </row>
    <row r="1137" spans="1:64" ht="14.25" customHeight="1">
      <c r="A1137" s="333"/>
      <c r="B1137" s="334"/>
      <c r="C1137" s="335"/>
      <c r="D1137" s="334"/>
      <c r="E1137" s="336"/>
      <c r="F1137" s="337"/>
      <c r="N1137" s="170"/>
      <c r="O1137" s="170"/>
      <c r="P1137" s="170"/>
      <c r="Q1137" s="170"/>
      <c r="BI1137" s="171"/>
      <c r="BJ1137" s="171"/>
      <c r="BK1137" s="171"/>
      <c r="BL1137" s="171"/>
    </row>
    <row r="1138" spans="1:64" ht="14.25" customHeight="1">
      <c r="A1138" s="212"/>
      <c r="B1138" s="338"/>
      <c r="C1138" s="339"/>
      <c r="D1138" s="338"/>
      <c r="E1138" s="340"/>
      <c r="F1138" s="341"/>
      <c r="N1138" s="170"/>
      <c r="O1138" s="170"/>
      <c r="P1138" s="170"/>
      <c r="Q1138" s="170"/>
      <c r="BI1138" s="171"/>
      <c r="BJ1138" s="171"/>
      <c r="BK1138" s="171"/>
      <c r="BL1138" s="171"/>
    </row>
    <row r="1139" spans="1:64" ht="14.25" customHeight="1">
      <c r="A1139" s="212"/>
      <c r="B1139" s="338"/>
      <c r="C1139" s="339"/>
      <c r="D1139" s="338"/>
      <c r="E1139" s="340"/>
      <c r="F1139" s="341"/>
      <c r="N1139" s="170"/>
      <c r="O1139" s="170"/>
      <c r="P1139" s="170"/>
      <c r="Q1139" s="170"/>
      <c r="BI1139" s="171"/>
      <c r="BJ1139" s="171"/>
      <c r="BK1139" s="171"/>
      <c r="BL1139" s="171"/>
    </row>
    <row r="1140" spans="1:64" ht="14.25" customHeight="1">
      <c r="A1140" s="212"/>
      <c r="B1140" s="338"/>
      <c r="C1140" s="339"/>
      <c r="D1140" s="338"/>
      <c r="E1140" s="340"/>
      <c r="F1140" s="341"/>
      <c r="N1140" s="170"/>
      <c r="O1140" s="170"/>
      <c r="P1140" s="170"/>
      <c r="Q1140" s="170"/>
      <c r="BI1140" s="171"/>
      <c r="BJ1140" s="171"/>
      <c r="BK1140" s="171"/>
      <c r="BL1140" s="171"/>
    </row>
    <row r="1141" spans="1:64" ht="14.25" customHeight="1">
      <c r="A1141" s="212"/>
      <c r="B1141" s="338"/>
      <c r="C1141" s="339"/>
      <c r="D1141" s="338"/>
      <c r="E1141" s="340"/>
      <c r="F1141" s="341"/>
      <c r="N1141" s="170"/>
      <c r="O1141" s="170"/>
      <c r="P1141" s="170"/>
      <c r="Q1141" s="170"/>
      <c r="BI1141" s="171"/>
      <c r="BJ1141" s="171"/>
      <c r="BK1141" s="171"/>
      <c r="BL1141" s="171"/>
    </row>
    <row r="1142" spans="1:64" ht="14.25" customHeight="1">
      <c r="A1142" s="212"/>
      <c r="B1142" s="338"/>
      <c r="C1142" s="339"/>
      <c r="D1142" s="338"/>
      <c r="E1142" s="340"/>
      <c r="F1142" s="341"/>
      <c r="N1142" s="170"/>
      <c r="O1142" s="170"/>
      <c r="P1142" s="170"/>
      <c r="Q1142" s="170"/>
      <c r="BI1142" s="171"/>
      <c r="BJ1142" s="171"/>
      <c r="BK1142" s="171"/>
      <c r="BL1142" s="171"/>
    </row>
    <row r="1143" spans="1:64" ht="14.25" customHeight="1">
      <c r="A1143" s="212"/>
      <c r="B1143" s="338"/>
      <c r="C1143" s="339"/>
      <c r="D1143" s="338"/>
      <c r="E1143" s="340"/>
      <c r="F1143" s="341"/>
      <c r="N1143" s="170"/>
      <c r="O1143" s="170"/>
      <c r="P1143" s="170"/>
      <c r="Q1143" s="170"/>
      <c r="BI1143" s="171"/>
      <c r="BJ1143" s="171"/>
      <c r="BK1143" s="171"/>
      <c r="BL1143" s="171"/>
    </row>
    <row r="1144" spans="1:64" ht="14.25" customHeight="1">
      <c r="A1144" s="212"/>
      <c r="B1144" s="338"/>
      <c r="C1144" s="339"/>
      <c r="D1144" s="338"/>
      <c r="E1144" s="340"/>
      <c r="F1144" s="341"/>
      <c r="N1144" s="170"/>
      <c r="O1144" s="170"/>
      <c r="P1144" s="170"/>
      <c r="Q1144" s="170"/>
      <c r="BI1144" s="171"/>
      <c r="BJ1144" s="171"/>
      <c r="BK1144" s="171"/>
      <c r="BL1144" s="171"/>
    </row>
    <row r="1145" spans="1:64" ht="14.25" customHeight="1">
      <c r="A1145" s="212"/>
      <c r="B1145" s="338"/>
      <c r="C1145" s="339"/>
      <c r="D1145" s="338"/>
      <c r="E1145" s="340"/>
      <c r="F1145" s="341"/>
      <c r="N1145" s="170"/>
      <c r="O1145" s="170"/>
      <c r="P1145" s="170"/>
      <c r="Q1145" s="170"/>
      <c r="BI1145" s="171"/>
      <c r="BJ1145" s="171"/>
      <c r="BK1145" s="171"/>
      <c r="BL1145" s="171"/>
    </row>
    <row r="1146" spans="1:64" ht="14.25" customHeight="1">
      <c r="A1146" s="212"/>
      <c r="B1146" s="338"/>
      <c r="C1146" s="339"/>
      <c r="D1146" s="338"/>
      <c r="E1146" s="340"/>
      <c r="F1146" s="341"/>
      <c r="N1146" s="170"/>
      <c r="O1146" s="170"/>
      <c r="P1146" s="170"/>
      <c r="Q1146" s="170"/>
      <c r="BI1146" s="171"/>
      <c r="BJ1146" s="171"/>
      <c r="BK1146" s="171"/>
      <c r="BL1146" s="171"/>
    </row>
    <row r="1147" spans="1:64" ht="14.25" customHeight="1">
      <c r="A1147" s="212"/>
      <c r="B1147" s="338"/>
      <c r="C1147" s="339"/>
      <c r="D1147" s="338"/>
      <c r="E1147" s="340"/>
      <c r="F1147" s="341"/>
      <c r="N1147" s="170"/>
      <c r="O1147" s="170"/>
      <c r="P1147" s="170"/>
      <c r="Q1147" s="170"/>
      <c r="BI1147" s="171"/>
      <c r="BJ1147" s="171"/>
      <c r="BK1147" s="171"/>
      <c r="BL1147" s="171"/>
    </row>
    <row r="1148" spans="1:64" ht="14.25" customHeight="1">
      <c r="A1148" s="212"/>
      <c r="B1148" s="338"/>
      <c r="C1148" s="339"/>
      <c r="D1148" s="338"/>
      <c r="E1148" s="340"/>
      <c r="F1148" s="341"/>
      <c r="N1148" s="170"/>
      <c r="O1148" s="170"/>
      <c r="P1148" s="170"/>
      <c r="Q1148" s="170"/>
      <c r="BI1148" s="171"/>
      <c r="BJ1148" s="171"/>
      <c r="BK1148" s="171"/>
      <c r="BL1148" s="171"/>
    </row>
    <row r="1149" spans="1:64" ht="14.25" customHeight="1">
      <c r="A1149" s="212"/>
      <c r="B1149" s="338"/>
      <c r="C1149" s="339"/>
      <c r="E1149" s="340"/>
      <c r="F1149" s="341"/>
      <c r="N1149" s="170"/>
      <c r="O1149" s="170"/>
      <c r="P1149" s="170"/>
      <c r="Q1149" s="170"/>
      <c r="BI1149" s="171"/>
      <c r="BJ1149" s="171"/>
      <c r="BK1149" s="171"/>
      <c r="BL1149" s="171"/>
    </row>
    <row r="1150" spans="1:64" ht="14.25" customHeight="1">
      <c r="A1150" s="212"/>
      <c r="B1150" s="338"/>
      <c r="C1150" s="339"/>
      <c r="D1150" s="338"/>
      <c r="E1150" s="340"/>
      <c r="F1150" s="341"/>
      <c r="N1150" s="170"/>
      <c r="O1150" s="170"/>
      <c r="P1150" s="170"/>
      <c r="Q1150" s="170"/>
      <c r="BI1150" s="171"/>
      <c r="BJ1150" s="171"/>
      <c r="BK1150" s="171"/>
      <c r="BL1150" s="171"/>
    </row>
    <row r="1151" spans="1:64" ht="14.25" customHeight="1">
      <c r="A1151" s="212"/>
      <c r="B1151" s="338"/>
      <c r="C1151" s="339"/>
      <c r="D1151" s="338"/>
      <c r="E1151" s="340"/>
      <c r="F1151" s="341"/>
      <c r="N1151" s="170"/>
      <c r="O1151" s="170"/>
      <c r="P1151" s="170"/>
      <c r="Q1151" s="170"/>
      <c r="BI1151" s="171"/>
      <c r="BJ1151" s="171"/>
      <c r="BK1151" s="171"/>
      <c r="BL1151" s="171"/>
    </row>
    <row r="1152" spans="1:64" ht="14.25" customHeight="1">
      <c r="A1152" s="212"/>
      <c r="B1152" s="338"/>
      <c r="C1152" s="339"/>
      <c r="D1152" s="338"/>
      <c r="E1152" s="340"/>
      <c r="F1152" s="341"/>
      <c r="N1152" s="170"/>
      <c r="O1152" s="170"/>
      <c r="P1152" s="170"/>
      <c r="Q1152" s="170"/>
      <c r="BI1152" s="171"/>
      <c r="BJ1152" s="171"/>
      <c r="BK1152" s="171"/>
      <c r="BL1152" s="171"/>
    </row>
    <row r="1153" spans="1:64" ht="14.25" customHeight="1">
      <c r="A1153" s="212"/>
      <c r="B1153" s="338"/>
      <c r="C1153" s="339"/>
      <c r="D1153" s="338"/>
      <c r="E1153" s="340"/>
      <c r="F1153" s="341"/>
      <c r="N1153" s="170"/>
      <c r="O1153" s="170"/>
      <c r="P1153" s="170"/>
      <c r="Q1153" s="170"/>
      <c r="BI1153" s="171"/>
      <c r="BJ1153" s="171"/>
      <c r="BK1153" s="171"/>
      <c r="BL1153" s="171"/>
    </row>
    <row r="1154" spans="1:64" ht="14.25" customHeight="1">
      <c r="A1154" s="212"/>
      <c r="B1154" s="338"/>
      <c r="C1154" s="339"/>
      <c r="D1154" s="338"/>
      <c r="E1154" s="340"/>
      <c r="F1154" s="341"/>
      <c r="N1154" s="170"/>
      <c r="O1154" s="170"/>
      <c r="P1154" s="170"/>
      <c r="Q1154" s="170"/>
      <c r="BI1154" s="171"/>
      <c r="BJ1154" s="171"/>
      <c r="BK1154" s="171"/>
      <c r="BL1154" s="171"/>
    </row>
    <row r="1155" spans="1:64" ht="14.25" customHeight="1">
      <c r="A1155" s="212"/>
      <c r="B1155" s="338"/>
      <c r="C1155" s="339"/>
      <c r="D1155" s="338"/>
      <c r="E1155" s="340"/>
      <c r="F1155" s="341"/>
      <c r="N1155" s="170"/>
      <c r="O1155" s="170"/>
      <c r="P1155" s="170"/>
      <c r="Q1155" s="170"/>
      <c r="BI1155" s="171"/>
      <c r="BJ1155" s="171"/>
      <c r="BK1155" s="171"/>
      <c r="BL1155" s="171"/>
    </row>
    <row r="1156" spans="1:64" ht="14.25" customHeight="1">
      <c r="A1156" s="342"/>
      <c r="B1156" s="343"/>
      <c r="C1156" s="344"/>
      <c r="D1156" s="343"/>
      <c r="E1156" s="345"/>
      <c r="F1156" s="346"/>
      <c r="N1156" s="170"/>
      <c r="O1156" s="170"/>
      <c r="P1156" s="170"/>
      <c r="Q1156" s="170"/>
      <c r="BI1156" s="171"/>
      <c r="BJ1156" s="171"/>
      <c r="BK1156" s="171"/>
      <c r="BL1156" s="171"/>
    </row>
    <row r="1157" spans="1:64" ht="15" customHeight="1">
      <c r="A1157" s="206"/>
      <c r="B1157" s="207"/>
      <c r="C1157" s="208" t="s">
        <v>1909</v>
      </c>
      <c r="D1157" s="209"/>
      <c r="E1157" s="209"/>
      <c r="F1157" s="211"/>
    </row>
    <row r="1158" spans="1:64" ht="14.25" customHeight="1">
      <c r="A1158" s="212"/>
      <c r="B1158" s="226" t="s">
        <v>2420</v>
      </c>
      <c r="C1158" s="357" t="s">
        <v>2421</v>
      </c>
      <c r="D1158" s="338" t="s">
        <v>1693</v>
      </c>
      <c r="E1158" s="360">
        <f>'[5]COSTO CDMX,QRO,GDL '!I1150</f>
        <v>2416.8421052631579</v>
      </c>
      <c r="F1158" s="217" t="s">
        <v>284</v>
      </c>
    </row>
    <row r="1159" spans="1:64" ht="14.25" customHeight="1">
      <c r="A1159" s="212"/>
      <c r="B1159" s="226"/>
      <c r="C1159" s="358" t="s">
        <v>2422</v>
      </c>
      <c r="D1159" s="338"/>
      <c r="E1159" s="360"/>
      <c r="F1159" s="284"/>
    </row>
    <row r="1160" spans="1:64" ht="14.25" customHeight="1">
      <c r="A1160" s="212"/>
      <c r="B1160" s="226"/>
      <c r="C1160" s="358" t="s">
        <v>1915</v>
      </c>
      <c r="D1160" s="338"/>
      <c r="E1160" s="360"/>
      <c r="F1160" s="284"/>
    </row>
    <row r="1161" spans="1:64" ht="14.25" customHeight="1">
      <c r="A1161" s="212"/>
      <c r="B1161" s="226"/>
      <c r="C1161" s="361" t="s">
        <v>2414</v>
      </c>
      <c r="D1161" s="338"/>
      <c r="E1161" s="360"/>
      <c r="F1161" s="284"/>
    </row>
    <row r="1162" spans="1:64" ht="14.25" customHeight="1">
      <c r="A1162" s="212"/>
      <c r="B1162" s="226"/>
      <c r="C1162" s="361" t="s">
        <v>2423</v>
      </c>
      <c r="D1162" s="338"/>
      <c r="E1162" s="360"/>
      <c r="F1162" s="284"/>
    </row>
    <row r="1163" spans="1:64" ht="14.25" customHeight="1">
      <c r="A1163" s="212"/>
      <c r="B1163" s="226"/>
      <c r="C1163" s="361" t="s">
        <v>2424</v>
      </c>
      <c r="D1163" s="338"/>
      <c r="E1163" s="360"/>
      <c r="F1163" s="284"/>
    </row>
    <row r="1164" spans="1:64" ht="14.25" customHeight="1">
      <c r="A1164" s="212"/>
      <c r="B1164" s="226"/>
      <c r="C1164" s="358"/>
      <c r="D1164" s="338"/>
      <c r="E1164" s="360"/>
      <c r="F1164" s="284"/>
    </row>
    <row r="1165" spans="1:64" ht="14.25" customHeight="1">
      <c r="A1165" s="212"/>
      <c r="B1165" s="226"/>
      <c r="C1165" s="358"/>
      <c r="D1165" s="338"/>
      <c r="E1165" s="360"/>
      <c r="F1165" s="284"/>
    </row>
    <row r="1166" spans="1:64" ht="15" customHeight="1">
      <c r="A1166" s="206"/>
      <c r="B1166" s="207"/>
      <c r="C1166" s="208" t="s">
        <v>2425</v>
      </c>
      <c r="D1166" s="209"/>
      <c r="E1166" s="209"/>
      <c r="F1166" s="211"/>
    </row>
    <row r="1167" spans="1:64" ht="14.25" customHeight="1">
      <c r="A1167" s="212"/>
      <c r="B1167" s="226" t="s">
        <v>2426</v>
      </c>
      <c r="C1167" s="357" t="s">
        <v>2427</v>
      </c>
      <c r="D1167" s="338" t="s">
        <v>1693</v>
      </c>
      <c r="E1167" s="360">
        <f>'[5]COSTO CDMX,QRO,GDL '!I1159</f>
        <v>2193.9415204678362</v>
      </c>
      <c r="F1167" s="217" t="s">
        <v>284</v>
      </c>
    </row>
    <row r="1168" spans="1:64" ht="14.25" customHeight="1">
      <c r="A1168" s="212"/>
      <c r="B1168" s="226" t="s">
        <v>2428</v>
      </c>
      <c r="C1168" s="358" t="s">
        <v>2422</v>
      </c>
      <c r="D1168" s="338" t="s">
        <v>1789</v>
      </c>
      <c r="E1168" s="360">
        <f>'[5]COSTO CDMX,QRO,GDL '!I1160</f>
        <v>2360.2339181286552</v>
      </c>
      <c r="F1168" s="217" t="s">
        <v>284</v>
      </c>
    </row>
    <row r="1169" spans="1:64" ht="14.25" customHeight="1">
      <c r="A1169" s="212"/>
      <c r="B1169" s="226" t="s">
        <v>2429</v>
      </c>
      <c r="C1169" s="358" t="s">
        <v>1915</v>
      </c>
      <c r="D1169" s="338" t="s">
        <v>1695</v>
      </c>
      <c r="E1169" s="360">
        <f>'[5]COSTO CDMX,QRO,GDL '!I1161</f>
        <v>2526.2222222222226</v>
      </c>
      <c r="F1169" s="217" t="s">
        <v>284</v>
      </c>
    </row>
    <row r="1170" spans="1:64" ht="14.25" customHeight="1">
      <c r="A1170" s="212"/>
      <c r="B1170" s="226" t="s">
        <v>2430</v>
      </c>
      <c r="C1170" s="361" t="s">
        <v>2414</v>
      </c>
      <c r="D1170" s="338" t="s">
        <v>1792</v>
      </c>
      <c r="E1170" s="360">
        <f>'[5]COSTO CDMX,QRO,GDL '!I1162</f>
        <v>2543.2514619883041</v>
      </c>
      <c r="F1170" s="217" t="s">
        <v>284</v>
      </c>
    </row>
    <row r="1171" spans="1:64" ht="14.25" customHeight="1">
      <c r="A1171" s="212"/>
      <c r="B1171" s="226" t="s">
        <v>2431</v>
      </c>
      <c r="C1171" s="361" t="s">
        <v>2423</v>
      </c>
      <c r="D1171" s="338" t="s">
        <v>1700</v>
      </c>
      <c r="E1171" s="360">
        <f>'[5]COSTO CDMX,QRO,GDL '!I1163</f>
        <v>2695.2046783625733</v>
      </c>
      <c r="F1171" s="217" t="s">
        <v>284</v>
      </c>
    </row>
    <row r="1172" spans="1:64" ht="14.25" customHeight="1">
      <c r="A1172" s="212"/>
      <c r="B1172" s="226" t="s">
        <v>2432</v>
      </c>
      <c r="C1172" s="361" t="s">
        <v>2424</v>
      </c>
      <c r="D1172" s="338" t="s">
        <v>1795</v>
      </c>
      <c r="E1172" s="360">
        <f>'[5]COSTO CDMX,QRO,GDL '!I1164</f>
        <v>2861.1228070175443</v>
      </c>
      <c r="F1172" s="217" t="s">
        <v>284</v>
      </c>
    </row>
    <row r="1173" spans="1:64" ht="14.25" customHeight="1">
      <c r="A1173" s="212"/>
      <c r="B1173" s="226" t="s">
        <v>2433</v>
      </c>
      <c r="C1173" s="358"/>
      <c r="D1173" s="338" t="s">
        <v>1797</v>
      </c>
      <c r="E1173" s="360">
        <f>'[5]COSTO CDMX,QRO,GDL '!I1165</f>
        <v>3539.1111111111113</v>
      </c>
      <c r="F1173" s="217" t="s">
        <v>284</v>
      </c>
    </row>
    <row r="1174" spans="1:64" ht="14.25" customHeight="1">
      <c r="A1174" s="212"/>
      <c r="B1174" s="226"/>
      <c r="C1174" s="362"/>
      <c r="D1174" s="338"/>
      <c r="E1174" s="360"/>
      <c r="F1174" s="284"/>
    </row>
    <row r="1175" spans="1:64" ht="14.25" customHeight="1">
      <c r="A1175" s="333"/>
      <c r="B1175" s="334"/>
      <c r="C1175" s="335"/>
      <c r="D1175" s="334"/>
      <c r="E1175" s="336"/>
      <c r="F1175" s="337"/>
      <c r="N1175" s="170"/>
      <c r="O1175" s="170"/>
      <c r="P1175" s="170"/>
      <c r="Q1175" s="170"/>
      <c r="BI1175" s="171"/>
      <c r="BJ1175" s="171"/>
      <c r="BK1175" s="171"/>
      <c r="BL1175" s="171"/>
    </row>
    <row r="1176" spans="1:64" ht="14.25" customHeight="1">
      <c r="A1176" s="212"/>
      <c r="B1176" s="338"/>
      <c r="C1176" s="339"/>
      <c r="D1176" s="338"/>
      <c r="E1176" s="340"/>
      <c r="F1176" s="341"/>
      <c r="N1176" s="170"/>
      <c r="O1176" s="170"/>
      <c r="P1176" s="170"/>
      <c r="Q1176" s="170"/>
      <c r="BI1176" s="171"/>
      <c r="BJ1176" s="171"/>
      <c r="BK1176" s="171"/>
      <c r="BL1176" s="171"/>
    </row>
    <row r="1177" spans="1:64" ht="14.25" customHeight="1">
      <c r="A1177" s="212"/>
      <c r="B1177" s="338"/>
      <c r="C1177" s="339"/>
      <c r="D1177" s="338"/>
      <c r="E1177" s="340"/>
      <c r="F1177" s="341"/>
      <c r="N1177" s="170"/>
      <c r="O1177" s="170"/>
      <c r="P1177" s="170"/>
      <c r="Q1177" s="170"/>
      <c r="BI1177" s="171"/>
      <c r="BJ1177" s="171"/>
      <c r="BK1177" s="171"/>
      <c r="BL1177" s="171"/>
    </row>
    <row r="1178" spans="1:64" ht="14.25" customHeight="1">
      <c r="A1178" s="212"/>
      <c r="B1178" s="338"/>
      <c r="C1178" s="339"/>
      <c r="D1178" s="338"/>
      <c r="E1178" s="340"/>
      <c r="F1178" s="341"/>
      <c r="N1178" s="170"/>
      <c r="O1178" s="170"/>
      <c r="P1178" s="170"/>
      <c r="Q1178" s="170"/>
      <c r="BI1178" s="171"/>
      <c r="BJ1178" s="171"/>
      <c r="BK1178" s="171"/>
      <c r="BL1178" s="171"/>
    </row>
    <row r="1179" spans="1:64" ht="14.25" customHeight="1">
      <c r="A1179" s="212"/>
      <c r="B1179" s="338"/>
      <c r="C1179" s="339"/>
      <c r="D1179" s="338"/>
      <c r="E1179" s="340"/>
      <c r="F1179" s="341"/>
      <c r="N1179" s="170"/>
      <c r="O1179" s="170"/>
      <c r="P1179" s="170"/>
      <c r="Q1179" s="170"/>
      <c r="BI1179" s="171"/>
      <c r="BJ1179" s="171"/>
      <c r="BK1179" s="171"/>
      <c r="BL1179" s="171"/>
    </row>
    <row r="1180" spans="1:64" ht="14.25" customHeight="1">
      <c r="A1180" s="212"/>
      <c r="B1180" s="338"/>
      <c r="C1180" s="339"/>
      <c r="D1180" s="338"/>
      <c r="E1180" s="340"/>
      <c r="F1180" s="341"/>
      <c r="N1180" s="170"/>
      <c r="O1180" s="170"/>
      <c r="P1180" s="170"/>
      <c r="Q1180" s="170"/>
      <c r="BI1180" s="171"/>
      <c r="BJ1180" s="171"/>
      <c r="BK1180" s="171"/>
      <c r="BL1180" s="171"/>
    </row>
    <row r="1181" spans="1:64" ht="14.25" customHeight="1">
      <c r="A1181" s="212"/>
      <c r="B1181" s="338"/>
      <c r="C1181" s="339"/>
      <c r="D1181" s="338"/>
      <c r="E1181" s="340"/>
      <c r="F1181" s="341"/>
      <c r="N1181" s="170"/>
      <c r="O1181" s="170"/>
      <c r="P1181" s="170"/>
      <c r="Q1181" s="170"/>
      <c r="BI1181" s="171"/>
      <c r="BJ1181" s="171"/>
      <c r="BK1181" s="171"/>
      <c r="BL1181" s="171"/>
    </row>
    <row r="1182" spans="1:64" ht="14.25" customHeight="1">
      <c r="A1182" s="212"/>
      <c r="B1182" s="338"/>
      <c r="C1182" s="339"/>
      <c r="D1182" s="338"/>
      <c r="E1182" s="340"/>
      <c r="F1182" s="341"/>
      <c r="N1182" s="170"/>
      <c r="O1182" s="170"/>
      <c r="P1182" s="170"/>
      <c r="Q1182" s="170"/>
      <c r="BI1182" s="171"/>
      <c r="BJ1182" s="171"/>
      <c r="BK1182" s="171"/>
      <c r="BL1182" s="171"/>
    </row>
    <row r="1183" spans="1:64" ht="14.25" customHeight="1">
      <c r="A1183" s="212"/>
      <c r="B1183" s="338"/>
      <c r="C1183" s="339"/>
      <c r="D1183" s="338"/>
      <c r="E1183" s="340"/>
      <c r="F1183" s="341"/>
      <c r="N1183" s="170"/>
      <c r="O1183" s="170"/>
      <c r="P1183" s="170"/>
      <c r="Q1183" s="170"/>
      <c r="BI1183" s="171"/>
      <c r="BJ1183" s="171"/>
      <c r="BK1183" s="171"/>
      <c r="BL1183" s="171"/>
    </row>
    <row r="1184" spans="1:64" ht="14.25" customHeight="1">
      <c r="A1184" s="212"/>
      <c r="B1184" s="338"/>
      <c r="C1184" s="339"/>
      <c r="D1184" s="338"/>
      <c r="E1184" s="340"/>
      <c r="F1184" s="341"/>
      <c r="N1184" s="170"/>
      <c r="O1184" s="170"/>
      <c r="P1184" s="170"/>
      <c r="Q1184" s="170"/>
      <c r="BI1184" s="171"/>
      <c r="BJ1184" s="171"/>
      <c r="BK1184" s="171"/>
      <c r="BL1184" s="171"/>
    </row>
    <row r="1185" spans="1:64" ht="14.25" customHeight="1">
      <c r="A1185" s="212"/>
      <c r="B1185" s="338"/>
      <c r="C1185" s="339"/>
      <c r="D1185" s="338"/>
      <c r="E1185" s="340"/>
      <c r="F1185" s="341"/>
      <c r="N1185" s="170"/>
      <c r="O1185" s="170"/>
      <c r="P1185" s="170"/>
      <c r="Q1185" s="170"/>
      <c r="BI1185" s="171"/>
      <c r="BJ1185" s="171"/>
      <c r="BK1185" s="171"/>
      <c r="BL1185" s="171"/>
    </row>
    <row r="1186" spans="1:64" ht="14.25" customHeight="1">
      <c r="A1186" s="212"/>
      <c r="B1186" s="338"/>
      <c r="C1186" s="339"/>
      <c r="D1186" s="338"/>
      <c r="E1186" s="340"/>
      <c r="F1186" s="341"/>
      <c r="N1186" s="170"/>
      <c r="O1186" s="170"/>
      <c r="P1186" s="170"/>
      <c r="Q1186" s="170"/>
      <c r="BI1186" s="171"/>
      <c r="BJ1186" s="171"/>
      <c r="BK1186" s="171"/>
      <c r="BL1186" s="171"/>
    </row>
    <row r="1187" spans="1:64" ht="14.25" customHeight="1">
      <c r="A1187" s="212"/>
      <c r="B1187" s="338"/>
      <c r="C1187" s="339"/>
      <c r="D1187" s="338"/>
      <c r="E1187" s="340"/>
      <c r="F1187" s="341"/>
      <c r="N1187" s="170"/>
      <c r="O1187" s="170"/>
      <c r="P1187" s="170"/>
      <c r="Q1187" s="170"/>
      <c r="BI1187" s="171"/>
      <c r="BJ1187" s="171"/>
      <c r="BK1187" s="171"/>
      <c r="BL1187" s="171"/>
    </row>
    <row r="1188" spans="1:64" ht="14.25" customHeight="1">
      <c r="A1188" s="212"/>
      <c r="B1188" s="338"/>
      <c r="C1188" s="339"/>
      <c r="D1188" s="338"/>
      <c r="E1188" s="340"/>
      <c r="F1188" s="341"/>
      <c r="N1188" s="170"/>
      <c r="O1188" s="170"/>
      <c r="P1188" s="170"/>
      <c r="Q1188" s="170"/>
      <c r="BI1188" s="171"/>
      <c r="BJ1188" s="171"/>
      <c r="BK1188" s="171"/>
      <c r="BL1188" s="171"/>
    </row>
    <row r="1189" spans="1:64" ht="14.25" customHeight="1">
      <c r="A1189" s="212"/>
      <c r="B1189" s="338"/>
      <c r="C1189" s="339"/>
      <c r="D1189" s="338"/>
      <c r="E1189" s="340"/>
      <c r="F1189" s="341"/>
      <c r="N1189" s="170"/>
      <c r="O1189" s="170"/>
      <c r="P1189" s="170"/>
      <c r="Q1189" s="170"/>
      <c r="BI1189" s="171"/>
      <c r="BJ1189" s="171"/>
      <c r="BK1189" s="171"/>
      <c r="BL1189" s="171"/>
    </row>
    <row r="1190" spans="1:64" ht="14.25" customHeight="1">
      <c r="A1190" s="212"/>
      <c r="B1190" s="338"/>
      <c r="C1190" s="339"/>
      <c r="D1190" s="338"/>
      <c r="E1190" s="340"/>
      <c r="F1190" s="341"/>
      <c r="N1190" s="170"/>
      <c r="O1190" s="170"/>
      <c r="P1190" s="170"/>
      <c r="Q1190" s="170"/>
      <c r="BI1190" s="171"/>
      <c r="BJ1190" s="171"/>
      <c r="BK1190" s="171"/>
      <c r="BL1190" s="171"/>
    </row>
    <row r="1191" spans="1:64" ht="14.25" customHeight="1">
      <c r="A1191" s="212"/>
      <c r="B1191" s="338"/>
      <c r="C1191" s="339"/>
      <c r="D1191" s="338"/>
      <c r="E1191" s="340"/>
      <c r="F1191" s="341"/>
      <c r="N1191" s="170"/>
      <c r="O1191" s="170"/>
      <c r="P1191" s="170"/>
      <c r="Q1191" s="170"/>
      <c r="BI1191" s="171"/>
      <c r="BJ1191" s="171"/>
      <c r="BK1191" s="171"/>
      <c r="BL1191" s="171"/>
    </row>
    <row r="1192" spans="1:64" ht="14.25" customHeight="1">
      <c r="A1192" s="212"/>
      <c r="B1192" s="338"/>
      <c r="C1192" s="339"/>
      <c r="D1192" s="338"/>
      <c r="E1192" s="340"/>
      <c r="F1192" s="341"/>
      <c r="N1192" s="170"/>
      <c r="O1192" s="170"/>
      <c r="P1192" s="170"/>
      <c r="Q1192" s="170"/>
      <c r="BI1192" s="171"/>
      <c r="BJ1192" s="171"/>
      <c r="BK1192" s="171"/>
      <c r="BL1192" s="171"/>
    </row>
    <row r="1193" spans="1:64" ht="14.25" customHeight="1">
      <c r="A1193" s="212"/>
      <c r="B1193" s="338"/>
      <c r="C1193" s="339"/>
      <c r="D1193" s="338"/>
      <c r="E1193" s="340"/>
      <c r="F1193" s="341"/>
      <c r="N1193" s="170"/>
      <c r="O1193" s="170"/>
      <c r="P1193" s="170"/>
      <c r="Q1193" s="170"/>
      <c r="BI1193" s="171"/>
      <c r="BJ1193" s="171"/>
      <c r="BK1193" s="171"/>
      <c r="BL1193" s="171"/>
    </row>
    <row r="1194" spans="1:64" ht="14.25" customHeight="1">
      <c r="A1194" s="342"/>
      <c r="B1194" s="343"/>
      <c r="C1194" s="344"/>
      <c r="D1194" s="343"/>
      <c r="E1194" s="345"/>
      <c r="F1194" s="346"/>
      <c r="N1194" s="170"/>
      <c r="O1194" s="170"/>
      <c r="P1194" s="170"/>
      <c r="Q1194" s="170"/>
      <c r="BI1194" s="171"/>
      <c r="BJ1194" s="171"/>
      <c r="BK1194" s="171"/>
      <c r="BL1194" s="171"/>
    </row>
    <row r="1195" spans="1:64" ht="15" customHeight="1">
      <c r="A1195" s="206"/>
      <c r="B1195" s="207"/>
      <c r="C1195" s="208" t="s">
        <v>1909</v>
      </c>
      <c r="D1195" s="209"/>
      <c r="E1195" s="209"/>
      <c r="F1195" s="211"/>
    </row>
    <row r="1196" spans="1:64" ht="14.25" customHeight="1">
      <c r="A1196" s="212"/>
      <c r="B1196" s="363" t="s">
        <v>1910</v>
      </c>
      <c r="C1196" s="357" t="s">
        <v>1911</v>
      </c>
      <c r="D1196" s="338" t="s">
        <v>1691</v>
      </c>
      <c r="E1196" s="364">
        <f>'[5]COSTO CDMX,QRO,GDL '!I1188</f>
        <v>1857.4917216344131</v>
      </c>
      <c r="F1196" s="217" t="s">
        <v>284</v>
      </c>
    </row>
    <row r="1197" spans="1:64" ht="14.25" customHeight="1">
      <c r="A1197" s="212"/>
      <c r="B1197" s="363" t="s">
        <v>1912</v>
      </c>
      <c r="C1197" s="358" t="s">
        <v>1913</v>
      </c>
      <c r="D1197" s="338" t="s">
        <v>1786</v>
      </c>
      <c r="E1197" s="364">
        <f>'[5]COSTO CDMX,QRO,GDL '!I1189</f>
        <v>1964.177098971375</v>
      </c>
      <c r="F1197" s="217" t="s">
        <v>284</v>
      </c>
    </row>
    <row r="1198" spans="1:64" ht="14.25" customHeight="1">
      <c r="A1198" s="212"/>
      <c r="B1198" s="363" t="s">
        <v>1914</v>
      </c>
      <c r="C1198" s="358" t="s">
        <v>1915</v>
      </c>
      <c r="D1198" s="338" t="s">
        <v>1693</v>
      </c>
      <c r="E1198" s="364">
        <f>'[5]COSTO CDMX,QRO,GDL '!I1190</f>
        <v>2070.862476308338</v>
      </c>
      <c r="F1198" s="217" t="s">
        <v>284</v>
      </c>
    </row>
    <row r="1199" spans="1:64" ht="14.25" customHeight="1">
      <c r="A1199" s="212"/>
      <c r="B1199" s="363" t="s">
        <v>1916</v>
      </c>
      <c r="C1199" s="361"/>
      <c r="D1199" s="338" t="s">
        <v>1789</v>
      </c>
      <c r="E1199" s="364">
        <f>'[5]COSTO CDMX,QRO,GDL '!I1191</f>
        <v>2177.5478536453002</v>
      </c>
      <c r="F1199" s="217" t="s">
        <v>284</v>
      </c>
    </row>
    <row r="1200" spans="1:64" ht="14.25" customHeight="1">
      <c r="A1200" s="212"/>
      <c r="B1200" s="363" t="s">
        <v>1917</v>
      </c>
      <c r="C1200" s="361"/>
      <c r="D1200" s="338" t="s">
        <v>1695</v>
      </c>
      <c r="E1200" s="364">
        <f>'[5]COSTO CDMX,QRO,GDL '!I1192</f>
        <v>2321.4512760950442</v>
      </c>
      <c r="F1200" s="217" t="s">
        <v>284</v>
      </c>
    </row>
    <row r="1201" spans="1:64" ht="14.25" customHeight="1">
      <c r="A1201" s="212"/>
      <c r="B1201" s="363" t="s">
        <v>1918</v>
      </c>
      <c r="C1201" s="361"/>
      <c r="D1201" s="338" t="s">
        <v>1792</v>
      </c>
      <c r="E1201" s="364">
        <f>'[5]COSTO CDMX,QRO,GDL '!I1193</f>
        <v>2446.7456759883985</v>
      </c>
      <c r="F1201" s="217" t="s">
        <v>284</v>
      </c>
    </row>
    <row r="1202" spans="1:64" ht="14.25" customHeight="1">
      <c r="A1202" s="212"/>
      <c r="B1202" s="363" t="s">
        <v>1919</v>
      </c>
      <c r="C1202" s="358"/>
      <c r="D1202" s="338" t="s">
        <v>1700</v>
      </c>
      <c r="E1202" s="364">
        <f>'[5]COSTO CDMX,QRO,GDL '!I1194</f>
        <v>2572.0400758817514</v>
      </c>
      <c r="F1202" s="217" t="s">
        <v>284</v>
      </c>
    </row>
    <row r="1203" spans="1:64" ht="14.25" customHeight="1">
      <c r="A1203" s="212"/>
      <c r="B1203" s="224"/>
      <c r="C1203" s="362"/>
      <c r="D1203" s="338"/>
      <c r="E1203" s="364"/>
      <c r="F1203" s="284"/>
    </row>
    <row r="1204" spans="1:64" ht="14.25" customHeight="1">
      <c r="A1204" s="333"/>
      <c r="B1204" s="334"/>
      <c r="C1204" s="335"/>
      <c r="D1204" s="334"/>
      <c r="E1204" s="336"/>
      <c r="F1204" s="337"/>
      <c r="N1204" s="170"/>
      <c r="O1204" s="170"/>
      <c r="P1204" s="170"/>
      <c r="Q1204" s="170"/>
      <c r="BI1204" s="171"/>
      <c r="BJ1204" s="171"/>
      <c r="BK1204" s="171"/>
      <c r="BL1204" s="171"/>
    </row>
    <row r="1205" spans="1:64" ht="14.25" customHeight="1">
      <c r="A1205" s="212"/>
      <c r="B1205" s="338"/>
      <c r="C1205" s="339"/>
      <c r="D1205" s="338"/>
      <c r="E1205" s="340"/>
      <c r="F1205" s="341"/>
      <c r="N1205" s="170"/>
      <c r="O1205" s="170"/>
      <c r="P1205" s="170"/>
      <c r="Q1205" s="170"/>
      <c r="BI1205" s="171"/>
      <c r="BJ1205" s="171"/>
      <c r="BK1205" s="171"/>
      <c r="BL1205" s="171"/>
    </row>
    <row r="1206" spans="1:64" ht="14.25" customHeight="1">
      <c r="A1206" s="212"/>
      <c r="B1206" s="338"/>
      <c r="C1206" s="339"/>
      <c r="D1206" s="338"/>
      <c r="E1206" s="340"/>
      <c r="F1206" s="341"/>
      <c r="N1206" s="170"/>
      <c r="O1206" s="170"/>
      <c r="P1206" s="170"/>
      <c r="Q1206" s="170"/>
      <c r="BI1206" s="171"/>
      <c r="BJ1206" s="171"/>
      <c r="BK1206" s="171"/>
      <c r="BL1206" s="171"/>
    </row>
    <row r="1207" spans="1:64" ht="14.25" customHeight="1">
      <c r="A1207" s="212"/>
      <c r="B1207" s="338"/>
      <c r="C1207" s="339"/>
      <c r="D1207" s="338"/>
      <c r="E1207" s="340"/>
      <c r="F1207" s="341"/>
      <c r="N1207" s="170"/>
      <c r="O1207" s="170"/>
      <c r="P1207" s="170"/>
      <c r="Q1207" s="170"/>
      <c r="BI1207" s="171"/>
      <c r="BJ1207" s="171"/>
      <c r="BK1207" s="171"/>
      <c r="BL1207" s="171"/>
    </row>
    <row r="1208" spans="1:64" ht="14.25" customHeight="1">
      <c r="A1208" s="212"/>
      <c r="B1208" s="338"/>
      <c r="C1208" s="339"/>
      <c r="D1208" s="338"/>
      <c r="E1208" s="340"/>
      <c r="F1208" s="341"/>
      <c r="N1208" s="170"/>
      <c r="O1208" s="170"/>
      <c r="P1208" s="170"/>
      <c r="Q1208" s="170"/>
      <c r="BI1208" s="171"/>
      <c r="BJ1208" s="171"/>
      <c r="BK1208" s="171"/>
      <c r="BL1208" s="171"/>
    </row>
    <row r="1209" spans="1:64" ht="14.25" customHeight="1">
      <c r="A1209" s="212"/>
      <c r="B1209" s="338"/>
      <c r="C1209" s="339"/>
      <c r="D1209" s="338"/>
      <c r="E1209" s="340"/>
      <c r="F1209" s="341"/>
      <c r="N1209" s="170"/>
      <c r="O1209" s="170"/>
      <c r="P1209" s="170"/>
      <c r="Q1209" s="170"/>
      <c r="BI1209" s="171"/>
      <c r="BJ1209" s="171"/>
      <c r="BK1209" s="171"/>
      <c r="BL1209" s="171"/>
    </row>
    <row r="1210" spans="1:64" ht="14.25" customHeight="1">
      <c r="A1210" s="212"/>
      <c r="B1210" s="338"/>
      <c r="C1210" s="339"/>
      <c r="D1210" s="338"/>
      <c r="E1210" s="340"/>
      <c r="F1210" s="341"/>
      <c r="N1210" s="170"/>
      <c r="O1210" s="170"/>
      <c r="P1210" s="170"/>
      <c r="Q1210" s="170"/>
      <c r="BI1210" s="171"/>
      <c r="BJ1210" s="171"/>
      <c r="BK1210" s="171"/>
      <c r="BL1210" s="171"/>
    </row>
    <row r="1211" spans="1:64" ht="14.25" customHeight="1">
      <c r="A1211" s="212"/>
      <c r="B1211" s="338"/>
      <c r="C1211" s="339"/>
      <c r="D1211" s="338"/>
      <c r="E1211" s="340"/>
      <c r="F1211" s="341"/>
      <c r="N1211" s="170"/>
      <c r="O1211" s="170"/>
      <c r="P1211" s="170"/>
      <c r="Q1211" s="170"/>
      <c r="BI1211" s="171"/>
      <c r="BJ1211" s="171"/>
      <c r="BK1211" s="171"/>
      <c r="BL1211" s="171"/>
    </row>
    <row r="1212" spans="1:64" ht="14.25" customHeight="1">
      <c r="A1212" s="212"/>
      <c r="B1212" s="338"/>
      <c r="C1212" s="339"/>
      <c r="D1212" s="338"/>
      <c r="E1212" s="340"/>
      <c r="F1212" s="341"/>
      <c r="N1212" s="170"/>
      <c r="O1212" s="170"/>
      <c r="P1212" s="170"/>
      <c r="Q1212" s="170"/>
      <c r="BI1212" s="171"/>
      <c r="BJ1212" s="171"/>
      <c r="BK1212" s="171"/>
      <c r="BL1212" s="171"/>
    </row>
    <row r="1213" spans="1:64" ht="14.25" customHeight="1">
      <c r="A1213" s="212"/>
      <c r="B1213" s="338"/>
      <c r="C1213" s="339"/>
      <c r="D1213" s="338"/>
      <c r="E1213" s="340"/>
      <c r="F1213" s="341"/>
      <c r="N1213" s="170"/>
      <c r="O1213" s="170"/>
      <c r="P1213" s="170"/>
      <c r="Q1213" s="170"/>
      <c r="BI1213" s="171"/>
      <c r="BJ1213" s="171"/>
      <c r="BK1213" s="171"/>
      <c r="BL1213" s="171"/>
    </row>
    <row r="1214" spans="1:64" ht="14.25" customHeight="1">
      <c r="A1214" s="212"/>
      <c r="B1214" s="338"/>
      <c r="C1214" s="339"/>
      <c r="D1214" s="338"/>
      <c r="E1214" s="340"/>
      <c r="F1214" s="341"/>
      <c r="N1214" s="170"/>
      <c r="O1214" s="170"/>
      <c r="P1214" s="170"/>
      <c r="Q1214" s="170"/>
      <c r="BI1214" s="171"/>
      <c r="BJ1214" s="171"/>
      <c r="BK1214" s="171"/>
      <c r="BL1214" s="171"/>
    </row>
    <row r="1215" spans="1:64" ht="14.25" customHeight="1">
      <c r="A1215" s="212"/>
      <c r="B1215" s="338"/>
      <c r="C1215" s="339"/>
      <c r="D1215" s="338"/>
      <c r="E1215" s="340"/>
      <c r="F1215" s="341"/>
      <c r="N1215" s="170"/>
      <c r="O1215" s="170"/>
      <c r="P1215" s="170"/>
      <c r="Q1215" s="170"/>
      <c r="BI1215" s="171"/>
      <c r="BJ1215" s="171"/>
      <c r="BK1215" s="171"/>
      <c r="BL1215" s="171"/>
    </row>
    <row r="1216" spans="1:64" ht="14.25" customHeight="1">
      <c r="A1216" s="212"/>
      <c r="B1216" s="338"/>
      <c r="C1216" s="339"/>
      <c r="D1216" s="338"/>
      <c r="E1216" s="340"/>
      <c r="F1216" s="341"/>
      <c r="N1216" s="170"/>
      <c r="O1216" s="170"/>
      <c r="P1216" s="170"/>
      <c r="Q1216" s="170"/>
      <c r="BI1216" s="171"/>
      <c r="BJ1216" s="171"/>
      <c r="BK1216" s="171"/>
      <c r="BL1216" s="171"/>
    </row>
    <row r="1217" spans="1:64" ht="14.25" customHeight="1">
      <c r="A1217" s="212"/>
      <c r="B1217" s="338"/>
      <c r="C1217" s="339"/>
      <c r="D1217" s="338"/>
      <c r="E1217" s="340"/>
      <c r="F1217" s="341"/>
      <c r="N1217" s="170"/>
      <c r="O1217" s="170"/>
      <c r="P1217" s="170"/>
      <c r="Q1217" s="170"/>
      <c r="BI1217" s="171"/>
      <c r="BJ1217" s="171"/>
      <c r="BK1217" s="171"/>
      <c r="BL1217" s="171"/>
    </row>
    <row r="1218" spans="1:64" ht="14.25" customHeight="1">
      <c r="A1218" s="212"/>
      <c r="B1218" s="338"/>
      <c r="C1218" s="339"/>
      <c r="D1218" s="338"/>
      <c r="E1218" s="340"/>
      <c r="F1218" s="341"/>
      <c r="N1218" s="170"/>
      <c r="O1218" s="170"/>
      <c r="P1218" s="170"/>
      <c r="Q1218" s="170"/>
      <c r="BI1218" s="171"/>
      <c r="BJ1218" s="171"/>
      <c r="BK1218" s="171"/>
      <c r="BL1218" s="171"/>
    </row>
    <row r="1219" spans="1:64" ht="14.25" customHeight="1">
      <c r="A1219" s="212"/>
      <c r="B1219" s="338"/>
      <c r="C1219" s="339"/>
      <c r="D1219" s="338"/>
      <c r="E1219" s="340"/>
      <c r="F1219" s="341"/>
      <c r="N1219" s="170"/>
      <c r="O1219" s="170"/>
      <c r="P1219" s="170"/>
      <c r="Q1219" s="170"/>
      <c r="BI1219" s="171"/>
      <c r="BJ1219" s="171"/>
      <c r="BK1219" s="171"/>
      <c r="BL1219" s="171"/>
    </row>
    <row r="1220" spans="1:64" ht="14.25" customHeight="1">
      <c r="A1220" s="212"/>
      <c r="B1220" s="338"/>
      <c r="C1220" s="339"/>
      <c r="D1220" s="338"/>
      <c r="E1220" s="340"/>
      <c r="F1220" s="341"/>
      <c r="N1220" s="170"/>
      <c r="O1220" s="170"/>
      <c r="P1220" s="170"/>
      <c r="Q1220" s="170"/>
      <c r="BI1220" s="171"/>
      <c r="BJ1220" s="171"/>
      <c r="BK1220" s="171"/>
      <c r="BL1220" s="171"/>
    </row>
    <row r="1221" spans="1:64" ht="14.25" customHeight="1">
      <c r="A1221" s="212"/>
      <c r="B1221" s="338"/>
      <c r="C1221" s="339"/>
      <c r="D1221" s="338"/>
      <c r="E1221" s="340"/>
      <c r="F1221" s="341"/>
      <c r="N1221" s="170"/>
      <c r="O1221" s="170"/>
      <c r="P1221" s="170"/>
      <c r="Q1221" s="170"/>
      <c r="BI1221" s="171"/>
      <c r="BJ1221" s="171"/>
      <c r="BK1221" s="171"/>
      <c r="BL1221" s="171"/>
    </row>
    <row r="1222" spans="1:64" ht="14.25" customHeight="1">
      <c r="A1222" s="212"/>
      <c r="B1222" s="338"/>
      <c r="C1222" s="339"/>
      <c r="D1222" s="338"/>
      <c r="E1222" s="340"/>
      <c r="F1222" s="341"/>
      <c r="N1222" s="170"/>
      <c r="O1222" s="170"/>
      <c r="P1222" s="170"/>
      <c r="Q1222" s="170"/>
      <c r="BI1222" s="171"/>
      <c r="BJ1222" s="171"/>
      <c r="BK1222" s="171"/>
      <c r="BL1222" s="171"/>
    </row>
    <row r="1223" spans="1:64" ht="14.25" customHeight="1">
      <c r="A1223" s="342"/>
      <c r="B1223" s="343"/>
      <c r="C1223" s="344"/>
      <c r="D1223" s="343"/>
      <c r="E1223" s="345"/>
      <c r="F1223" s="346"/>
      <c r="N1223" s="170"/>
      <c r="O1223" s="170"/>
      <c r="P1223" s="170"/>
      <c r="Q1223" s="170"/>
      <c r="BI1223" s="171"/>
      <c r="BJ1223" s="171"/>
      <c r="BK1223" s="171"/>
      <c r="BL1223" s="171"/>
    </row>
    <row r="1224" spans="1:64" ht="14.25" customHeight="1">
      <c r="A1224" s="206"/>
      <c r="B1224" s="209"/>
      <c r="C1224" s="208" t="s">
        <v>1920</v>
      </c>
      <c r="D1224" s="252"/>
      <c r="E1224" s="252"/>
      <c r="F1224" s="365"/>
    </row>
    <row r="1225" spans="1:64" ht="14.25" customHeight="1">
      <c r="A1225" s="212"/>
      <c r="B1225" s="215" t="s">
        <v>1921</v>
      </c>
      <c r="C1225" s="357" t="s">
        <v>1922</v>
      </c>
      <c r="D1225" s="338" t="s">
        <v>1687</v>
      </c>
      <c r="E1225" s="360">
        <f>'[5]COSTO CDMX,QRO,GDL '!I1217</f>
        <v>2087.9766081871344</v>
      </c>
      <c r="F1225" s="217" t="s">
        <v>284</v>
      </c>
    </row>
    <row r="1226" spans="1:64" ht="14.25" customHeight="1">
      <c r="A1226" s="212"/>
      <c r="B1226" s="215" t="s">
        <v>1923</v>
      </c>
      <c r="C1226" s="358" t="s">
        <v>1924</v>
      </c>
      <c r="D1226" s="338" t="s">
        <v>1786</v>
      </c>
      <c r="E1226" s="360">
        <f>'[5]COSTO CDMX,QRO,GDL '!I1218</f>
        <v>2435.9298245614036</v>
      </c>
      <c r="F1226" s="217" t="s">
        <v>284</v>
      </c>
    </row>
    <row r="1227" spans="1:64" ht="14.25" customHeight="1">
      <c r="A1227" s="212"/>
      <c r="B1227" s="226"/>
      <c r="C1227" s="358"/>
      <c r="D1227" s="338"/>
      <c r="E1227" s="242"/>
      <c r="F1227" s="366"/>
    </row>
    <row r="1228" spans="1:64" ht="14.25" customHeight="1">
      <c r="A1228" s="367"/>
      <c r="B1228" s="226"/>
      <c r="C1228" s="361"/>
      <c r="D1228" s="338"/>
      <c r="E1228" s="242"/>
      <c r="F1228" s="366"/>
    </row>
    <row r="1229" spans="1:64" ht="14.25" customHeight="1">
      <c r="A1229" s="367"/>
      <c r="B1229" s="215"/>
      <c r="C1229" s="361"/>
      <c r="D1229" s="338"/>
      <c r="E1229" s="242"/>
      <c r="F1229" s="366"/>
    </row>
    <row r="1230" spans="1:64" ht="13.5" customHeight="1">
      <c r="A1230" s="212"/>
      <c r="B1230" s="215"/>
      <c r="C1230" s="361"/>
      <c r="D1230" s="338"/>
      <c r="E1230" s="242"/>
      <c r="F1230" s="366"/>
    </row>
    <row r="1231" spans="1:64" ht="14.25" customHeight="1">
      <c r="A1231" s="212"/>
      <c r="B1231" s="226"/>
      <c r="C1231" s="368"/>
      <c r="D1231" s="338"/>
      <c r="E1231" s="242"/>
      <c r="F1231" s="366"/>
    </row>
    <row r="1232" spans="1:64" ht="14.25" customHeight="1">
      <c r="A1232" s="333"/>
      <c r="B1232" s="334"/>
      <c r="C1232" s="335"/>
      <c r="D1232" s="334"/>
      <c r="E1232" s="336"/>
      <c r="F1232" s="337"/>
      <c r="N1232" s="170"/>
      <c r="O1232" s="170"/>
      <c r="P1232" s="170"/>
      <c r="Q1232" s="170"/>
      <c r="BI1232" s="171"/>
      <c r="BJ1232" s="171"/>
      <c r="BK1232" s="171"/>
      <c r="BL1232" s="171"/>
    </row>
    <row r="1233" spans="1:64" ht="14.25" customHeight="1">
      <c r="A1233" s="212"/>
      <c r="B1233" s="338"/>
      <c r="C1233" s="339"/>
      <c r="D1233" s="338"/>
      <c r="E1233" s="340"/>
      <c r="F1233" s="341"/>
      <c r="N1233" s="170"/>
      <c r="O1233" s="170"/>
      <c r="P1233" s="170"/>
      <c r="Q1233" s="170"/>
      <c r="BI1233" s="171"/>
      <c r="BJ1233" s="171"/>
      <c r="BK1233" s="171"/>
      <c r="BL1233" s="171"/>
    </row>
    <row r="1234" spans="1:64" ht="14.25" customHeight="1">
      <c r="A1234" s="212"/>
      <c r="B1234" s="338"/>
      <c r="C1234" s="339"/>
      <c r="D1234" s="338"/>
      <c r="E1234" s="340"/>
      <c r="F1234" s="341"/>
      <c r="N1234" s="170"/>
      <c r="O1234" s="170"/>
      <c r="P1234" s="170"/>
      <c r="Q1234" s="170"/>
      <c r="BI1234" s="171"/>
      <c r="BJ1234" s="171"/>
      <c r="BK1234" s="171"/>
      <c r="BL1234" s="171"/>
    </row>
    <row r="1235" spans="1:64" ht="14.25" customHeight="1">
      <c r="A1235" s="212"/>
      <c r="B1235" s="338"/>
      <c r="C1235" s="339"/>
      <c r="D1235" s="338"/>
      <c r="E1235" s="340"/>
      <c r="F1235" s="341"/>
      <c r="N1235" s="170"/>
      <c r="O1235" s="170"/>
      <c r="P1235" s="170"/>
      <c r="Q1235" s="170"/>
      <c r="BI1235" s="171"/>
      <c r="BJ1235" s="171"/>
      <c r="BK1235" s="171"/>
      <c r="BL1235" s="171"/>
    </row>
    <row r="1236" spans="1:64" ht="14.25" customHeight="1">
      <c r="A1236" s="212"/>
      <c r="B1236" s="338"/>
      <c r="C1236" s="339"/>
      <c r="D1236" s="338"/>
      <c r="E1236" s="340"/>
      <c r="F1236" s="341"/>
      <c r="N1236" s="170"/>
      <c r="O1236" s="170"/>
      <c r="P1236" s="170"/>
      <c r="Q1236" s="170"/>
      <c r="BI1236" s="171"/>
      <c r="BJ1236" s="171"/>
      <c r="BK1236" s="171"/>
      <c r="BL1236" s="171"/>
    </row>
    <row r="1237" spans="1:64" ht="14.25" customHeight="1">
      <c r="A1237" s="212"/>
      <c r="B1237" s="338"/>
      <c r="C1237" s="339"/>
      <c r="D1237" s="338"/>
      <c r="E1237" s="340"/>
      <c r="F1237" s="341"/>
      <c r="N1237" s="170"/>
      <c r="O1237" s="170"/>
      <c r="P1237" s="170"/>
      <c r="Q1237" s="170"/>
      <c r="BI1237" s="171"/>
      <c r="BJ1237" s="171"/>
      <c r="BK1237" s="171"/>
      <c r="BL1237" s="171"/>
    </row>
    <row r="1238" spans="1:64" ht="14.25" customHeight="1">
      <c r="A1238" s="212"/>
      <c r="B1238" s="338"/>
      <c r="C1238" s="339"/>
      <c r="D1238" s="338"/>
      <c r="E1238" s="340"/>
      <c r="F1238" s="341"/>
      <c r="N1238" s="170"/>
      <c r="O1238" s="170"/>
      <c r="P1238" s="170"/>
      <c r="Q1238" s="170"/>
      <c r="BI1238" s="171"/>
      <c r="BJ1238" s="171"/>
      <c r="BK1238" s="171"/>
      <c r="BL1238" s="171"/>
    </row>
    <row r="1239" spans="1:64" ht="14.25" customHeight="1">
      <c r="A1239" s="212"/>
      <c r="B1239" s="338"/>
      <c r="C1239" s="339"/>
      <c r="D1239" s="338"/>
      <c r="E1239" s="340"/>
      <c r="F1239" s="341"/>
      <c r="N1239" s="170"/>
      <c r="O1239" s="170"/>
      <c r="P1239" s="170"/>
      <c r="Q1239" s="170"/>
      <c r="BI1239" s="171"/>
      <c r="BJ1239" s="171"/>
      <c r="BK1239" s="171"/>
      <c r="BL1239" s="171"/>
    </row>
    <row r="1240" spans="1:64" ht="14.25" customHeight="1">
      <c r="A1240" s="212"/>
      <c r="B1240" s="338"/>
      <c r="C1240" s="339"/>
      <c r="D1240" s="338"/>
      <c r="E1240" s="340"/>
      <c r="F1240" s="341"/>
      <c r="N1240" s="170"/>
      <c r="O1240" s="170"/>
      <c r="P1240" s="170"/>
      <c r="Q1240" s="170"/>
      <c r="BI1240" s="171"/>
      <c r="BJ1240" s="171"/>
      <c r="BK1240" s="171"/>
      <c r="BL1240" s="171"/>
    </row>
    <row r="1241" spans="1:64" ht="14.25" customHeight="1">
      <c r="A1241" s="212"/>
      <c r="B1241" s="338"/>
      <c r="C1241" s="339"/>
      <c r="D1241" s="338"/>
      <c r="E1241" s="340"/>
      <c r="F1241" s="341"/>
      <c r="N1241" s="170"/>
      <c r="O1241" s="170"/>
      <c r="P1241" s="170"/>
      <c r="Q1241" s="170"/>
      <c r="BI1241" s="171"/>
      <c r="BJ1241" s="171"/>
      <c r="BK1241" s="171"/>
      <c r="BL1241" s="171"/>
    </row>
    <row r="1242" spans="1:64" ht="14.25" customHeight="1">
      <c r="A1242" s="212"/>
      <c r="B1242" s="338"/>
      <c r="C1242" s="339"/>
      <c r="D1242" s="338"/>
      <c r="E1242" s="340"/>
      <c r="F1242" s="341"/>
      <c r="N1242" s="170"/>
      <c r="O1242" s="170"/>
      <c r="P1242" s="170"/>
      <c r="Q1242" s="170"/>
      <c r="BI1242" s="171"/>
      <c r="BJ1242" s="171"/>
      <c r="BK1242" s="171"/>
      <c r="BL1242" s="171"/>
    </row>
    <row r="1243" spans="1:64" ht="14.25" customHeight="1">
      <c r="A1243" s="212"/>
      <c r="B1243" s="338"/>
      <c r="C1243" s="339"/>
      <c r="D1243" s="338"/>
      <c r="E1243" s="340"/>
      <c r="F1243" s="341"/>
      <c r="N1243" s="170"/>
      <c r="O1243" s="170"/>
      <c r="P1243" s="170"/>
      <c r="Q1243" s="170"/>
      <c r="BI1243" s="171"/>
      <c r="BJ1243" s="171"/>
      <c r="BK1243" s="171"/>
      <c r="BL1243" s="171"/>
    </row>
    <row r="1244" spans="1:64" ht="14.25" customHeight="1">
      <c r="A1244" s="212"/>
      <c r="B1244" s="338"/>
      <c r="C1244" s="339"/>
      <c r="D1244" s="338"/>
      <c r="E1244" s="340"/>
      <c r="F1244" s="341"/>
      <c r="N1244" s="170"/>
      <c r="O1244" s="170"/>
      <c r="P1244" s="170"/>
      <c r="Q1244" s="170"/>
      <c r="BI1244" s="171"/>
      <c r="BJ1244" s="171"/>
      <c r="BK1244" s="171"/>
      <c r="BL1244" s="171"/>
    </row>
    <row r="1245" spans="1:64" ht="14.25" customHeight="1">
      <c r="A1245" s="212"/>
      <c r="B1245" s="338"/>
      <c r="C1245" s="339"/>
      <c r="D1245" s="338"/>
      <c r="E1245" s="340"/>
      <c r="F1245" s="341"/>
      <c r="N1245" s="170"/>
      <c r="O1245" s="170"/>
      <c r="P1245" s="170"/>
      <c r="Q1245" s="170"/>
      <c r="BI1245" s="171"/>
      <c r="BJ1245" s="171"/>
      <c r="BK1245" s="171"/>
      <c r="BL1245" s="171"/>
    </row>
    <row r="1246" spans="1:64" ht="14.25" customHeight="1">
      <c r="A1246" s="212"/>
      <c r="B1246" s="338"/>
      <c r="C1246" s="339"/>
      <c r="D1246" s="338"/>
      <c r="E1246" s="340"/>
      <c r="F1246" s="341"/>
      <c r="N1246" s="170"/>
      <c r="O1246" s="170"/>
      <c r="P1246" s="170"/>
      <c r="Q1246" s="170"/>
      <c r="BI1246" s="171"/>
      <c r="BJ1246" s="171"/>
      <c r="BK1246" s="171"/>
      <c r="BL1246" s="171"/>
    </row>
    <row r="1247" spans="1:64" ht="14.25" customHeight="1">
      <c r="A1247" s="212"/>
      <c r="B1247" s="338"/>
      <c r="C1247" s="339"/>
      <c r="D1247" s="338"/>
      <c r="E1247" s="340"/>
      <c r="F1247" s="341"/>
      <c r="N1247" s="170"/>
      <c r="O1247" s="170"/>
      <c r="P1247" s="170"/>
      <c r="Q1247" s="170"/>
      <c r="BI1247" s="171"/>
      <c r="BJ1247" s="171"/>
      <c r="BK1247" s="171"/>
      <c r="BL1247" s="171"/>
    </row>
    <row r="1248" spans="1:64" ht="14.25" customHeight="1">
      <c r="A1248" s="212"/>
      <c r="B1248" s="338"/>
      <c r="C1248" s="339"/>
      <c r="D1248" s="338"/>
      <c r="E1248" s="340"/>
      <c r="F1248" s="341"/>
      <c r="N1248" s="170"/>
      <c r="O1248" s="170"/>
      <c r="P1248" s="170"/>
      <c r="Q1248" s="170"/>
      <c r="BI1248" s="171"/>
      <c r="BJ1248" s="171"/>
      <c r="BK1248" s="171"/>
      <c r="BL1248" s="171"/>
    </row>
    <row r="1249" spans="1:64" ht="14.25" customHeight="1">
      <c r="A1249" s="212"/>
      <c r="B1249" s="338"/>
      <c r="C1249" s="339"/>
      <c r="D1249" s="338"/>
      <c r="E1249" s="340"/>
      <c r="F1249" s="341"/>
      <c r="N1249" s="170"/>
      <c r="O1249" s="170"/>
      <c r="P1249" s="170"/>
      <c r="Q1249" s="170"/>
      <c r="BI1249" s="171"/>
      <c r="BJ1249" s="171"/>
      <c r="BK1249" s="171"/>
      <c r="BL1249" s="171"/>
    </row>
    <row r="1250" spans="1:64" ht="14.25" customHeight="1">
      <c r="A1250" s="212"/>
      <c r="B1250" s="338"/>
      <c r="C1250" s="339"/>
      <c r="D1250" s="338"/>
      <c r="E1250" s="340"/>
      <c r="F1250" s="341"/>
      <c r="N1250" s="170"/>
      <c r="O1250" s="170"/>
      <c r="P1250" s="170"/>
      <c r="Q1250" s="170"/>
      <c r="BI1250" s="171"/>
      <c r="BJ1250" s="171"/>
      <c r="BK1250" s="171"/>
      <c r="BL1250" s="171"/>
    </row>
    <row r="1251" spans="1:64" ht="14.25" customHeight="1">
      <c r="A1251" s="342"/>
      <c r="B1251" s="343"/>
      <c r="C1251" s="344"/>
      <c r="D1251" s="343"/>
      <c r="E1251" s="345"/>
      <c r="F1251" s="346"/>
      <c r="N1251" s="170"/>
      <c r="O1251" s="170"/>
      <c r="P1251" s="170"/>
      <c r="Q1251" s="170"/>
      <c r="BI1251" s="171"/>
      <c r="BJ1251" s="171"/>
      <c r="BK1251" s="171"/>
      <c r="BL1251" s="171"/>
    </row>
    <row r="1252" spans="1:64" ht="15" customHeight="1">
      <c r="A1252" s="206"/>
      <c r="B1252" s="207"/>
      <c r="C1252" s="208" t="s">
        <v>2434</v>
      </c>
      <c r="D1252" s="209"/>
      <c r="E1252" s="209"/>
      <c r="F1252" s="211"/>
    </row>
    <row r="1253" spans="1:64" ht="14.25" customHeight="1">
      <c r="A1253" s="212"/>
      <c r="B1253" s="215" t="s">
        <v>2435</v>
      </c>
      <c r="C1253" s="357" t="s">
        <v>2436</v>
      </c>
      <c r="D1253" s="338" t="s">
        <v>1687</v>
      </c>
      <c r="E1253" s="242">
        <f>'[5]COSTO CDMX,QRO,GDL '!I1245</f>
        <v>5406.7211993934825</v>
      </c>
      <c r="F1253" s="217" t="s">
        <v>284</v>
      </c>
    </row>
    <row r="1254" spans="1:64" ht="14.25" customHeight="1">
      <c r="A1254" s="212"/>
      <c r="B1254" s="215" t="s">
        <v>2437</v>
      </c>
      <c r="C1254" s="358" t="s">
        <v>2422</v>
      </c>
      <c r="D1254" s="338" t="s">
        <v>1786</v>
      </c>
      <c r="E1254" s="242">
        <f>'[5]COSTO CDMX,QRO,GDL '!I1246</f>
        <v>5916.8461853206445</v>
      </c>
      <c r="F1254" s="217" t="s">
        <v>284</v>
      </c>
    </row>
    <row r="1255" spans="1:64" ht="14.25" customHeight="1">
      <c r="A1255" s="212"/>
      <c r="B1255" s="226"/>
      <c r="C1255" s="358" t="s">
        <v>1915</v>
      </c>
      <c r="D1255" s="338"/>
      <c r="E1255" s="242"/>
      <c r="F1255" s="284"/>
    </row>
    <row r="1256" spans="1:64" ht="14.25" customHeight="1">
      <c r="A1256" s="212"/>
      <c r="B1256" s="226"/>
      <c r="C1256" s="361" t="s">
        <v>2414</v>
      </c>
      <c r="D1256" s="338"/>
      <c r="E1256" s="242"/>
      <c r="F1256" s="284"/>
    </row>
    <row r="1257" spans="1:64" ht="14.25" customHeight="1">
      <c r="A1257" s="212"/>
      <c r="B1257" s="226"/>
      <c r="C1257" s="361" t="s">
        <v>2423</v>
      </c>
      <c r="D1257" s="338"/>
      <c r="E1257" s="242"/>
      <c r="F1257" s="284"/>
    </row>
    <row r="1258" spans="1:64" ht="14.25" customHeight="1">
      <c r="A1258" s="212"/>
      <c r="B1258" s="226"/>
      <c r="C1258" s="361" t="s">
        <v>2424</v>
      </c>
      <c r="D1258" s="338"/>
      <c r="E1258" s="242"/>
      <c r="F1258" s="284"/>
    </row>
    <row r="1259" spans="1:64" ht="14.25" customHeight="1">
      <c r="A1259" s="212"/>
      <c r="B1259" s="226"/>
      <c r="C1259" s="368"/>
      <c r="D1259" s="338"/>
      <c r="E1259" s="242"/>
      <c r="F1259" s="284"/>
    </row>
    <row r="1260" spans="1:64" ht="14.25" customHeight="1">
      <c r="A1260" s="206"/>
      <c r="B1260" s="209"/>
      <c r="C1260" s="253" t="s">
        <v>2438</v>
      </c>
      <c r="D1260" s="252"/>
      <c r="E1260" s="252"/>
      <c r="F1260" s="365"/>
    </row>
    <row r="1261" spans="1:64" ht="14.25" customHeight="1">
      <c r="A1261" s="212"/>
      <c r="B1261" s="215" t="s">
        <v>2439</v>
      </c>
      <c r="C1261" s="357" t="s">
        <v>2440</v>
      </c>
      <c r="D1261" s="338" t="s">
        <v>1687</v>
      </c>
      <c r="E1261" s="242">
        <f>'[5]COSTO CDMX,QRO,GDL '!I1253</f>
        <v>4383.326506609279</v>
      </c>
      <c r="F1261" s="217" t="s">
        <v>1928</v>
      </c>
    </row>
    <row r="1262" spans="1:64" ht="14.25" customHeight="1">
      <c r="A1262" s="212"/>
      <c r="B1262" s="215" t="s">
        <v>2441</v>
      </c>
      <c r="C1262" s="358" t="s">
        <v>2442</v>
      </c>
      <c r="D1262" s="338" t="s">
        <v>1786</v>
      </c>
      <c r="E1262" s="242">
        <f>'[5]COSTO CDMX,QRO,GDL '!I1254</f>
        <v>4830.3296680875565</v>
      </c>
      <c r="F1262" s="217" t="s">
        <v>1928</v>
      </c>
    </row>
    <row r="1263" spans="1:64" ht="14.25" customHeight="1">
      <c r="A1263" s="212"/>
      <c r="B1263" s="226"/>
      <c r="C1263" s="358" t="s">
        <v>2443</v>
      </c>
      <c r="D1263" s="338"/>
      <c r="E1263" s="242"/>
      <c r="F1263" s="366"/>
    </row>
    <row r="1264" spans="1:64" ht="14.25" customHeight="1">
      <c r="A1264" s="367"/>
      <c r="B1264" s="226"/>
      <c r="C1264" s="361" t="s">
        <v>2414</v>
      </c>
      <c r="D1264" s="338"/>
      <c r="E1264" s="242"/>
      <c r="F1264" s="366"/>
    </row>
    <row r="1265" spans="1:64" ht="14.25" customHeight="1">
      <c r="A1265" s="367"/>
      <c r="B1265" s="215"/>
      <c r="C1265" s="361" t="s">
        <v>2423</v>
      </c>
      <c r="D1265" s="338"/>
      <c r="E1265" s="242"/>
      <c r="F1265" s="366"/>
    </row>
    <row r="1266" spans="1:64" ht="13.5" customHeight="1">
      <c r="A1266" s="212"/>
      <c r="B1266" s="215"/>
      <c r="C1266" s="361" t="s">
        <v>2424</v>
      </c>
      <c r="D1266" s="338"/>
      <c r="E1266" s="242"/>
      <c r="F1266" s="366"/>
    </row>
    <row r="1267" spans="1:64" ht="14.25" customHeight="1">
      <c r="A1267" s="212"/>
      <c r="B1267" s="226"/>
      <c r="C1267" s="368"/>
      <c r="D1267" s="338"/>
      <c r="E1267" s="242"/>
      <c r="F1267" s="366"/>
    </row>
    <row r="1268" spans="1:64" ht="14.25" customHeight="1">
      <c r="A1268" s="333"/>
      <c r="B1268" s="334"/>
      <c r="C1268" s="335"/>
      <c r="D1268" s="334"/>
      <c r="E1268" s="336"/>
      <c r="F1268" s="337"/>
      <c r="N1268" s="170"/>
      <c r="O1268" s="170"/>
      <c r="P1268" s="170"/>
      <c r="Q1268" s="170"/>
      <c r="BI1268" s="171"/>
      <c r="BJ1268" s="171"/>
      <c r="BK1268" s="171"/>
      <c r="BL1268" s="171"/>
    </row>
    <row r="1269" spans="1:64" ht="14.25" customHeight="1">
      <c r="A1269" s="212"/>
      <c r="B1269" s="338"/>
      <c r="C1269" s="339"/>
      <c r="D1269" s="338"/>
      <c r="E1269" s="340"/>
      <c r="F1269" s="341"/>
      <c r="N1269" s="170"/>
      <c r="O1269" s="170"/>
      <c r="P1269" s="170"/>
      <c r="Q1269" s="170"/>
      <c r="BI1269" s="171"/>
      <c r="BJ1269" s="171"/>
      <c r="BK1269" s="171"/>
      <c r="BL1269" s="171"/>
    </row>
    <row r="1270" spans="1:64" ht="14.25" customHeight="1">
      <c r="A1270" s="212"/>
      <c r="B1270" s="338"/>
      <c r="C1270" s="339"/>
      <c r="D1270" s="338"/>
      <c r="E1270" s="340"/>
      <c r="F1270" s="341"/>
      <c r="N1270" s="170"/>
      <c r="O1270" s="170"/>
      <c r="P1270" s="170"/>
      <c r="Q1270" s="170"/>
      <c r="BI1270" s="171"/>
      <c r="BJ1270" s="171"/>
      <c r="BK1270" s="171"/>
      <c r="BL1270" s="171"/>
    </row>
    <row r="1271" spans="1:64" ht="14.25" customHeight="1">
      <c r="A1271" s="212"/>
      <c r="B1271" s="338"/>
      <c r="C1271" s="339"/>
      <c r="D1271" s="338"/>
      <c r="E1271" s="340"/>
      <c r="F1271" s="341"/>
      <c r="N1271" s="170"/>
      <c r="O1271" s="170"/>
      <c r="P1271" s="170"/>
      <c r="Q1271" s="170"/>
      <c r="BI1271" s="171"/>
      <c r="BJ1271" s="171"/>
      <c r="BK1271" s="171"/>
      <c r="BL1271" s="171"/>
    </row>
    <row r="1272" spans="1:64" ht="14.25" customHeight="1">
      <c r="A1272" s="212"/>
      <c r="B1272" s="338"/>
      <c r="C1272" s="339"/>
      <c r="D1272" s="338"/>
      <c r="E1272" s="340"/>
      <c r="F1272" s="341"/>
      <c r="N1272" s="170"/>
      <c r="O1272" s="170"/>
      <c r="P1272" s="170"/>
      <c r="Q1272" s="170"/>
      <c r="BI1272" s="171"/>
      <c r="BJ1272" s="171"/>
      <c r="BK1272" s="171"/>
      <c r="BL1272" s="171"/>
    </row>
    <row r="1273" spans="1:64" ht="14.25" customHeight="1">
      <c r="A1273" s="212"/>
      <c r="B1273" s="338"/>
      <c r="C1273" s="339"/>
      <c r="D1273" s="338"/>
      <c r="E1273" s="340"/>
      <c r="F1273" s="341"/>
      <c r="N1273" s="170"/>
      <c r="O1273" s="170"/>
      <c r="P1273" s="170"/>
      <c r="Q1273" s="170"/>
      <c r="BI1273" s="171"/>
      <c r="BJ1273" s="171"/>
      <c r="BK1273" s="171"/>
      <c r="BL1273" s="171"/>
    </row>
    <row r="1274" spans="1:64" ht="14.25" customHeight="1">
      <c r="A1274" s="212"/>
      <c r="B1274" s="338"/>
      <c r="C1274" s="339"/>
      <c r="D1274" s="338"/>
      <c r="E1274" s="340"/>
      <c r="F1274" s="341"/>
      <c r="N1274" s="170"/>
      <c r="O1274" s="170"/>
      <c r="P1274" s="170"/>
      <c r="Q1274" s="170"/>
      <c r="BI1274" s="171"/>
      <c r="BJ1274" s="171"/>
      <c r="BK1274" s="171"/>
      <c r="BL1274" s="171"/>
    </row>
    <row r="1275" spans="1:64" ht="14.25" customHeight="1">
      <c r="A1275" s="212"/>
      <c r="B1275" s="338"/>
      <c r="C1275" s="339"/>
      <c r="D1275" s="338"/>
      <c r="E1275" s="340"/>
      <c r="F1275" s="341"/>
      <c r="N1275" s="170"/>
      <c r="O1275" s="170"/>
      <c r="P1275" s="170"/>
      <c r="Q1275" s="170"/>
      <c r="BI1275" s="171"/>
      <c r="BJ1275" s="171"/>
      <c r="BK1275" s="171"/>
      <c r="BL1275" s="171"/>
    </row>
    <row r="1276" spans="1:64" ht="14.25" customHeight="1">
      <c r="A1276" s="212"/>
      <c r="B1276" s="338"/>
      <c r="C1276" s="339"/>
      <c r="D1276" s="338"/>
      <c r="E1276" s="340"/>
      <c r="F1276" s="341"/>
      <c r="N1276" s="170"/>
      <c r="O1276" s="170"/>
      <c r="P1276" s="170"/>
      <c r="Q1276" s="170"/>
      <c r="BI1276" s="171"/>
      <c r="BJ1276" s="171"/>
      <c r="BK1276" s="171"/>
      <c r="BL1276" s="171"/>
    </row>
    <row r="1277" spans="1:64" ht="14.25" customHeight="1">
      <c r="A1277" s="212"/>
      <c r="B1277" s="338"/>
      <c r="C1277" s="339"/>
      <c r="D1277" s="338"/>
      <c r="E1277" s="340"/>
      <c r="F1277" s="341"/>
      <c r="N1277" s="170"/>
      <c r="O1277" s="170"/>
      <c r="P1277" s="170"/>
      <c r="Q1277" s="170"/>
      <c r="BI1277" s="171"/>
      <c r="BJ1277" s="171"/>
      <c r="BK1277" s="171"/>
      <c r="BL1277" s="171"/>
    </row>
    <row r="1278" spans="1:64" ht="14.25" customHeight="1">
      <c r="A1278" s="212"/>
      <c r="B1278" s="338"/>
      <c r="C1278" s="339"/>
      <c r="D1278" s="338"/>
      <c r="E1278" s="340"/>
      <c r="F1278" s="341"/>
      <c r="N1278" s="170"/>
      <c r="O1278" s="170"/>
      <c r="P1278" s="170"/>
      <c r="Q1278" s="170"/>
      <c r="BI1278" s="171"/>
      <c r="BJ1278" s="171"/>
      <c r="BK1278" s="171"/>
      <c r="BL1278" s="171"/>
    </row>
    <row r="1279" spans="1:64" ht="14.25" customHeight="1">
      <c r="A1279" s="212"/>
      <c r="B1279" s="338"/>
      <c r="C1279" s="339"/>
      <c r="D1279" s="338"/>
      <c r="E1279" s="340"/>
      <c r="F1279" s="341"/>
      <c r="N1279" s="170"/>
      <c r="O1279" s="170"/>
      <c r="P1279" s="170"/>
      <c r="Q1279" s="170"/>
      <c r="BI1279" s="171"/>
      <c r="BJ1279" s="171"/>
      <c r="BK1279" s="171"/>
      <c r="BL1279" s="171"/>
    </row>
    <row r="1280" spans="1:64" ht="14.25" customHeight="1">
      <c r="A1280" s="212"/>
      <c r="B1280" s="338"/>
      <c r="C1280" s="339"/>
      <c r="D1280" s="338"/>
      <c r="E1280" s="340"/>
      <c r="F1280" s="341"/>
      <c r="N1280" s="170"/>
      <c r="O1280" s="170"/>
      <c r="P1280" s="170"/>
      <c r="Q1280" s="170"/>
      <c r="BI1280" s="171"/>
      <c r="BJ1280" s="171"/>
      <c r="BK1280" s="171"/>
      <c r="BL1280" s="171"/>
    </row>
    <row r="1281" spans="1:64" ht="14.25" customHeight="1">
      <c r="A1281" s="212"/>
      <c r="B1281" s="338"/>
      <c r="C1281" s="339"/>
      <c r="D1281" s="338"/>
      <c r="E1281" s="340"/>
      <c r="F1281" s="341"/>
      <c r="N1281" s="170"/>
      <c r="O1281" s="170"/>
      <c r="P1281" s="170"/>
      <c r="Q1281" s="170"/>
      <c r="BI1281" s="171"/>
      <c r="BJ1281" s="171"/>
      <c r="BK1281" s="171"/>
      <c r="BL1281" s="171"/>
    </row>
    <row r="1282" spans="1:64" ht="14.25" customHeight="1">
      <c r="A1282" s="212"/>
      <c r="B1282" s="338"/>
      <c r="C1282" s="339"/>
      <c r="D1282" s="338"/>
      <c r="E1282" s="340"/>
      <c r="F1282" s="341"/>
      <c r="N1282" s="170"/>
      <c r="O1282" s="170"/>
      <c r="P1282" s="170"/>
      <c r="Q1282" s="170"/>
      <c r="BI1282" s="171"/>
      <c r="BJ1282" s="171"/>
      <c r="BK1282" s="171"/>
      <c r="BL1282" s="171"/>
    </row>
    <row r="1283" spans="1:64" ht="14.25" customHeight="1">
      <c r="A1283" s="212"/>
      <c r="B1283" s="338"/>
      <c r="C1283" s="339"/>
      <c r="D1283" s="338"/>
      <c r="E1283" s="340"/>
      <c r="F1283" s="341"/>
      <c r="N1283" s="170"/>
      <c r="O1283" s="170"/>
      <c r="P1283" s="170"/>
      <c r="Q1283" s="170"/>
      <c r="BI1283" s="171"/>
      <c r="BJ1283" s="171"/>
      <c r="BK1283" s="171"/>
      <c r="BL1283" s="171"/>
    </row>
    <row r="1284" spans="1:64" ht="14.25" customHeight="1">
      <c r="A1284" s="212"/>
      <c r="B1284" s="338"/>
      <c r="C1284" s="339"/>
      <c r="D1284" s="338"/>
      <c r="E1284" s="340"/>
      <c r="F1284" s="341"/>
      <c r="N1284" s="170"/>
      <c r="O1284" s="170"/>
      <c r="P1284" s="170"/>
      <c r="Q1284" s="170"/>
      <c r="BI1284" s="171"/>
      <c r="BJ1284" s="171"/>
      <c r="BK1284" s="171"/>
      <c r="BL1284" s="171"/>
    </row>
    <row r="1285" spans="1:64" ht="14.25" customHeight="1">
      <c r="A1285" s="212"/>
      <c r="B1285" s="338"/>
      <c r="C1285" s="339"/>
      <c r="D1285" s="338"/>
      <c r="E1285" s="340"/>
      <c r="F1285" s="341"/>
      <c r="N1285" s="170"/>
      <c r="O1285" s="170"/>
      <c r="P1285" s="170"/>
      <c r="Q1285" s="170"/>
      <c r="BI1285" s="171"/>
      <c r="BJ1285" s="171"/>
      <c r="BK1285" s="171"/>
      <c r="BL1285" s="171"/>
    </row>
    <row r="1286" spans="1:64" ht="14.25" customHeight="1">
      <c r="A1286" s="212"/>
      <c r="B1286" s="338"/>
      <c r="C1286" s="339"/>
      <c r="D1286" s="338"/>
      <c r="E1286" s="340"/>
      <c r="F1286" s="341"/>
      <c r="N1286" s="170"/>
      <c r="O1286" s="170"/>
      <c r="P1286" s="170"/>
      <c r="Q1286" s="170"/>
      <c r="BI1286" s="171"/>
      <c r="BJ1286" s="171"/>
      <c r="BK1286" s="171"/>
      <c r="BL1286" s="171"/>
    </row>
    <row r="1287" spans="1:64" ht="14.25" customHeight="1">
      <c r="A1287" s="212"/>
      <c r="B1287" s="338"/>
      <c r="C1287" s="339"/>
      <c r="D1287" s="338"/>
      <c r="E1287" s="340"/>
      <c r="F1287" s="341"/>
      <c r="N1287" s="170"/>
      <c r="O1287" s="170"/>
      <c r="P1287" s="170"/>
      <c r="Q1287" s="170"/>
      <c r="BI1287" s="171"/>
      <c r="BJ1287" s="171"/>
      <c r="BK1287" s="171"/>
      <c r="BL1287" s="171"/>
    </row>
    <row r="1288" spans="1:64" ht="14.25" customHeight="1">
      <c r="A1288" s="342"/>
      <c r="B1288" s="343"/>
      <c r="C1288" s="344"/>
      <c r="D1288" s="343"/>
      <c r="E1288" s="345"/>
      <c r="F1288" s="346"/>
      <c r="N1288" s="170"/>
      <c r="O1288" s="170"/>
      <c r="P1288" s="170"/>
      <c r="Q1288" s="170"/>
      <c r="BI1288" s="171"/>
      <c r="BJ1288" s="171"/>
      <c r="BK1288" s="171"/>
      <c r="BL1288" s="171"/>
    </row>
    <row r="1289" spans="1:64" ht="15" customHeight="1">
      <c r="A1289" s="206"/>
      <c r="B1289" s="209"/>
      <c r="C1289" s="253" t="s">
        <v>2444</v>
      </c>
      <c r="D1289" s="252"/>
      <c r="E1289" s="207"/>
      <c r="F1289" s="211"/>
    </row>
    <row r="1290" spans="1:64" ht="15" customHeight="1">
      <c r="A1290" s="369"/>
      <c r="B1290" s="215" t="s">
        <v>2445</v>
      </c>
      <c r="C1290" s="358" t="s">
        <v>2446</v>
      </c>
      <c r="D1290" s="338" t="s">
        <v>2447</v>
      </c>
      <c r="E1290" s="370">
        <f>'[5]COSTO CDMX,QRO,GDL '!I1282</f>
        <v>489.01091829120651</v>
      </c>
      <c r="F1290" s="217" t="s">
        <v>1928</v>
      </c>
    </row>
    <row r="1291" spans="1:64" ht="15" customHeight="1">
      <c r="A1291" s="369"/>
      <c r="B1291" s="215"/>
      <c r="C1291" s="358" t="s">
        <v>2448</v>
      </c>
      <c r="D1291" s="338"/>
      <c r="E1291" s="242"/>
      <c r="F1291" s="284"/>
    </row>
    <row r="1292" spans="1:64" ht="15" customHeight="1">
      <c r="A1292" s="369"/>
      <c r="B1292" s="215"/>
      <c r="C1292" s="358" t="s">
        <v>2449</v>
      </c>
      <c r="D1292" s="338"/>
      <c r="E1292" s="242"/>
      <c r="F1292" s="284"/>
    </row>
    <row r="1293" spans="1:64" ht="15" customHeight="1">
      <c r="A1293" s="369"/>
      <c r="B1293" s="215"/>
      <c r="C1293" s="358"/>
      <c r="D1293" s="338"/>
      <c r="E1293" s="242"/>
      <c r="F1293" s="284"/>
    </row>
    <row r="1294" spans="1:64" ht="15" customHeight="1">
      <c r="A1294" s="369"/>
      <c r="B1294" s="215"/>
      <c r="C1294" s="358"/>
      <c r="D1294" s="338"/>
      <c r="E1294" s="242"/>
      <c r="F1294" s="284"/>
    </row>
    <row r="1295" spans="1:64" ht="15" customHeight="1">
      <c r="A1295" s="369"/>
      <c r="B1295" s="215" t="s">
        <v>2450</v>
      </c>
      <c r="C1295" s="358" t="s">
        <v>2451</v>
      </c>
      <c r="D1295" s="338" t="s">
        <v>2452</v>
      </c>
      <c r="E1295" s="242">
        <f>'[5]COSTO CDMX,QRO,GDL '!I1287</f>
        <v>764.76616936233165</v>
      </c>
      <c r="F1295" s="217" t="s">
        <v>1928</v>
      </c>
    </row>
    <row r="1296" spans="1:64" ht="15" customHeight="1">
      <c r="A1296" s="369"/>
      <c r="B1296" s="215"/>
      <c r="C1296" s="358" t="s">
        <v>2448</v>
      </c>
      <c r="D1296" s="338"/>
      <c r="E1296" s="242"/>
      <c r="F1296" s="284"/>
    </row>
    <row r="1297" spans="1:6" ht="15" customHeight="1">
      <c r="A1297" s="369"/>
      <c r="B1297" s="215"/>
      <c r="C1297" s="358" t="s">
        <v>2449</v>
      </c>
      <c r="D1297" s="338"/>
      <c r="E1297" s="242"/>
      <c r="F1297" s="284"/>
    </row>
    <row r="1298" spans="1:6" ht="15" customHeight="1">
      <c r="A1298" s="369"/>
      <c r="B1298" s="371"/>
      <c r="C1298" s="372"/>
      <c r="D1298" s="373"/>
      <c r="E1298" s="242"/>
      <c r="F1298" s="228"/>
    </row>
    <row r="1299" spans="1:6" ht="15" customHeight="1">
      <c r="A1299" s="369"/>
      <c r="B1299" s="371"/>
      <c r="C1299" s="372"/>
      <c r="D1299" s="373"/>
      <c r="E1299" s="242"/>
      <c r="F1299" s="228"/>
    </row>
    <row r="1300" spans="1:6" ht="14.25" customHeight="1">
      <c r="A1300" s="212"/>
      <c r="B1300" s="215" t="s">
        <v>2453</v>
      </c>
      <c r="C1300" s="358" t="s">
        <v>2454</v>
      </c>
      <c r="D1300" s="338" t="s">
        <v>2455</v>
      </c>
      <c r="E1300" s="242">
        <f>'[5]COSTO CDMX,QRO,GDL '!I1292</f>
        <v>800.13083264920999</v>
      </c>
      <c r="F1300" s="217" t="s">
        <v>1928</v>
      </c>
    </row>
    <row r="1301" spans="1:6" ht="14.25" customHeight="1">
      <c r="A1301" s="212"/>
      <c r="B1301" s="226"/>
      <c r="C1301" s="358" t="s">
        <v>2448</v>
      </c>
      <c r="D1301" s="338"/>
      <c r="E1301" s="293"/>
      <c r="F1301" s="284"/>
    </row>
    <row r="1302" spans="1:6" ht="14.25" customHeight="1">
      <c r="A1302" s="212"/>
      <c r="B1302" s="226"/>
      <c r="C1302" s="358" t="s">
        <v>2449</v>
      </c>
      <c r="D1302" s="338"/>
      <c r="E1302" s="293"/>
      <c r="F1302" s="284"/>
    </row>
    <row r="1303" spans="1:6" ht="14.25" customHeight="1">
      <c r="A1303" s="212"/>
      <c r="B1303" s="226"/>
      <c r="C1303" s="358"/>
      <c r="D1303" s="338"/>
      <c r="E1303" s="293"/>
      <c r="F1303" s="284"/>
    </row>
    <row r="1304" spans="1:6" ht="14.25" customHeight="1">
      <c r="A1304" s="212"/>
      <c r="B1304" s="226"/>
      <c r="C1304" s="358"/>
      <c r="D1304" s="338"/>
      <c r="E1304" s="293"/>
      <c r="F1304" s="284"/>
    </row>
    <row r="1305" spans="1:6" ht="15" customHeight="1">
      <c r="A1305" s="374"/>
      <c r="B1305" s="375"/>
      <c r="C1305" s="376" t="s">
        <v>1925</v>
      </c>
      <c r="D1305" s="377"/>
      <c r="E1305" s="378"/>
      <c r="F1305" s="379"/>
    </row>
    <row r="1306" spans="1:6" ht="14.25" customHeight="1">
      <c r="A1306" s="212"/>
      <c r="B1306" s="215" t="s">
        <v>1926</v>
      </c>
      <c r="C1306" s="357" t="s">
        <v>1927</v>
      </c>
      <c r="D1306" s="338" t="s">
        <v>1681</v>
      </c>
      <c r="E1306" s="380">
        <f>'[5]COSTO CDMX,QRO,GDL '!I1298</f>
        <v>778.55724006292905</v>
      </c>
      <c r="F1306" s="217" t="s">
        <v>1928</v>
      </c>
    </row>
    <row r="1307" spans="1:6" ht="14.25" customHeight="1">
      <c r="A1307" s="212"/>
      <c r="B1307" s="215" t="s">
        <v>1929</v>
      </c>
      <c r="C1307" s="358" t="s">
        <v>1930</v>
      </c>
      <c r="D1307" s="338" t="s">
        <v>1691</v>
      </c>
      <c r="E1307" s="380">
        <f>'[5]COSTO CDMX,QRO,GDL '!I1299</f>
        <v>1180.7691789565536</v>
      </c>
      <c r="F1307" s="217" t="s">
        <v>1928</v>
      </c>
    </row>
    <row r="1308" spans="1:6" ht="14.25" customHeight="1">
      <c r="A1308" s="212"/>
      <c r="B1308" s="226"/>
      <c r="C1308" s="358"/>
      <c r="D1308" s="338"/>
      <c r="E1308" s="380"/>
      <c r="F1308" s="284"/>
    </row>
    <row r="1309" spans="1:6" ht="14.25" customHeight="1">
      <c r="A1309" s="212"/>
      <c r="B1309" s="226"/>
      <c r="C1309" s="358"/>
      <c r="D1309" s="338"/>
      <c r="E1309" s="380"/>
      <c r="F1309" s="284"/>
    </row>
    <row r="1310" spans="1:6" ht="14.25" customHeight="1">
      <c r="A1310" s="212"/>
      <c r="B1310" s="226"/>
      <c r="C1310" s="358"/>
      <c r="D1310" s="338"/>
      <c r="E1310" s="380"/>
      <c r="F1310" s="284"/>
    </row>
    <row r="1311" spans="1:6" ht="14.25" customHeight="1">
      <c r="A1311" s="212"/>
      <c r="B1311" s="226"/>
      <c r="C1311" s="358"/>
      <c r="D1311" s="338"/>
      <c r="E1311" s="380"/>
      <c r="F1311" s="284"/>
    </row>
    <row r="1312" spans="1:6" ht="15" customHeight="1">
      <c r="A1312" s="206"/>
      <c r="B1312" s="207"/>
      <c r="C1312" s="208" t="s">
        <v>1931</v>
      </c>
      <c r="D1312" s="209"/>
      <c r="E1312" s="209"/>
      <c r="F1312" s="211"/>
    </row>
    <row r="1313" spans="1:60" ht="14.25" customHeight="1">
      <c r="A1313" s="212"/>
      <c r="B1313" s="215" t="s">
        <v>1932</v>
      </c>
      <c r="C1313" s="357" t="s">
        <v>1933</v>
      </c>
      <c r="D1313" s="338" t="s">
        <v>1934</v>
      </c>
      <c r="E1313" s="380">
        <f>'[5]COSTO CDMX,QRO,GDL '!I1305</f>
        <v>314.18728423427604</v>
      </c>
      <c r="F1313" s="217" t="s">
        <v>1928</v>
      </c>
    </row>
    <row r="1314" spans="1:60" ht="14.25" customHeight="1">
      <c r="A1314" s="212"/>
      <c r="B1314" s="226"/>
      <c r="C1314" s="358" t="s">
        <v>1930</v>
      </c>
      <c r="D1314" s="338"/>
      <c r="E1314" s="380"/>
      <c r="F1314" s="284"/>
    </row>
    <row r="1315" spans="1:60" ht="14.25" customHeight="1">
      <c r="A1315" s="212"/>
      <c r="B1315" s="226"/>
      <c r="C1315" s="367"/>
      <c r="D1315" s="338"/>
      <c r="E1315" s="381"/>
      <c r="F1315" s="284"/>
    </row>
    <row r="1316" spans="1:60" ht="14.25" customHeight="1">
      <c r="A1316" s="212"/>
      <c r="B1316" s="226"/>
      <c r="C1316" s="367"/>
      <c r="D1316" s="338"/>
      <c r="E1316" s="382"/>
      <c r="F1316" s="228"/>
    </row>
    <row r="1317" spans="1:60" ht="14.25" customHeight="1">
      <c r="A1317" s="212"/>
      <c r="B1317" s="226"/>
      <c r="C1317" s="383"/>
      <c r="D1317" s="338"/>
      <c r="E1317" s="382"/>
      <c r="F1317" s="228"/>
    </row>
    <row r="1318" spans="1:60" s="184" customFormat="1" ht="15" customHeight="1">
      <c r="A1318" s="232" t="s">
        <v>2013</v>
      </c>
      <c r="B1318" s="233"/>
      <c r="C1318" s="1524" t="s">
        <v>2456</v>
      </c>
      <c r="D1318" s="232"/>
      <c r="E1318" s="235"/>
      <c r="F1318" s="384"/>
      <c r="G1318" s="183"/>
      <c r="H1318" s="183"/>
      <c r="I1318" s="183"/>
      <c r="J1318" s="183"/>
      <c r="K1318" s="183"/>
      <c r="L1318" s="183"/>
      <c r="M1318" s="183"/>
      <c r="N1318" s="190"/>
      <c r="O1318" s="190"/>
      <c r="P1318" s="190"/>
      <c r="Q1318" s="190"/>
      <c r="R1318" s="190"/>
      <c r="S1318" s="190"/>
      <c r="T1318" s="190"/>
      <c r="U1318" s="190"/>
      <c r="V1318" s="190"/>
      <c r="W1318" s="190"/>
      <c r="X1318" s="190"/>
      <c r="Y1318" s="190"/>
      <c r="Z1318" s="190"/>
      <c r="AA1318" s="190"/>
      <c r="AB1318" s="190"/>
      <c r="AC1318" s="190"/>
      <c r="AD1318" s="190"/>
      <c r="AE1318" s="190"/>
      <c r="AF1318" s="190"/>
      <c r="AG1318" s="190"/>
      <c r="AH1318" s="190"/>
      <c r="AI1318" s="190"/>
      <c r="AJ1318" s="190"/>
      <c r="AK1318" s="190"/>
      <c r="AL1318" s="190"/>
      <c r="AM1318" s="190"/>
      <c r="AN1318" s="190"/>
      <c r="AO1318" s="190"/>
      <c r="AP1318" s="190"/>
      <c r="AQ1318" s="190"/>
      <c r="AR1318" s="190"/>
      <c r="AS1318" s="190"/>
      <c r="AT1318" s="190"/>
      <c r="AU1318" s="190"/>
      <c r="AV1318" s="190"/>
      <c r="AW1318" s="190"/>
      <c r="AX1318" s="190"/>
      <c r="AY1318" s="190"/>
      <c r="AZ1318" s="190"/>
      <c r="BA1318" s="190"/>
      <c r="BB1318" s="190"/>
      <c r="BC1318" s="190"/>
      <c r="BD1318" s="190"/>
      <c r="BE1318" s="190"/>
      <c r="BF1318" s="190"/>
      <c r="BG1318" s="190"/>
      <c r="BH1318" s="190"/>
    </row>
    <row r="1319" spans="1:60" s="198" customFormat="1" ht="15" customHeight="1">
      <c r="A1319" s="237" t="s">
        <v>1669</v>
      </c>
      <c r="B1319" s="238"/>
      <c r="C1319" s="1525"/>
      <c r="D1319" s="285"/>
      <c r="E1319" s="286"/>
      <c r="F1319" s="385"/>
      <c r="G1319" s="196"/>
      <c r="H1319" s="196"/>
      <c r="I1319" s="196"/>
      <c r="J1319" s="196"/>
      <c r="K1319" s="196"/>
      <c r="L1319" s="196"/>
      <c r="M1319" s="196"/>
      <c r="N1319" s="197"/>
      <c r="O1319" s="197"/>
      <c r="P1319" s="197"/>
      <c r="Q1319" s="197"/>
      <c r="R1319" s="197"/>
      <c r="S1319" s="197"/>
      <c r="T1319" s="197"/>
      <c r="U1319" s="197"/>
      <c r="V1319" s="197"/>
      <c r="W1319" s="197"/>
      <c r="X1319" s="197"/>
      <c r="Y1319" s="197"/>
      <c r="Z1319" s="197"/>
      <c r="AA1319" s="197"/>
      <c r="AB1319" s="197"/>
      <c r="AC1319" s="197"/>
      <c r="AD1319" s="197"/>
      <c r="AE1319" s="197"/>
      <c r="AF1319" s="197"/>
      <c r="AG1319" s="197"/>
      <c r="AH1319" s="197"/>
      <c r="AI1319" s="197"/>
      <c r="AJ1319" s="197"/>
      <c r="AK1319" s="197"/>
      <c r="AL1319" s="197"/>
      <c r="AM1319" s="197"/>
      <c r="AN1319" s="197"/>
      <c r="AO1319" s="197"/>
      <c r="AP1319" s="197"/>
      <c r="AQ1319" s="197"/>
      <c r="AR1319" s="197"/>
      <c r="AS1319" s="197"/>
      <c r="AT1319" s="197"/>
      <c r="AU1319" s="197"/>
      <c r="AV1319" s="197"/>
      <c r="AW1319" s="197"/>
      <c r="AX1319" s="197"/>
      <c r="AY1319" s="197"/>
      <c r="AZ1319" s="197"/>
      <c r="BA1319" s="197"/>
      <c r="BB1319" s="197"/>
      <c r="BC1319" s="197"/>
      <c r="BD1319" s="197"/>
      <c r="BE1319" s="197"/>
      <c r="BF1319" s="197"/>
      <c r="BG1319" s="197"/>
      <c r="BH1319" s="197"/>
    </row>
    <row r="1320" spans="1:60" s="204" customFormat="1">
      <c r="A1320" s="199" t="s">
        <v>512</v>
      </c>
      <c r="B1320" s="200" t="s">
        <v>513</v>
      </c>
      <c r="C1320" s="201" t="s">
        <v>514</v>
      </c>
      <c r="D1320" s="199" t="s">
        <v>515</v>
      </c>
      <c r="E1320" s="202" t="s">
        <v>516</v>
      </c>
      <c r="F1320" s="203" t="s">
        <v>1670</v>
      </c>
      <c r="G1320" s="184"/>
      <c r="N1320" s="205"/>
      <c r="O1320" s="205"/>
      <c r="P1320" s="205"/>
      <c r="Q1320" s="205"/>
      <c r="R1320" s="205"/>
      <c r="S1320" s="205"/>
      <c r="T1320" s="205"/>
      <c r="U1320" s="205"/>
      <c r="V1320" s="205"/>
      <c r="W1320" s="205"/>
      <c r="X1320" s="205"/>
      <c r="Y1320" s="205"/>
      <c r="Z1320" s="205"/>
      <c r="AA1320" s="205"/>
      <c r="AB1320" s="205"/>
      <c r="AC1320" s="205"/>
      <c r="AD1320" s="205"/>
      <c r="AE1320" s="205"/>
      <c r="AF1320" s="205"/>
      <c r="AG1320" s="205"/>
      <c r="AH1320" s="205"/>
      <c r="AI1320" s="205"/>
      <c r="AJ1320" s="205"/>
      <c r="AK1320" s="205"/>
      <c r="AL1320" s="205"/>
      <c r="AM1320" s="205"/>
      <c r="AN1320" s="205"/>
      <c r="AO1320" s="205"/>
      <c r="AP1320" s="205"/>
      <c r="AQ1320" s="205"/>
      <c r="AR1320" s="205"/>
      <c r="AS1320" s="205"/>
      <c r="AT1320" s="205"/>
      <c r="AU1320" s="205"/>
      <c r="AV1320" s="205"/>
      <c r="AW1320" s="205"/>
      <c r="AX1320" s="205"/>
      <c r="AY1320" s="205"/>
      <c r="AZ1320" s="205"/>
      <c r="BA1320" s="205"/>
      <c r="BB1320" s="205"/>
      <c r="BC1320" s="205"/>
      <c r="BD1320" s="205"/>
      <c r="BE1320" s="205"/>
      <c r="BF1320" s="205"/>
      <c r="BG1320" s="205"/>
      <c r="BH1320" s="205"/>
    </row>
    <row r="1321" spans="1:60" ht="15" customHeight="1">
      <c r="A1321" s="206"/>
      <c r="B1321" s="207"/>
      <c r="C1321" s="208" t="s">
        <v>2457</v>
      </c>
      <c r="D1321" s="209"/>
      <c r="E1321" s="386"/>
      <c r="F1321" s="211"/>
    </row>
    <row r="1322" spans="1:60" ht="14.25" customHeight="1">
      <c r="A1322" s="212"/>
      <c r="B1322" s="213" t="s">
        <v>2458</v>
      </c>
      <c r="C1322" s="295" t="s">
        <v>2459</v>
      </c>
      <c r="D1322" s="226" t="s">
        <v>2460</v>
      </c>
      <c r="E1322" s="360">
        <f>'[5]COSTO CDMX,QRO,GDL '!I1314</f>
        <v>779.58411819021239</v>
      </c>
      <c r="F1322" s="217" t="s">
        <v>1928</v>
      </c>
      <c r="G1322" s="360"/>
    </row>
    <row r="1323" spans="1:60" ht="14.25" customHeight="1">
      <c r="A1323" s="212"/>
      <c r="B1323" s="213" t="s">
        <v>2461</v>
      </c>
      <c r="C1323" s="289" t="s">
        <v>2462</v>
      </c>
      <c r="D1323" s="226" t="s">
        <v>2463</v>
      </c>
      <c r="E1323" s="360">
        <f>'[5]COSTO CDMX,QRO,GDL '!I1315</f>
        <v>1032.3545706371192</v>
      </c>
      <c r="F1323" s="217" t="s">
        <v>1928</v>
      </c>
      <c r="G1323" s="360"/>
    </row>
    <row r="1324" spans="1:60" ht="14.25" customHeight="1">
      <c r="A1324" s="212"/>
      <c r="B1324" s="213" t="s">
        <v>2464</v>
      </c>
      <c r="C1324" s="295" t="s">
        <v>2465</v>
      </c>
      <c r="D1324" s="226" t="s">
        <v>2466</v>
      </c>
      <c r="E1324" s="360">
        <f>'[5]COSTO CDMX,QRO,GDL '!I1316</f>
        <v>1409.6332409972304</v>
      </c>
      <c r="F1324" s="217" t="s">
        <v>1928</v>
      </c>
      <c r="G1324" s="360"/>
    </row>
    <row r="1325" spans="1:60" ht="14.25" customHeight="1">
      <c r="A1325" s="212"/>
      <c r="B1325" s="221"/>
      <c r="C1325" s="295"/>
      <c r="D1325" s="226"/>
      <c r="E1325" s="360"/>
      <c r="F1325" s="228"/>
    </row>
    <row r="1326" spans="1:60" ht="14.25" customHeight="1">
      <c r="A1326" s="212"/>
      <c r="B1326" s="221"/>
      <c r="C1326" s="295"/>
      <c r="D1326" s="226"/>
      <c r="E1326" s="360"/>
      <c r="F1326" s="228"/>
    </row>
    <row r="1327" spans="1:60" ht="15" customHeight="1">
      <c r="A1327" s="206"/>
      <c r="B1327" s="207"/>
      <c r="C1327" s="208" t="s">
        <v>2467</v>
      </c>
      <c r="D1327" s="209"/>
      <c r="E1327" s="209"/>
      <c r="F1327" s="211"/>
    </row>
    <row r="1328" spans="1:60" ht="14.25" customHeight="1">
      <c r="A1328" s="212"/>
      <c r="B1328" s="215" t="s">
        <v>2468</v>
      </c>
      <c r="C1328" s="358" t="s">
        <v>2469</v>
      </c>
      <c r="D1328" s="338" t="s">
        <v>2470</v>
      </c>
      <c r="E1328" s="242">
        <f>'[5]COSTO CDMX,QRO,GDL '!I1320</f>
        <v>1930.8158818097882</v>
      </c>
      <c r="F1328" s="217" t="s">
        <v>1928</v>
      </c>
      <c r="G1328" s="242"/>
    </row>
    <row r="1329" spans="1:7" ht="14.25" customHeight="1">
      <c r="A1329" s="212"/>
      <c r="B1329" s="215"/>
      <c r="C1329" s="358" t="s">
        <v>2471</v>
      </c>
      <c r="D1329" s="338"/>
      <c r="E1329" s="242"/>
      <c r="F1329" s="284"/>
      <c r="G1329" s="242"/>
    </row>
    <row r="1330" spans="1:7" ht="14.25" customHeight="1">
      <c r="A1330" s="212"/>
      <c r="B1330" s="215"/>
      <c r="C1330" s="358" t="s">
        <v>2449</v>
      </c>
      <c r="D1330" s="338"/>
      <c r="E1330" s="242"/>
      <c r="F1330" s="284"/>
      <c r="G1330" s="242"/>
    </row>
    <row r="1331" spans="1:7" ht="14.25" customHeight="1">
      <c r="A1331" s="212"/>
      <c r="B1331" s="215"/>
      <c r="C1331" s="358"/>
      <c r="D1331" s="338"/>
      <c r="E1331" s="242"/>
      <c r="F1331" s="284"/>
      <c r="G1331" s="242"/>
    </row>
    <row r="1332" spans="1:7" ht="14.25" customHeight="1">
      <c r="A1332" s="212"/>
      <c r="B1332" s="215"/>
      <c r="C1332" s="358"/>
      <c r="D1332" s="338"/>
      <c r="E1332" s="242"/>
      <c r="F1332" s="284"/>
      <c r="G1332" s="242"/>
    </row>
    <row r="1333" spans="1:7" ht="14.25" customHeight="1">
      <c r="A1333" s="212"/>
      <c r="B1333" s="215"/>
      <c r="C1333" s="358"/>
      <c r="D1333" s="338"/>
      <c r="E1333" s="242"/>
      <c r="F1333" s="284"/>
      <c r="G1333" s="242"/>
    </row>
    <row r="1334" spans="1:7" ht="14.25" customHeight="1">
      <c r="A1334" s="212"/>
      <c r="B1334" s="215"/>
      <c r="C1334" s="358"/>
      <c r="D1334" s="338"/>
      <c r="E1334" s="242"/>
      <c r="F1334" s="284"/>
      <c r="G1334" s="242"/>
    </row>
    <row r="1335" spans="1:7" ht="14.25" customHeight="1">
      <c r="A1335" s="212"/>
      <c r="B1335" s="215"/>
      <c r="C1335" s="358"/>
      <c r="D1335" s="338"/>
      <c r="E1335" s="242"/>
      <c r="F1335" s="284"/>
      <c r="G1335" s="242"/>
    </row>
    <row r="1336" spans="1:7" ht="14.25" customHeight="1">
      <c r="A1336" s="212"/>
      <c r="B1336" s="215" t="s">
        <v>2472</v>
      </c>
      <c r="C1336" s="358" t="s">
        <v>2469</v>
      </c>
      <c r="D1336" s="338" t="s">
        <v>2473</v>
      </c>
      <c r="E1336" s="242">
        <f>'[5]COSTO CDMX,QRO,GDL '!I1328</f>
        <v>2401.3192982456144</v>
      </c>
      <c r="F1336" s="217" t="s">
        <v>1928</v>
      </c>
      <c r="G1336" s="242"/>
    </row>
    <row r="1337" spans="1:7" ht="14.25" customHeight="1">
      <c r="A1337" s="212"/>
      <c r="B1337" s="215"/>
      <c r="C1337" s="358" t="s">
        <v>2471</v>
      </c>
      <c r="D1337" s="338"/>
      <c r="E1337" s="242"/>
      <c r="F1337" s="284"/>
      <c r="G1337" s="242"/>
    </row>
    <row r="1338" spans="1:7" ht="14.25" customHeight="1">
      <c r="A1338" s="212"/>
      <c r="B1338" s="226"/>
      <c r="C1338" s="358" t="s">
        <v>2449</v>
      </c>
      <c r="D1338" s="338"/>
      <c r="E1338" s="242"/>
      <c r="F1338" s="284"/>
    </row>
    <row r="1339" spans="1:7" ht="14.25" customHeight="1">
      <c r="A1339" s="212"/>
      <c r="B1339" s="226"/>
      <c r="C1339" s="358"/>
      <c r="D1339" s="338"/>
      <c r="E1339" s="242"/>
      <c r="F1339" s="284"/>
    </row>
    <row r="1340" spans="1:7" ht="14.25" customHeight="1">
      <c r="A1340" s="212"/>
      <c r="B1340" s="226"/>
      <c r="C1340" s="358"/>
      <c r="D1340" s="338"/>
      <c r="E1340" s="242"/>
      <c r="F1340" s="284"/>
    </row>
    <row r="1341" spans="1:7" ht="14.25" customHeight="1">
      <c r="A1341" s="212"/>
      <c r="B1341" s="226"/>
      <c r="C1341" s="358"/>
      <c r="D1341" s="338"/>
      <c r="E1341" s="242"/>
      <c r="F1341" s="284"/>
    </row>
    <row r="1342" spans="1:7" ht="14.25" customHeight="1">
      <c r="A1342" s="212"/>
      <c r="B1342" s="226"/>
      <c r="C1342" s="358"/>
      <c r="D1342" s="338"/>
      <c r="E1342" s="242"/>
      <c r="F1342" s="284"/>
    </row>
    <row r="1343" spans="1:7" ht="14.25" customHeight="1">
      <c r="A1343" s="212"/>
      <c r="B1343" s="226"/>
      <c r="C1343" s="358"/>
      <c r="D1343" s="338"/>
      <c r="E1343" s="242"/>
      <c r="F1343" s="284"/>
    </row>
    <row r="1344" spans="1:7" ht="14.25" customHeight="1">
      <c r="A1344" s="245"/>
      <c r="B1344" s="315"/>
      <c r="C1344" s="316" t="s">
        <v>2474</v>
      </c>
      <c r="D1344" s="317"/>
      <c r="E1344" s="317"/>
      <c r="F1344" s="249"/>
    </row>
    <row r="1345" spans="1:6" ht="14.25" customHeight="1">
      <c r="A1345" s="212"/>
      <c r="B1345" s="213" t="s">
        <v>2475</v>
      </c>
      <c r="C1345" s="295" t="s">
        <v>2476</v>
      </c>
      <c r="D1345" s="226" t="s">
        <v>2477</v>
      </c>
      <c r="E1345" s="360">
        <f>'[5]COSTO CDMX,QRO,GDL '!I1337</f>
        <v>453.38011695906437</v>
      </c>
      <c r="F1345" s="217" t="s">
        <v>1928</v>
      </c>
    </row>
    <row r="1346" spans="1:6" ht="14.25" customHeight="1">
      <c r="A1346" s="212"/>
      <c r="B1346" s="221"/>
      <c r="C1346" s="292" t="s">
        <v>2478</v>
      </c>
      <c r="D1346" s="226"/>
      <c r="E1346" s="360"/>
      <c r="F1346" s="228"/>
    </row>
    <row r="1347" spans="1:6" ht="14.25" customHeight="1">
      <c r="A1347" s="212"/>
      <c r="B1347" s="221"/>
      <c r="C1347" s="292" t="s">
        <v>2479</v>
      </c>
      <c r="D1347" s="226"/>
      <c r="E1347" s="360"/>
      <c r="F1347" s="228"/>
    </row>
    <row r="1348" spans="1:6" ht="14.25" customHeight="1">
      <c r="A1348" s="212"/>
      <c r="B1348" s="221"/>
      <c r="C1348" s="387"/>
      <c r="D1348" s="226"/>
      <c r="E1348" s="360"/>
      <c r="F1348" s="228"/>
    </row>
    <row r="1349" spans="1:6" ht="14.25" customHeight="1">
      <c r="A1349" s="212"/>
      <c r="B1349" s="221"/>
      <c r="C1349" s="244"/>
      <c r="D1349" s="226"/>
      <c r="E1349" s="360"/>
      <c r="F1349" s="228"/>
    </row>
    <row r="1350" spans="1:6" ht="15" customHeight="1">
      <c r="A1350" s="206"/>
      <c r="B1350" s="207"/>
      <c r="C1350" s="208" t="s">
        <v>1935</v>
      </c>
      <c r="D1350" s="209"/>
      <c r="E1350" s="209"/>
      <c r="F1350" s="209"/>
    </row>
    <row r="1351" spans="1:6" ht="14.25" customHeight="1">
      <c r="A1351" s="212"/>
      <c r="B1351" s="213" t="s">
        <v>1936</v>
      </c>
      <c r="C1351" s="1527" t="s">
        <v>1937</v>
      </c>
      <c r="D1351" s="226" t="s">
        <v>1938</v>
      </c>
      <c r="E1351" s="360">
        <f>'[5]COSTO CDMX,QRO,GDL '!I1343</f>
        <v>487.86801075150436</v>
      </c>
      <c r="F1351" s="217" t="s">
        <v>284</v>
      </c>
    </row>
    <row r="1352" spans="1:6" ht="14.25" customHeight="1">
      <c r="A1352" s="212"/>
      <c r="B1352" s="213"/>
      <c r="C1352" s="1527"/>
      <c r="D1352" s="226"/>
      <c r="E1352" s="360"/>
      <c r="F1352" s="217"/>
    </row>
    <row r="1353" spans="1:6" ht="14.25" customHeight="1">
      <c r="A1353" s="212"/>
      <c r="B1353" s="213"/>
      <c r="C1353" s="367"/>
      <c r="D1353" s="226"/>
      <c r="E1353" s="360"/>
      <c r="F1353" s="217"/>
    </row>
    <row r="1354" spans="1:6" ht="14.25" customHeight="1">
      <c r="A1354" s="212"/>
      <c r="B1354" s="213"/>
      <c r="C1354" s="367"/>
      <c r="D1354" s="226"/>
      <c r="E1354" s="360"/>
      <c r="F1354" s="217"/>
    </row>
    <row r="1355" spans="1:6" ht="14.25" customHeight="1">
      <c r="A1355" s="212"/>
      <c r="B1355" s="213" t="s">
        <v>1939</v>
      </c>
      <c r="C1355" s="1527" t="s">
        <v>1940</v>
      </c>
      <c r="D1355" s="226" t="s">
        <v>1941</v>
      </c>
      <c r="E1355" s="360">
        <f>'[5]COSTO CDMX,QRO,GDL '!I1347</f>
        <v>494.88555461115345</v>
      </c>
      <c r="F1355" s="217" t="s">
        <v>284</v>
      </c>
    </row>
    <row r="1356" spans="1:6" ht="14.25" customHeight="1">
      <c r="A1356" s="212"/>
      <c r="B1356" s="213"/>
      <c r="C1356" s="1527"/>
      <c r="D1356" s="226"/>
      <c r="E1356" s="360"/>
      <c r="F1356" s="217"/>
    </row>
    <row r="1357" spans="1:6" ht="14.25" customHeight="1">
      <c r="A1357" s="212"/>
      <c r="B1357" s="213"/>
      <c r="C1357" s="367"/>
      <c r="D1357" s="226"/>
      <c r="E1357" s="360"/>
      <c r="F1357" s="217"/>
    </row>
    <row r="1358" spans="1:6" ht="14.25" customHeight="1">
      <c r="A1358" s="212"/>
      <c r="B1358" s="213"/>
      <c r="C1358" s="367"/>
      <c r="D1358" s="226"/>
      <c r="E1358" s="360"/>
      <c r="F1358" s="217"/>
    </row>
    <row r="1359" spans="1:6" ht="14.25" customHeight="1">
      <c r="A1359" s="212"/>
      <c r="B1359" s="213" t="s">
        <v>1942</v>
      </c>
      <c r="C1359" s="1527" t="s">
        <v>1943</v>
      </c>
      <c r="D1359" s="226" t="s">
        <v>1944</v>
      </c>
      <c r="E1359" s="360">
        <f>'[5]COSTO CDMX,QRO,GDL '!I1351</f>
        <v>506.49025039378637</v>
      </c>
      <c r="F1359" s="217" t="s">
        <v>284</v>
      </c>
    </row>
    <row r="1360" spans="1:6" ht="14.25" customHeight="1">
      <c r="A1360" s="212"/>
      <c r="B1360" s="213"/>
      <c r="C1360" s="1527"/>
      <c r="D1360" s="226"/>
      <c r="E1360" s="360"/>
      <c r="F1360" s="217"/>
    </row>
    <row r="1361" spans="1:6" ht="14.25" customHeight="1">
      <c r="A1361" s="212"/>
      <c r="B1361" s="213"/>
      <c r="C1361" s="367"/>
      <c r="D1361" s="226"/>
      <c r="E1361" s="360"/>
      <c r="F1361" s="217"/>
    </row>
    <row r="1362" spans="1:6" ht="14.25" customHeight="1">
      <c r="A1362" s="212"/>
      <c r="B1362" s="213"/>
      <c r="C1362" s="367"/>
      <c r="D1362" s="226"/>
      <c r="E1362" s="360"/>
      <c r="F1362" s="217"/>
    </row>
    <row r="1363" spans="1:6" ht="14.25" customHeight="1">
      <c r="A1363" s="212"/>
      <c r="B1363" s="213" t="s">
        <v>1945</v>
      </c>
      <c r="C1363" s="1527" t="s">
        <v>1946</v>
      </c>
      <c r="D1363" s="226" t="s">
        <v>1947</v>
      </c>
      <c r="E1363" s="360">
        <f>'[5]COSTO CDMX,QRO,GDL '!I1355</f>
        <v>501.90309847080255</v>
      </c>
      <c r="F1363" s="217" t="s">
        <v>284</v>
      </c>
    </row>
    <row r="1364" spans="1:6" ht="14.25" customHeight="1">
      <c r="A1364" s="212"/>
      <c r="B1364" s="221"/>
      <c r="C1364" s="1527"/>
      <c r="D1364" s="226"/>
      <c r="E1364" s="360"/>
      <c r="F1364" s="280"/>
    </row>
    <row r="1365" spans="1:6" ht="14.25" customHeight="1">
      <c r="A1365" s="212"/>
      <c r="B1365" s="221"/>
      <c r="C1365" s="358"/>
      <c r="D1365" s="226"/>
      <c r="E1365" s="360"/>
      <c r="F1365" s="280"/>
    </row>
    <row r="1366" spans="1:6" ht="14.25" customHeight="1">
      <c r="A1366" s="212"/>
      <c r="B1366" s="221"/>
      <c r="C1366" s="367"/>
      <c r="D1366" s="226"/>
      <c r="E1366" s="360"/>
      <c r="F1366" s="284"/>
    </row>
    <row r="1367" spans="1:6" ht="15" customHeight="1">
      <c r="A1367" s="206"/>
      <c r="B1367" s="207"/>
      <c r="C1367" s="208" t="s">
        <v>1948</v>
      </c>
      <c r="D1367" s="209"/>
      <c r="E1367" s="209"/>
      <c r="F1367" s="211"/>
    </row>
    <row r="1368" spans="1:6" ht="14.25" customHeight="1">
      <c r="A1368" s="212"/>
      <c r="B1368" s="213" t="s">
        <v>1949</v>
      </c>
      <c r="C1368" s="357" t="s">
        <v>1950</v>
      </c>
      <c r="D1368" s="226" t="s">
        <v>1938</v>
      </c>
      <c r="E1368" s="360">
        <f>'[5]COSTO CDMX,QRO,GDL '!I1360</f>
        <v>464.2596491228071</v>
      </c>
      <c r="F1368" s="217" t="s">
        <v>284</v>
      </c>
    </row>
    <row r="1369" spans="1:6" ht="14.25" customHeight="1">
      <c r="A1369" s="212"/>
      <c r="B1369" s="221"/>
      <c r="C1369" s="358" t="s">
        <v>1951</v>
      </c>
      <c r="D1369" s="226"/>
      <c r="E1369" s="360"/>
      <c r="F1369" s="284"/>
    </row>
    <row r="1370" spans="1:6" ht="14.25" customHeight="1">
      <c r="A1370" s="212"/>
      <c r="B1370" s="388"/>
      <c r="C1370" s="389"/>
      <c r="D1370" s="226"/>
      <c r="E1370" s="360"/>
      <c r="F1370" s="284"/>
    </row>
    <row r="1371" spans="1:6" ht="14.25" customHeight="1">
      <c r="A1371" s="212"/>
      <c r="B1371" s="388"/>
      <c r="C1371" s="389"/>
      <c r="D1371" s="226"/>
      <c r="E1371" s="360"/>
      <c r="F1371" s="284"/>
    </row>
    <row r="1372" spans="1:6" ht="14.25" customHeight="1">
      <c r="A1372" s="212"/>
      <c r="B1372" s="221"/>
      <c r="C1372" s="367"/>
      <c r="D1372" s="226"/>
      <c r="E1372" s="360"/>
      <c r="F1372" s="284"/>
    </row>
    <row r="1373" spans="1:6" ht="14.25" customHeight="1">
      <c r="A1373" s="245"/>
      <c r="B1373" s="315"/>
      <c r="C1373" s="316" t="s">
        <v>1952</v>
      </c>
      <c r="D1373" s="317"/>
      <c r="E1373" s="317"/>
      <c r="F1373" s="249"/>
    </row>
    <row r="1374" spans="1:6" ht="14.25" customHeight="1">
      <c r="A1374" s="390"/>
      <c r="B1374" s="391" t="str">
        <f>'[5]COSTO CDMX,QRO,GDL '!B1366</f>
        <v>SCBR-0380</v>
      </c>
      <c r="C1374" s="295" t="s">
        <v>1953</v>
      </c>
      <c r="D1374" s="226"/>
      <c r="E1374" s="360">
        <f>'[5]COSTO CDMX,QRO,GDL '!I1366</f>
        <v>775.67251461988303</v>
      </c>
      <c r="F1374" s="217" t="s">
        <v>1928</v>
      </c>
    </row>
    <row r="1375" spans="1:6" ht="14.25" customHeight="1">
      <c r="A1375" s="390"/>
      <c r="B1375" s="221"/>
      <c r="C1375" s="295" t="s">
        <v>1954</v>
      </c>
      <c r="D1375" s="226"/>
      <c r="E1375" s="360"/>
      <c r="F1375" s="228"/>
    </row>
    <row r="1376" spans="1:6" ht="14.25" customHeight="1">
      <c r="A1376" s="390"/>
      <c r="B1376" s="221"/>
      <c r="C1376" s="295"/>
      <c r="D1376" s="226"/>
      <c r="E1376" s="360"/>
      <c r="F1376" s="228"/>
    </row>
    <row r="1377" spans="1:6" ht="14.25" customHeight="1">
      <c r="A1377" s="390"/>
      <c r="B1377" s="221"/>
      <c r="C1377" s="387"/>
      <c r="D1377" s="226"/>
      <c r="E1377" s="360"/>
      <c r="F1377" s="228"/>
    </row>
    <row r="1378" spans="1:6" ht="14.25" customHeight="1">
      <c r="A1378" s="390"/>
      <c r="B1378" s="221"/>
      <c r="C1378" s="387"/>
      <c r="D1378" s="226"/>
      <c r="E1378" s="360"/>
      <c r="F1378" s="228"/>
    </row>
    <row r="1379" spans="1:6" ht="14.25" customHeight="1">
      <c r="A1379" s="392"/>
      <c r="B1379" s="224"/>
      <c r="C1379" s="244"/>
      <c r="D1379" s="306"/>
      <c r="E1379" s="360"/>
      <c r="F1379" s="228"/>
    </row>
    <row r="1380" spans="1:6" ht="14.25" customHeight="1">
      <c r="A1380" s="245"/>
      <c r="B1380" s="315"/>
      <c r="C1380" s="316" t="s">
        <v>1952</v>
      </c>
      <c r="D1380" s="317"/>
      <c r="E1380" s="317"/>
      <c r="F1380" s="249"/>
    </row>
    <row r="1381" spans="1:6" ht="14.25" customHeight="1">
      <c r="A1381" s="390"/>
      <c r="B1381" s="213" t="s">
        <v>1955</v>
      </c>
      <c r="C1381" s="295" t="s">
        <v>1956</v>
      </c>
      <c r="D1381" s="226" t="s">
        <v>1957</v>
      </c>
      <c r="E1381" s="360">
        <f>'[5]COSTO CDMX,QRO,GDL '!I1375</f>
        <v>237.7543859649123</v>
      </c>
      <c r="F1381" s="217" t="s">
        <v>1928</v>
      </c>
    </row>
    <row r="1382" spans="1:6" ht="14.25" customHeight="1">
      <c r="A1382" s="390"/>
      <c r="B1382" s="221"/>
      <c r="C1382" s="295" t="s">
        <v>1954</v>
      </c>
      <c r="D1382" s="226"/>
      <c r="E1382" s="360"/>
      <c r="F1382" s="228"/>
    </row>
    <row r="1383" spans="1:6" ht="14.25" customHeight="1">
      <c r="A1383" s="390"/>
      <c r="B1383" s="221"/>
      <c r="C1383" s="295"/>
      <c r="D1383" s="226"/>
      <c r="E1383" s="360"/>
      <c r="F1383" s="228"/>
    </row>
    <row r="1384" spans="1:6" ht="14.25" customHeight="1">
      <c r="A1384" s="390"/>
      <c r="B1384" s="221"/>
      <c r="C1384" s="387"/>
      <c r="D1384" s="226"/>
      <c r="E1384" s="360"/>
      <c r="F1384" s="228"/>
    </row>
    <row r="1385" spans="1:6" ht="14.25" customHeight="1">
      <c r="A1385" s="390"/>
      <c r="B1385" s="221"/>
      <c r="C1385" s="387"/>
      <c r="D1385" s="226"/>
      <c r="E1385" s="360"/>
      <c r="F1385" s="228"/>
    </row>
    <row r="1386" spans="1:6" ht="14.25" customHeight="1">
      <c r="A1386" s="392"/>
      <c r="B1386" s="224"/>
      <c r="C1386" s="244"/>
      <c r="D1386" s="306"/>
      <c r="E1386" s="360"/>
      <c r="F1386" s="228"/>
    </row>
    <row r="1387" spans="1:6" ht="15" customHeight="1">
      <c r="A1387" s="206"/>
      <c r="B1387" s="207"/>
      <c r="C1387" s="208" t="s">
        <v>1958</v>
      </c>
      <c r="D1387" s="209"/>
      <c r="E1387" s="209"/>
      <c r="F1387" s="211"/>
    </row>
    <row r="1388" spans="1:6" ht="14.25" customHeight="1">
      <c r="A1388" s="212"/>
      <c r="B1388" s="213">
        <v>1</v>
      </c>
      <c r="C1388" s="393" t="s">
        <v>1959</v>
      </c>
      <c r="D1388" s="226" t="s">
        <v>1960</v>
      </c>
      <c r="E1388" s="360">
        <f>'[5]COSTO CDMX,QRO,GDL '!I1382</f>
        <v>2132.5847953216376</v>
      </c>
      <c r="F1388" s="217" t="s">
        <v>1928</v>
      </c>
    </row>
    <row r="1389" spans="1:6" ht="14.25" customHeight="1">
      <c r="A1389" s="212"/>
      <c r="B1389" s="221"/>
      <c r="C1389" s="295" t="s">
        <v>1961</v>
      </c>
      <c r="D1389" s="226"/>
      <c r="E1389" s="382"/>
      <c r="F1389" s="228"/>
    </row>
    <row r="1390" spans="1:6" ht="14.25" customHeight="1">
      <c r="A1390" s="212"/>
      <c r="B1390" s="221"/>
      <c r="C1390" s="295"/>
      <c r="D1390" s="226"/>
      <c r="E1390" s="382"/>
      <c r="F1390" s="228"/>
    </row>
    <row r="1391" spans="1:6" ht="14.25" customHeight="1">
      <c r="A1391" s="212"/>
      <c r="B1391" s="221"/>
      <c r="C1391" s="244"/>
      <c r="D1391" s="226"/>
      <c r="E1391" s="382"/>
      <c r="F1391" s="228"/>
    </row>
    <row r="1392" spans="1:6" ht="14.25" customHeight="1">
      <c r="A1392" s="212"/>
      <c r="B1392" s="221"/>
      <c r="C1392" s="244"/>
      <c r="D1392" s="226"/>
      <c r="E1392" s="382"/>
      <c r="F1392" s="228"/>
    </row>
    <row r="1393" spans="1:60" ht="14.25" customHeight="1">
      <c r="A1393" s="212"/>
      <c r="B1393" s="221"/>
      <c r="C1393" s="244"/>
      <c r="D1393" s="226"/>
      <c r="E1393" s="382"/>
      <c r="F1393" s="228"/>
    </row>
    <row r="1394" spans="1:60" ht="14.25" customHeight="1">
      <c r="A1394" s="212"/>
      <c r="B1394" s="221"/>
      <c r="C1394" s="244"/>
      <c r="D1394" s="226"/>
      <c r="E1394" s="382"/>
      <c r="F1394" s="228"/>
    </row>
    <row r="1395" spans="1:60" ht="14.25" customHeight="1">
      <c r="A1395" s="212"/>
      <c r="B1395" s="221"/>
      <c r="C1395" s="244"/>
      <c r="D1395" s="226"/>
      <c r="E1395" s="382"/>
      <c r="F1395" s="228"/>
    </row>
    <row r="1396" spans="1:60" ht="14.25" customHeight="1">
      <c r="A1396" s="212"/>
      <c r="B1396" s="221"/>
      <c r="C1396" s="244"/>
      <c r="D1396" s="226"/>
      <c r="E1396" s="382"/>
      <c r="F1396" s="228"/>
    </row>
    <row r="1397" spans="1:60" s="184" customFormat="1" ht="15" customHeight="1">
      <c r="A1397" s="232" t="s">
        <v>2013</v>
      </c>
      <c r="B1397" s="233"/>
      <c r="C1397" s="1524" t="s">
        <v>2480</v>
      </c>
      <c r="D1397" s="232"/>
      <c r="E1397" s="235"/>
      <c r="F1397" s="384"/>
      <c r="G1397" s="183"/>
      <c r="H1397" s="183"/>
      <c r="I1397" s="183"/>
      <c r="J1397" s="183"/>
      <c r="K1397" s="183"/>
      <c r="L1397" s="183"/>
      <c r="M1397" s="183"/>
      <c r="N1397" s="190"/>
      <c r="O1397" s="190"/>
      <c r="P1397" s="190"/>
      <c r="Q1397" s="190"/>
      <c r="R1397" s="190"/>
      <c r="S1397" s="190"/>
      <c r="T1397" s="190"/>
      <c r="U1397" s="190"/>
      <c r="V1397" s="190"/>
      <c r="W1397" s="190"/>
      <c r="X1397" s="190"/>
      <c r="Y1397" s="190"/>
      <c r="Z1397" s="190"/>
      <c r="AA1397" s="190"/>
      <c r="AB1397" s="190"/>
      <c r="AC1397" s="190"/>
      <c r="AD1397" s="190"/>
      <c r="AE1397" s="190"/>
      <c r="AF1397" s="190"/>
      <c r="AG1397" s="190"/>
      <c r="AH1397" s="190"/>
      <c r="AI1397" s="190"/>
      <c r="AJ1397" s="190"/>
      <c r="AK1397" s="190"/>
      <c r="AL1397" s="190"/>
      <c r="AM1397" s="190"/>
      <c r="AN1397" s="190"/>
      <c r="AO1397" s="190"/>
      <c r="AP1397" s="190"/>
      <c r="AQ1397" s="190"/>
      <c r="AR1397" s="190"/>
      <c r="AS1397" s="190"/>
      <c r="AT1397" s="190"/>
      <c r="AU1397" s="190"/>
      <c r="AV1397" s="190"/>
      <c r="AW1397" s="190"/>
      <c r="AX1397" s="190"/>
      <c r="AY1397" s="190"/>
      <c r="AZ1397" s="190"/>
      <c r="BA1397" s="190"/>
      <c r="BB1397" s="190"/>
      <c r="BC1397" s="190"/>
      <c r="BD1397" s="190"/>
      <c r="BE1397" s="190"/>
      <c r="BF1397" s="190"/>
      <c r="BG1397" s="190"/>
      <c r="BH1397" s="190"/>
    </row>
    <row r="1398" spans="1:60" s="198" customFormat="1" ht="15" customHeight="1">
      <c r="A1398" s="237" t="s">
        <v>1669</v>
      </c>
      <c r="B1398" s="238"/>
      <c r="C1398" s="1525"/>
      <c r="D1398" s="285"/>
      <c r="E1398" s="286"/>
      <c r="F1398" s="385"/>
      <c r="G1398" s="196"/>
      <c r="H1398" s="196"/>
      <c r="I1398" s="196"/>
      <c r="J1398" s="196"/>
      <c r="K1398" s="196"/>
      <c r="L1398" s="196"/>
      <c r="M1398" s="196"/>
      <c r="N1398" s="197"/>
      <c r="O1398" s="197"/>
      <c r="P1398" s="197"/>
      <c r="Q1398" s="197"/>
      <c r="R1398" s="197"/>
      <c r="S1398" s="197"/>
      <c r="T1398" s="197"/>
      <c r="U1398" s="197"/>
      <c r="V1398" s="197"/>
      <c r="W1398" s="197"/>
      <c r="X1398" s="197"/>
      <c r="Y1398" s="197"/>
      <c r="Z1398" s="197"/>
      <c r="AA1398" s="197"/>
      <c r="AB1398" s="197"/>
      <c r="AC1398" s="197"/>
      <c r="AD1398" s="197"/>
      <c r="AE1398" s="197"/>
      <c r="AF1398" s="197"/>
      <c r="AG1398" s="197"/>
      <c r="AH1398" s="197"/>
      <c r="AI1398" s="197"/>
      <c r="AJ1398" s="197"/>
      <c r="AK1398" s="197"/>
      <c r="AL1398" s="197"/>
      <c r="AM1398" s="197"/>
      <c r="AN1398" s="197"/>
      <c r="AO1398" s="197"/>
      <c r="AP1398" s="197"/>
      <c r="AQ1398" s="197"/>
      <c r="AR1398" s="197"/>
      <c r="AS1398" s="197"/>
      <c r="AT1398" s="197"/>
      <c r="AU1398" s="197"/>
      <c r="AV1398" s="197"/>
      <c r="AW1398" s="197"/>
      <c r="AX1398" s="197"/>
      <c r="AY1398" s="197"/>
      <c r="AZ1398" s="197"/>
      <c r="BA1398" s="197"/>
      <c r="BB1398" s="197"/>
      <c r="BC1398" s="197"/>
      <c r="BD1398" s="197"/>
      <c r="BE1398" s="197"/>
      <c r="BF1398" s="197"/>
      <c r="BG1398" s="197"/>
      <c r="BH1398" s="197"/>
    </row>
    <row r="1399" spans="1:60" s="204" customFormat="1">
      <c r="A1399" s="199" t="s">
        <v>512</v>
      </c>
      <c r="B1399" s="200" t="s">
        <v>513</v>
      </c>
      <c r="C1399" s="201" t="s">
        <v>514</v>
      </c>
      <c r="D1399" s="199" t="s">
        <v>515</v>
      </c>
      <c r="E1399" s="202" t="s">
        <v>516</v>
      </c>
      <c r="F1399" s="203" t="s">
        <v>1670</v>
      </c>
      <c r="G1399" s="184"/>
      <c r="N1399" s="205"/>
      <c r="O1399" s="205"/>
      <c r="P1399" s="205"/>
      <c r="Q1399" s="205"/>
      <c r="R1399" s="205"/>
      <c r="S1399" s="205"/>
      <c r="T1399" s="205"/>
      <c r="U1399" s="205"/>
      <c r="V1399" s="205"/>
      <c r="W1399" s="205"/>
      <c r="X1399" s="205"/>
      <c r="Y1399" s="205"/>
      <c r="Z1399" s="205"/>
      <c r="AA1399" s="205"/>
      <c r="AB1399" s="205"/>
      <c r="AC1399" s="205"/>
      <c r="AD1399" s="205"/>
      <c r="AE1399" s="205"/>
      <c r="AF1399" s="205"/>
      <c r="AG1399" s="205"/>
      <c r="AH1399" s="205"/>
      <c r="AI1399" s="205"/>
      <c r="AJ1399" s="205"/>
      <c r="AK1399" s="205"/>
      <c r="AL1399" s="205"/>
      <c r="AM1399" s="205"/>
      <c r="AN1399" s="205"/>
      <c r="AO1399" s="205"/>
      <c r="AP1399" s="205"/>
      <c r="AQ1399" s="205"/>
      <c r="AR1399" s="205"/>
      <c r="AS1399" s="205"/>
      <c r="AT1399" s="205"/>
      <c r="AU1399" s="205"/>
      <c r="AV1399" s="205"/>
      <c r="AW1399" s="205"/>
      <c r="AX1399" s="205"/>
      <c r="AY1399" s="205"/>
      <c r="AZ1399" s="205"/>
      <c r="BA1399" s="205"/>
      <c r="BB1399" s="205"/>
      <c r="BC1399" s="205"/>
      <c r="BD1399" s="205"/>
      <c r="BE1399" s="205"/>
      <c r="BF1399" s="205"/>
      <c r="BG1399" s="205"/>
      <c r="BH1399" s="205"/>
    </row>
    <row r="1400" spans="1:60" ht="14.25" customHeight="1">
      <c r="A1400" s="251"/>
      <c r="B1400" s="252"/>
      <c r="C1400" s="253" t="s">
        <v>2481</v>
      </c>
      <c r="D1400" s="252"/>
      <c r="E1400" s="386"/>
      <c r="F1400" s="211"/>
    </row>
    <row r="1401" spans="1:60" s="263" customFormat="1" ht="3" customHeight="1">
      <c r="A1401" s="394"/>
      <c r="B1401" s="395"/>
      <c r="C1401" s="396"/>
      <c r="D1401" s="397"/>
      <c r="E1401" s="381"/>
      <c r="F1401" s="398"/>
    </row>
    <row r="1402" spans="1:60" s="263" customFormat="1" ht="14.25" customHeight="1">
      <c r="A1402" s="255"/>
      <c r="B1402" s="256" t="s">
        <v>2482</v>
      </c>
      <c r="C1402" s="257" t="s">
        <v>2483</v>
      </c>
      <c r="D1402" s="258" t="s">
        <v>2484</v>
      </c>
      <c r="E1402" s="399">
        <f>'[5]COSTO CDMX,QRO,GDL '!I1396</f>
        <v>1789.4736842105262</v>
      </c>
      <c r="F1402" s="217" t="s">
        <v>284</v>
      </c>
      <c r="G1402" s="260"/>
      <c r="H1402" s="261"/>
      <c r="I1402" s="262"/>
      <c r="J1402" s="262"/>
    </row>
    <row r="1403" spans="1:60" s="263" customFormat="1" ht="14.25" customHeight="1">
      <c r="A1403" s="255"/>
      <c r="B1403" s="256" t="s">
        <v>2485</v>
      </c>
      <c r="C1403" s="257" t="s">
        <v>2486</v>
      </c>
      <c r="D1403" s="258" t="s">
        <v>2487</v>
      </c>
      <c r="E1403" s="399">
        <f>'[5]COSTO CDMX,QRO,GDL '!I1397</f>
        <v>2067.8362573099416</v>
      </c>
      <c r="F1403" s="217" t="s">
        <v>284</v>
      </c>
      <c r="G1403" s="260"/>
      <c r="H1403" s="261"/>
      <c r="I1403" s="262"/>
      <c r="J1403" s="262"/>
    </row>
    <row r="1404" spans="1:60" s="263" customFormat="1" ht="14.25" customHeight="1">
      <c r="A1404" s="255"/>
      <c r="B1404" s="256" t="s">
        <v>2488</v>
      </c>
      <c r="C1404" s="257"/>
      <c r="D1404" s="258" t="s">
        <v>2489</v>
      </c>
      <c r="E1404" s="399">
        <f>'[5]COSTO CDMX,QRO,GDL '!I1398</f>
        <v>2067.8362573099416</v>
      </c>
      <c r="F1404" s="217" t="s">
        <v>284</v>
      </c>
      <c r="G1404" s="260"/>
      <c r="H1404" s="261"/>
      <c r="I1404" s="262"/>
      <c r="J1404" s="262"/>
    </row>
    <row r="1405" spans="1:60" s="263" customFormat="1" ht="14.25" customHeight="1">
      <c r="A1405" s="255"/>
      <c r="B1405" s="256" t="s">
        <v>2490</v>
      </c>
      <c r="C1405" s="257"/>
      <c r="D1405" s="258" t="s">
        <v>2491</v>
      </c>
      <c r="E1405" s="399">
        <f>'[5]COSTO CDMX,QRO,GDL '!I1399</f>
        <v>1918.1286549707604</v>
      </c>
      <c r="F1405" s="217" t="s">
        <v>284</v>
      </c>
      <c r="G1405" s="260"/>
      <c r="H1405" s="261"/>
      <c r="I1405" s="262"/>
      <c r="J1405" s="262"/>
    </row>
    <row r="1406" spans="1:60" s="263" customFormat="1" ht="14.25" customHeight="1">
      <c r="A1406" s="255"/>
      <c r="B1406" s="256" t="s">
        <v>2492</v>
      </c>
      <c r="C1406" s="257"/>
      <c r="D1406" s="258" t="s">
        <v>2493</v>
      </c>
      <c r="E1406" s="399">
        <f>'[5]COSTO CDMX,QRO,GDL '!I1400</f>
        <v>2292.3976608187136</v>
      </c>
      <c r="F1406" s="217" t="s">
        <v>284</v>
      </c>
      <c r="G1406" s="260"/>
      <c r="H1406" s="261"/>
      <c r="I1406" s="262"/>
      <c r="J1406" s="262"/>
    </row>
    <row r="1407" spans="1:60" s="263" customFormat="1" ht="15">
      <c r="A1407" s="255"/>
      <c r="B1407" s="256" t="s">
        <v>2494</v>
      </c>
      <c r="C1407" s="257"/>
      <c r="D1407" s="258" t="s">
        <v>2495</v>
      </c>
      <c r="E1407" s="399">
        <f>'[5]COSTO CDMX,QRO,GDL '!I1401</f>
        <v>2636.2573099415204</v>
      </c>
      <c r="F1407" s="217" t="s">
        <v>284</v>
      </c>
      <c r="G1407" s="260"/>
      <c r="H1407" s="262"/>
      <c r="I1407" s="262"/>
      <c r="J1407" s="262"/>
    </row>
    <row r="1408" spans="1:60" s="263" customFormat="1">
      <c r="A1408" s="255"/>
      <c r="B1408" s="400"/>
      <c r="C1408" s="401"/>
      <c r="D1408" s="402"/>
      <c r="E1408" s="403"/>
      <c r="F1408" s="280"/>
      <c r="G1408" s="260"/>
      <c r="H1408" s="262"/>
      <c r="I1408" s="262"/>
      <c r="J1408" s="262"/>
    </row>
    <row r="1409" spans="1:10" s="263" customFormat="1">
      <c r="A1409" s="255"/>
      <c r="B1409" s="400"/>
      <c r="C1409" s="401"/>
      <c r="D1409" s="402"/>
      <c r="E1409" s="403"/>
      <c r="F1409" s="404"/>
      <c r="G1409" s="260"/>
      <c r="H1409" s="262"/>
      <c r="I1409" s="262"/>
      <c r="J1409" s="262"/>
    </row>
    <row r="1410" spans="1:10" ht="14.25" customHeight="1">
      <c r="A1410" s="251"/>
      <c r="B1410" s="252"/>
      <c r="C1410" s="253" t="s">
        <v>2481</v>
      </c>
      <c r="D1410" s="252"/>
      <c r="E1410" s="252"/>
      <c r="F1410" s="252"/>
    </row>
    <row r="1411" spans="1:10" s="263" customFormat="1" ht="14.25" customHeight="1">
      <c r="A1411" s="255"/>
      <c r="B1411" s="256" t="s">
        <v>2496</v>
      </c>
      <c r="C1411" s="257" t="s">
        <v>2497</v>
      </c>
      <c r="D1411" s="258" t="s">
        <v>2102</v>
      </c>
      <c r="E1411" s="399">
        <f>'[5]COSTO CDMX,QRO,GDL '!I1405</f>
        <v>1789.4736842105262</v>
      </c>
      <c r="F1411" s="217" t="s">
        <v>284</v>
      </c>
      <c r="G1411" s="260"/>
      <c r="H1411" s="261"/>
      <c r="I1411" s="262"/>
      <c r="J1411" s="262"/>
    </row>
    <row r="1412" spans="1:10" s="263" customFormat="1" ht="14.25" customHeight="1">
      <c r="A1412" s="255"/>
      <c r="B1412" s="256" t="s">
        <v>2498</v>
      </c>
      <c r="C1412" s="257" t="s">
        <v>2499</v>
      </c>
      <c r="D1412" s="258" t="s">
        <v>2105</v>
      </c>
      <c r="E1412" s="399">
        <f>'[5]COSTO CDMX,QRO,GDL '!I1406</f>
        <v>2219.8830409356729</v>
      </c>
      <c r="F1412" s="217" t="s">
        <v>284</v>
      </c>
      <c r="G1412" s="260"/>
      <c r="H1412" s="261"/>
      <c r="I1412" s="262"/>
      <c r="J1412" s="262"/>
    </row>
    <row r="1413" spans="1:10" s="263" customFormat="1" ht="14.25" customHeight="1">
      <c r="A1413" s="255"/>
      <c r="B1413" s="256" t="s">
        <v>2500</v>
      </c>
      <c r="C1413" s="257"/>
      <c r="D1413" s="258" t="s">
        <v>2108</v>
      </c>
      <c r="E1413" s="399">
        <f>'[5]COSTO CDMX,QRO,GDL '!I1407</f>
        <v>2290.0584795321638</v>
      </c>
      <c r="F1413" s="217" t="s">
        <v>284</v>
      </c>
      <c r="G1413" s="260"/>
      <c r="H1413" s="261"/>
      <c r="I1413" s="262"/>
      <c r="J1413" s="262"/>
    </row>
    <row r="1414" spans="1:10" s="263" customFormat="1" ht="14.25" customHeight="1">
      <c r="A1414" s="255"/>
      <c r="B1414" s="256" t="s">
        <v>2501</v>
      </c>
      <c r="C1414" s="257"/>
      <c r="D1414" s="258" t="s">
        <v>2110</v>
      </c>
      <c r="E1414" s="399">
        <f>'[5]COSTO CDMX,QRO,GDL '!I1408</f>
        <v>2388.3040935672511</v>
      </c>
      <c r="F1414" s="217" t="s">
        <v>284</v>
      </c>
      <c r="G1414" s="260"/>
      <c r="H1414" s="261"/>
      <c r="I1414" s="262"/>
      <c r="J1414" s="262"/>
    </row>
    <row r="1415" spans="1:10" s="263" customFormat="1" ht="14.25" customHeight="1">
      <c r="A1415" s="255"/>
      <c r="B1415" s="256" t="s">
        <v>2502</v>
      </c>
      <c r="C1415" s="257"/>
      <c r="D1415" s="258" t="s">
        <v>2112</v>
      </c>
      <c r="E1415" s="399">
        <f>'[5]COSTO CDMX,QRO,GDL '!I1409</f>
        <v>2484.2105263157891</v>
      </c>
      <c r="F1415" s="217" t="s">
        <v>284</v>
      </c>
      <c r="G1415" s="260"/>
      <c r="H1415" s="261"/>
      <c r="I1415" s="262"/>
      <c r="J1415" s="262"/>
    </row>
    <row r="1416" spans="1:10" s="263" customFormat="1" ht="15">
      <c r="A1416" s="255"/>
      <c r="B1416" s="256" t="s">
        <v>2503</v>
      </c>
      <c r="C1416" s="257"/>
      <c r="D1416" s="258" t="s">
        <v>2114</v>
      </c>
      <c r="E1416" s="399">
        <f>'[5]COSTO CDMX,QRO,GDL '!I1410</f>
        <v>2886.5497076023394</v>
      </c>
      <c r="F1416" s="217" t="s">
        <v>284</v>
      </c>
      <c r="G1416" s="260"/>
      <c r="H1416" s="262"/>
      <c r="I1416" s="262"/>
      <c r="J1416" s="262"/>
    </row>
    <row r="1417" spans="1:10" s="263" customFormat="1">
      <c r="A1417" s="255"/>
      <c r="B1417" s="264"/>
      <c r="C1417" s="257"/>
      <c r="D1417" s="258"/>
      <c r="E1417" s="403"/>
      <c r="F1417" s="405"/>
      <c r="G1417" s="260"/>
      <c r="H1417" s="262"/>
      <c r="I1417" s="262"/>
      <c r="J1417" s="262"/>
    </row>
    <row r="1418" spans="1:10" s="263" customFormat="1">
      <c r="A1418" s="255"/>
      <c r="B1418" s="400"/>
      <c r="C1418" s="401"/>
      <c r="D1418" s="402"/>
      <c r="E1418" s="403"/>
      <c r="F1418" s="404"/>
      <c r="G1418" s="260"/>
      <c r="H1418" s="262"/>
      <c r="I1418" s="262"/>
      <c r="J1418" s="262"/>
    </row>
    <row r="1419" spans="1:10" ht="14.25" customHeight="1">
      <c r="A1419" s="251"/>
      <c r="B1419" s="252"/>
      <c r="C1419" s="253" t="s">
        <v>2481</v>
      </c>
      <c r="D1419" s="252"/>
      <c r="E1419" s="252"/>
      <c r="F1419" s="252"/>
    </row>
    <row r="1420" spans="1:10" s="263" customFormat="1" ht="14.25" customHeight="1">
      <c r="A1420" s="255"/>
      <c r="B1420" s="256" t="s">
        <v>2504</v>
      </c>
      <c r="C1420" s="257" t="s">
        <v>2505</v>
      </c>
      <c r="D1420" s="258" t="s">
        <v>2506</v>
      </c>
      <c r="E1420" s="399">
        <f>'[5]COSTO CDMX,QRO,GDL '!I1414</f>
        <v>1901.7543859649122</v>
      </c>
      <c r="F1420" s="217" t="s">
        <v>284</v>
      </c>
      <c r="G1420" s="260"/>
      <c r="H1420" s="261"/>
      <c r="I1420" s="262"/>
      <c r="J1420" s="262"/>
    </row>
    <row r="1421" spans="1:10" s="263" customFormat="1" ht="14.25" customHeight="1">
      <c r="A1421" s="255"/>
      <c r="B1421" s="256" t="s">
        <v>2507</v>
      </c>
      <c r="C1421" s="257" t="s">
        <v>2508</v>
      </c>
      <c r="D1421" s="258" t="s">
        <v>2509</v>
      </c>
      <c r="E1421" s="399">
        <f>'[5]COSTO CDMX,QRO,GDL '!I1415</f>
        <v>2290.0584795321638</v>
      </c>
      <c r="F1421" s="217" t="s">
        <v>284</v>
      </c>
      <c r="G1421" s="260"/>
      <c r="H1421" s="261"/>
      <c r="I1421" s="262"/>
      <c r="J1421" s="262"/>
    </row>
    <row r="1422" spans="1:10" s="263" customFormat="1" ht="14.25" customHeight="1">
      <c r="A1422" s="255"/>
      <c r="B1422" s="256" t="s">
        <v>2510</v>
      </c>
      <c r="C1422" s="257"/>
      <c r="D1422" s="258" t="s">
        <v>2511</v>
      </c>
      <c r="E1422" s="399">
        <f>'[5]COSTO CDMX,QRO,GDL '!I1416</f>
        <v>2346.198830409357</v>
      </c>
      <c r="F1422" s="217" t="s">
        <v>284</v>
      </c>
      <c r="G1422" s="260"/>
      <c r="H1422" s="261"/>
      <c r="I1422" s="262"/>
      <c r="J1422" s="262"/>
    </row>
    <row r="1423" spans="1:10" s="263" customFormat="1" ht="14.25" customHeight="1">
      <c r="A1423" s="255"/>
      <c r="B1423" s="256" t="s">
        <v>2512</v>
      </c>
      <c r="C1423" s="257"/>
      <c r="D1423" s="258" t="s">
        <v>2513</v>
      </c>
      <c r="E1423" s="399">
        <f>'[5]COSTO CDMX,QRO,GDL '!I1417</f>
        <v>2442.105263157895</v>
      </c>
      <c r="F1423" s="217" t="s">
        <v>284</v>
      </c>
      <c r="G1423" s="260"/>
      <c r="H1423" s="261"/>
      <c r="I1423" s="262"/>
      <c r="J1423" s="262"/>
    </row>
    <row r="1424" spans="1:10" s="263" customFormat="1" ht="14.25" customHeight="1">
      <c r="A1424" s="255"/>
      <c r="B1424" s="256" t="s">
        <v>2514</v>
      </c>
      <c r="C1424" s="257"/>
      <c r="D1424" s="258" t="s">
        <v>2515</v>
      </c>
      <c r="E1424" s="399">
        <f>'[5]COSTO CDMX,QRO,GDL '!I1418</f>
        <v>2650.292397660819</v>
      </c>
      <c r="F1424" s="217" t="s">
        <v>284</v>
      </c>
      <c r="G1424" s="260"/>
      <c r="H1424" s="261"/>
      <c r="I1424" s="262"/>
      <c r="J1424" s="262"/>
    </row>
    <row r="1425" spans="1:10" s="263" customFormat="1" ht="15">
      <c r="A1425" s="255"/>
      <c r="B1425" s="256" t="s">
        <v>2516</v>
      </c>
      <c r="C1425" s="257"/>
      <c r="D1425" s="258" t="s">
        <v>2517</v>
      </c>
      <c r="E1425" s="399">
        <f>'[5]COSTO CDMX,QRO,GDL '!I1419</f>
        <v>2968.4210526315792</v>
      </c>
      <c r="F1425" s="217" t="s">
        <v>284</v>
      </c>
      <c r="G1425" s="260"/>
      <c r="H1425" s="262"/>
      <c r="I1425" s="262"/>
      <c r="J1425" s="262"/>
    </row>
    <row r="1426" spans="1:10" s="263" customFormat="1">
      <c r="A1426" s="255"/>
      <c r="B1426" s="264"/>
      <c r="C1426" s="267"/>
      <c r="D1426" s="258"/>
      <c r="E1426" s="403"/>
      <c r="F1426" s="406"/>
      <c r="G1426" s="260"/>
      <c r="H1426" s="261"/>
      <c r="I1426" s="262"/>
      <c r="J1426" s="262"/>
    </row>
    <row r="1427" spans="1:10" s="263" customFormat="1">
      <c r="A1427" s="255"/>
      <c r="B1427" s="264"/>
      <c r="C1427" s="267"/>
      <c r="D1427" s="258"/>
      <c r="E1427" s="403"/>
      <c r="F1427" s="406"/>
      <c r="G1427" s="260"/>
      <c r="H1427" s="261"/>
      <c r="I1427" s="262"/>
      <c r="J1427" s="262"/>
    </row>
    <row r="1428" spans="1:10" ht="14.25" customHeight="1">
      <c r="A1428" s="251"/>
      <c r="B1428" s="252"/>
      <c r="C1428" s="253" t="s">
        <v>2518</v>
      </c>
      <c r="D1428" s="252"/>
      <c r="E1428" s="252"/>
      <c r="F1428" s="271"/>
    </row>
    <row r="1429" spans="1:10" s="263" customFormat="1" ht="15">
      <c r="A1429" s="255"/>
      <c r="B1429" s="256" t="s">
        <v>2519</v>
      </c>
      <c r="C1429" s="257" t="s">
        <v>2520</v>
      </c>
      <c r="D1429" s="258" t="s">
        <v>2521</v>
      </c>
      <c r="E1429" s="407">
        <f>'[5]COSTO CDMX,QRO,GDL '!I1423</f>
        <v>991.81286549707602</v>
      </c>
      <c r="F1429" s="217" t="s">
        <v>284</v>
      </c>
      <c r="G1429" s="260"/>
      <c r="H1429" s="261"/>
      <c r="I1429" s="262"/>
      <c r="J1429" s="262"/>
    </row>
    <row r="1430" spans="1:10" s="263" customFormat="1" ht="15">
      <c r="A1430" s="255"/>
      <c r="B1430" s="256" t="s">
        <v>2522</v>
      </c>
      <c r="C1430" s="257" t="s">
        <v>2523</v>
      </c>
      <c r="D1430" s="258" t="s">
        <v>2524</v>
      </c>
      <c r="E1430" s="407">
        <f>'[5]COSTO CDMX,QRO,GDL '!I1424</f>
        <v>1225.7309941520468</v>
      </c>
      <c r="F1430" s="217" t="s">
        <v>284</v>
      </c>
      <c r="G1430" s="260"/>
      <c r="H1430" s="261"/>
      <c r="I1430" s="262"/>
      <c r="J1430" s="262"/>
    </row>
    <row r="1431" spans="1:10" s="263" customFormat="1" ht="15">
      <c r="A1431" s="255"/>
      <c r="B1431" s="256" t="s">
        <v>2525</v>
      </c>
      <c r="C1431" s="257"/>
      <c r="D1431" s="258" t="s">
        <v>2526</v>
      </c>
      <c r="E1431" s="407">
        <f>'[5]COSTO CDMX,QRO,GDL '!I1425</f>
        <v>1242.1052631578946</v>
      </c>
      <c r="F1431" s="217" t="s">
        <v>284</v>
      </c>
      <c r="G1431" s="260"/>
      <c r="H1431" s="261"/>
      <c r="I1431" s="262"/>
      <c r="J1431" s="262"/>
    </row>
    <row r="1432" spans="1:10" s="263" customFormat="1" ht="15.95" customHeight="1">
      <c r="A1432" s="255"/>
      <c r="B1432" s="256" t="s">
        <v>2527</v>
      </c>
      <c r="C1432" s="1528" t="s">
        <v>2528</v>
      </c>
      <c r="D1432" s="258" t="s">
        <v>2529</v>
      </c>
      <c r="E1432" s="407">
        <f>'[5]COSTO CDMX,QRO,GDL '!I1426</f>
        <v>1263.1578947368421</v>
      </c>
      <c r="F1432" s="217" t="s">
        <v>284</v>
      </c>
      <c r="G1432" s="260"/>
      <c r="H1432" s="261"/>
      <c r="I1432" s="262"/>
      <c r="J1432" s="262"/>
    </row>
    <row r="1433" spans="1:10" s="263" customFormat="1" ht="15">
      <c r="A1433" s="255"/>
      <c r="B1433" s="256" t="s">
        <v>2530</v>
      </c>
      <c r="C1433" s="1528"/>
      <c r="D1433" s="258" t="s">
        <v>2531</v>
      </c>
      <c r="E1433" s="407">
        <f>'[5]COSTO CDMX,QRO,GDL '!I1427</f>
        <v>1270.1754385964912</v>
      </c>
      <c r="F1433" s="217" t="s">
        <v>284</v>
      </c>
      <c r="G1433" s="260"/>
      <c r="H1433" s="261"/>
      <c r="I1433" s="262"/>
      <c r="J1433" s="262"/>
    </row>
    <row r="1434" spans="1:10" s="263" customFormat="1" ht="15">
      <c r="A1434" s="255"/>
      <c r="B1434" s="256" t="s">
        <v>2532</v>
      </c>
      <c r="C1434" s="1528"/>
      <c r="D1434" s="258" t="s">
        <v>2533</v>
      </c>
      <c r="E1434" s="407">
        <f>'[5]COSTO CDMX,QRO,GDL '!I1428</f>
        <v>1742.6900584795321</v>
      </c>
      <c r="F1434" s="217" t="s">
        <v>284</v>
      </c>
      <c r="G1434" s="260"/>
      <c r="H1434" s="261"/>
      <c r="I1434" s="262"/>
      <c r="J1434" s="262"/>
    </row>
    <row r="1435" spans="1:10" s="263" customFormat="1" ht="15">
      <c r="A1435" s="255"/>
      <c r="B1435" s="256" t="s">
        <v>2534</v>
      </c>
      <c r="C1435" s="257"/>
      <c r="D1435" s="258" t="s">
        <v>2535</v>
      </c>
      <c r="E1435" s="407">
        <f>'[5]COSTO CDMX,QRO,GDL '!I1429</f>
        <v>1756.7251461988305</v>
      </c>
      <c r="F1435" s="217" t="s">
        <v>284</v>
      </c>
      <c r="G1435" s="260"/>
      <c r="H1435" s="261"/>
      <c r="I1435" s="262"/>
      <c r="J1435" s="262"/>
    </row>
    <row r="1436" spans="1:10" s="263" customFormat="1" ht="15">
      <c r="A1436" s="255"/>
      <c r="B1436" s="256" t="s">
        <v>2536</v>
      </c>
      <c r="C1436" s="257"/>
      <c r="D1436" s="258" t="s">
        <v>2537</v>
      </c>
      <c r="E1436" s="407">
        <f>'[5]COSTO CDMX,QRO,GDL '!I1430</f>
        <v>1770.7602339181287</v>
      </c>
      <c r="F1436" s="217" t="s">
        <v>284</v>
      </c>
      <c r="G1436" s="260"/>
      <c r="H1436" s="261"/>
      <c r="I1436" s="262"/>
      <c r="J1436" s="262"/>
    </row>
    <row r="1437" spans="1:10" s="263" customFormat="1" ht="15">
      <c r="A1437" s="255"/>
      <c r="B1437" s="256" t="s">
        <v>2538</v>
      </c>
      <c r="C1437" s="257"/>
      <c r="D1437" s="258" t="s">
        <v>2539</v>
      </c>
      <c r="E1437" s="407">
        <f>'[5]COSTO CDMX,QRO,GDL '!I1431</f>
        <v>1730.9941520467837</v>
      </c>
      <c r="F1437" s="217" t="s">
        <v>284</v>
      </c>
      <c r="G1437" s="260"/>
      <c r="H1437" s="261"/>
      <c r="I1437" s="262"/>
      <c r="J1437" s="262"/>
    </row>
    <row r="1438" spans="1:10" s="263" customFormat="1" ht="15">
      <c r="A1438" s="255"/>
      <c r="B1438" s="256" t="s">
        <v>2540</v>
      </c>
      <c r="C1438" s="257"/>
      <c r="D1438" s="258" t="s">
        <v>2541</v>
      </c>
      <c r="E1438" s="407">
        <f>'[5]COSTO CDMX,QRO,GDL '!I1432</f>
        <v>1745.0292397660819</v>
      </c>
      <c r="F1438" s="217" t="s">
        <v>284</v>
      </c>
      <c r="G1438" s="260"/>
      <c r="H1438" s="261"/>
      <c r="I1438" s="262"/>
      <c r="J1438" s="262"/>
    </row>
    <row r="1439" spans="1:10" s="263" customFormat="1" ht="15">
      <c r="A1439" s="255"/>
      <c r="B1439" s="256" t="s">
        <v>2542</v>
      </c>
      <c r="C1439" s="257"/>
      <c r="D1439" s="258" t="s">
        <v>2543</v>
      </c>
      <c r="E1439" s="407">
        <f>'[5]COSTO CDMX,QRO,GDL '!I1433</f>
        <v>1763.7426900584796</v>
      </c>
      <c r="F1439" s="217" t="s">
        <v>284</v>
      </c>
      <c r="G1439" s="260"/>
      <c r="H1439" s="261"/>
      <c r="I1439" s="262"/>
      <c r="J1439" s="262"/>
    </row>
    <row r="1440" spans="1:10" s="263" customFormat="1">
      <c r="A1440" s="255"/>
      <c r="B1440" s="264"/>
      <c r="C1440" s="257"/>
      <c r="D1440" s="258"/>
      <c r="E1440" s="403"/>
      <c r="F1440" s="408"/>
      <c r="G1440" s="260"/>
      <c r="H1440" s="261"/>
      <c r="I1440" s="262"/>
      <c r="J1440" s="262"/>
    </row>
    <row r="1441" spans="1:10" ht="14.25" customHeight="1">
      <c r="A1441" s="251"/>
      <c r="B1441" s="252"/>
      <c r="C1441" s="253" t="s">
        <v>2544</v>
      </c>
      <c r="D1441" s="252"/>
      <c r="E1441" s="252"/>
      <c r="F1441" s="271"/>
    </row>
    <row r="1442" spans="1:10" s="263" customFormat="1" ht="15">
      <c r="A1442" s="409"/>
      <c r="B1442" s="410" t="s">
        <v>2545</v>
      </c>
      <c r="C1442" s="411" t="s">
        <v>2546</v>
      </c>
      <c r="D1442" s="412" t="s">
        <v>2547</v>
      </c>
      <c r="E1442" s="403">
        <f>'[5]COSTO CDMX,QRO,GDL '!I1436</f>
        <v>802.42105263157919</v>
      </c>
      <c r="F1442" s="217" t="s">
        <v>284</v>
      </c>
      <c r="G1442" s="260"/>
      <c r="H1442" s="170"/>
      <c r="I1442" s="262"/>
      <c r="J1442" s="262"/>
    </row>
    <row r="1443" spans="1:10" s="263" customFormat="1" ht="15">
      <c r="A1443" s="413"/>
      <c r="B1443" s="414" t="s">
        <v>2548</v>
      </c>
      <c r="C1443" s="415"/>
      <c r="D1443" s="416" t="s">
        <v>2549</v>
      </c>
      <c r="E1443" s="403">
        <f>'[5]COSTO CDMX,QRO,GDL '!I1437</f>
        <v>837.54385964912285</v>
      </c>
      <c r="F1443" s="217" t="s">
        <v>284</v>
      </c>
      <c r="G1443" s="260"/>
      <c r="H1443" s="170"/>
      <c r="I1443" s="262"/>
      <c r="J1443" s="262"/>
    </row>
    <row r="1444" spans="1:10" s="263" customFormat="1" ht="15">
      <c r="A1444" s="413"/>
      <c r="B1444" s="414" t="s">
        <v>2550</v>
      </c>
      <c r="C1444" s="415"/>
      <c r="D1444" s="416" t="s">
        <v>2551</v>
      </c>
      <c r="E1444" s="403">
        <f>'[5]COSTO CDMX,QRO,GDL '!I1438</f>
        <v>1045.5789473684213</v>
      </c>
      <c r="F1444" s="217" t="s">
        <v>284</v>
      </c>
      <c r="G1444" s="260"/>
      <c r="H1444" s="170"/>
      <c r="I1444" s="262"/>
      <c r="J1444" s="262"/>
    </row>
    <row r="1445" spans="1:10" s="418" customFormat="1" ht="15">
      <c r="A1445" s="417"/>
      <c r="B1445" s="414" t="s">
        <v>2552</v>
      </c>
      <c r="C1445" s="415"/>
      <c r="D1445" s="416" t="s">
        <v>2553</v>
      </c>
      <c r="E1445" s="403">
        <f>'[5]COSTO CDMX,QRO,GDL '!I1439</f>
        <v>1072.5964912280704</v>
      </c>
      <c r="F1445" s="217" t="s">
        <v>284</v>
      </c>
      <c r="G1445" s="260"/>
      <c r="H1445" s="170"/>
      <c r="I1445" s="262"/>
      <c r="J1445" s="262"/>
    </row>
    <row r="1446" spans="1:10" s="263" customFormat="1">
      <c r="A1446" s="413"/>
      <c r="B1446" s="419"/>
      <c r="C1446" s="420"/>
      <c r="D1446" s="255"/>
      <c r="E1446" s="403"/>
      <c r="F1446" s="421"/>
      <c r="G1446" s="260"/>
      <c r="H1446" s="170"/>
      <c r="I1446" s="262"/>
      <c r="J1446" s="262"/>
    </row>
    <row r="1447" spans="1:10" s="263" customFormat="1">
      <c r="A1447" s="413"/>
      <c r="B1447" s="419"/>
      <c r="C1447" s="420"/>
      <c r="D1447" s="255"/>
      <c r="E1447" s="403"/>
      <c r="F1447" s="421"/>
      <c r="G1447" s="260"/>
      <c r="H1447" s="422"/>
      <c r="I1447" s="262"/>
      <c r="J1447" s="262"/>
    </row>
    <row r="1448" spans="1:10" s="263" customFormat="1">
      <c r="A1448" s="413"/>
      <c r="B1448" s="419"/>
      <c r="C1448" s="420"/>
      <c r="D1448" s="255"/>
      <c r="E1448" s="403"/>
      <c r="F1448" s="421"/>
      <c r="G1448" s="260"/>
      <c r="H1448" s="422"/>
      <c r="I1448" s="262"/>
      <c r="J1448" s="262"/>
    </row>
    <row r="1449" spans="1:10" s="263" customFormat="1">
      <c r="A1449" s="413"/>
      <c r="B1449" s="419"/>
      <c r="C1449" s="420"/>
      <c r="D1449" s="255"/>
      <c r="E1449" s="403"/>
      <c r="F1449" s="421"/>
      <c r="H1449" s="422"/>
    </row>
    <row r="1450" spans="1:10" s="263" customFormat="1">
      <c r="A1450" s="423"/>
      <c r="B1450" s="424"/>
      <c r="C1450" s="425"/>
      <c r="D1450" s="426"/>
      <c r="E1450" s="403"/>
      <c r="F1450" s="427"/>
    </row>
    <row r="1451" spans="1:10" ht="14.25" customHeight="1">
      <c r="A1451" s="251"/>
      <c r="B1451" s="252"/>
      <c r="C1451" s="253" t="s">
        <v>2554</v>
      </c>
      <c r="D1451" s="209"/>
      <c r="E1451" s="252"/>
      <c r="F1451" s="428"/>
    </row>
    <row r="1452" spans="1:10" s="263" customFormat="1" ht="15">
      <c r="A1452" s="409"/>
      <c r="B1452" s="429" t="s">
        <v>2555</v>
      </c>
      <c r="C1452" s="430" t="s">
        <v>2556</v>
      </c>
      <c r="D1452" s="416" t="s">
        <v>2557</v>
      </c>
      <c r="E1452" s="403">
        <f>'[5]COSTO CDMX,QRO,GDL '!I1446</f>
        <v>1786.5621052631584</v>
      </c>
      <c r="F1452" s="217" t="s">
        <v>284</v>
      </c>
      <c r="G1452" s="260"/>
      <c r="H1452" s="170"/>
      <c r="I1452" s="262"/>
      <c r="J1452" s="262"/>
    </row>
    <row r="1453" spans="1:10" s="263" customFormat="1" ht="15">
      <c r="A1453" s="413"/>
      <c r="B1453" s="431" t="s">
        <v>2558</v>
      </c>
      <c r="C1453" s="415" t="s">
        <v>2559</v>
      </c>
      <c r="D1453" s="416" t="s">
        <v>2560</v>
      </c>
      <c r="E1453" s="403">
        <f>'[5]COSTO CDMX,QRO,GDL '!I1447</f>
        <v>2061.1954385964914</v>
      </c>
      <c r="F1453" s="217" t="s">
        <v>284</v>
      </c>
      <c r="G1453" s="260"/>
      <c r="H1453" s="170"/>
      <c r="I1453" s="262"/>
      <c r="J1453" s="262"/>
    </row>
    <row r="1454" spans="1:10" s="263" customFormat="1" ht="15">
      <c r="A1454" s="413"/>
      <c r="B1454" s="431" t="s">
        <v>2561</v>
      </c>
      <c r="C1454" s="415"/>
      <c r="D1454" s="416" t="s">
        <v>2562</v>
      </c>
      <c r="E1454" s="403">
        <f>'[5]COSTO CDMX,QRO,GDL '!I1448</f>
        <v>2335.8287719298246</v>
      </c>
      <c r="F1454" s="217" t="s">
        <v>284</v>
      </c>
      <c r="G1454" s="260"/>
      <c r="H1454" s="170"/>
      <c r="I1454" s="262"/>
      <c r="J1454" s="262"/>
    </row>
    <row r="1455" spans="1:10" s="418" customFormat="1">
      <c r="A1455" s="417"/>
      <c r="B1455" s="432"/>
      <c r="C1455" s="415"/>
      <c r="D1455" s="416"/>
      <c r="E1455" s="403"/>
      <c r="F1455" s="405"/>
      <c r="G1455" s="260"/>
      <c r="H1455" s="262"/>
      <c r="I1455" s="262"/>
      <c r="J1455" s="262"/>
    </row>
    <row r="1456" spans="1:10" s="263" customFormat="1">
      <c r="A1456" s="413"/>
      <c r="B1456" s="419"/>
      <c r="C1456" s="420"/>
      <c r="D1456" s="255"/>
      <c r="E1456" s="403"/>
      <c r="F1456" s="405"/>
      <c r="G1456" s="260"/>
      <c r="H1456" s="262"/>
      <c r="I1456" s="262"/>
      <c r="J1456" s="262"/>
    </row>
    <row r="1457" spans="1:10" s="263" customFormat="1">
      <c r="A1457" s="413"/>
      <c r="B1457" s="419"/>
      <c r="C1457" s="420"/>
      <c r="D1457" s="255"/>
      <c r="E1457" s="403"/>
      <c r="F1457" s="405"/>
      <c r="G1457" s="260"/>
      <c r="H1457" s="262"/>
      <c r="I1457" s="262"/>
      <c r="J1457" s="262"/>
    </row>
    <row r="1458" spans="1:10" s="263" customFormat="1">
      <c r="A1458" s="413"/>
      <c r="B1458" s="419"/>
      <c r="C1458" s="420"/>
      <c r="D1458" s="255"/>
      <c r="E1458" s="403"/>
      <c r="F1458" s="405"/>
      <c r="G1458" s="260"/>
      <c r="H1458" s="262"/>
      <c r="I1458" s="262"/>
      <c r="J1458" s="262"/>
    </row>
    <row r="1459" spans="1:10" s="263" customFormat="1">
      <c r="A1459" s="413"/>
      <c r="B1459" s="419"/>
      <c r="C1459" s="420"/>
      <c r="D1459" s="255"/>
      <c r="E1459" s="403"/>
      <c r="F1459" s="405"/>
    </row>
    <row r="1460" spans="1:10" s="263" customFormat="1">
      <c r="A1460" s="423"/>
      <c r="B1460" s="424"/>
      <c r="C1460" s="425"/>
      <c r="D1460" s="426"/>
      <c r="E1460" s="403"/>
      <c r="F1460" s="405"/>
    </row>
    <row r="1461" spans="1:10" ht="14.25" customHeight="1">
      <c r="A1461" s="251"/>
      <c r="B1461" s="252"/>
      <c r="C1461" s="253" t="s">
        <v>2563</v>
      </c>
      <c r="D1461" s="252"/>
      <c r="E1461" s="252"/>
      <c r="F1461" s="271"/>
    </row>
    <row r="1462" spans="1:10" s="263" customFormat="1" ht="15">
      <c r="A1462" s="409"/>
      <c r="B1462" s="410" t="s">
        <v>2564</v>
      </c>
      <c r="C1462" s="411" t="s">
        <v>2565</v>
      </c>
      <c r="D1462" s="412" t="s">
        <v>2547</v>
      </c>
      <c r="E1462" s="403">
        <f>'[5]COSTO CDMX,QRO,GDL '!I1456</f>
        <v>1000.9356725146199</v>
      </c>
      <c r="F1462" s="217" t="s">
        <v>1928</v>
      </c>
      <c r="G1462" s="260"/>
      <c r="H1462" s="261"/>
      <c r="I1462" s="262"/>
      <c r="J1462" s="170"/>
    </row>
    <row r="1463" spans="1:10" s="263" customFormat="1">
      <c r="A1463" s="413"/>
      <c r="B1463" s="432"/>
      <c r="C1463" s="415"/>
      <c r="D1463" s="416"/>
      <c r="E1463" s="403"/>
      <c r="F1463" s="406"/>
      <c r="G1463" s="260"/>
      <c r="H1463" s="262"/>
      <c r="I1463" s="262"/>
      <c r="J1463" s="262"/>
    </row>
    <row r="1464" spans="1:10" s="263" customFormat="1">
      <c r="A1464" s="413"/>
      <c r="B1464" s="432"/>
      <c r="C1464" s="415"/>
      <c r="D1464" s="416"/>
      <c r="E1464" s="403"/>
      <c r="F1464" s="406"/>
      <c r="G1464" s="260"/>
      <c r="H1464" s="262"/>
      <c r="I1464" s="262"/>
      <c r="J1464" s="262"/>
    </row>
    <row r="1465" spans="1:10" s="418" customFormat="1">
      <c r="A1465" s="417"/>
      <c r="B1465" s="432"/>
      <c r="C1465" s="415"/>
      <c r="D1465" s="416"/>
      <c r="E1465" s="403"/>
      <c r="F1465" s="406"/>
      <c r="G1465" s="260"/>
      <c r="H1465" s="262"/>
      <c r="I1465" s="262"/>
      <c r="J1465" s="262"/>
    </row>
    <row r="1466" spans="1:10" s="263" customFormat="1">
      <c r="A1466" s="413"/>
      <c r="B1466" s="419"/>
      <c r="C1466" s="420"/>
      <c r="D1466" s="255"/>
      <c r="E1466" s="403"/>
      <c r="F1466" s="421"/>
      <c r="G1466" s="260"/>
      <c r="H1466" s="262"/>
      <c r="I1466" s="262"/>
      <c r="J1466" s="262"/>
    </row>
    <row r="1467" spans="1:10" s="263" customFormat="1">
      <c r="A1467" s="413"/>
      <c r="B1467" s="419"/>
      <c r="C1467" s="420"/>
      <c r="D1467" s="255"/>
      <c r="E1467" s="403"/>
      <c r="F1467" s="421"/>
      <c r="G1467" s="260"/>
      <c r="H1467" s="262"/>
      <c r="I1467" s="262"/>
      <c r="J1467" s="262"/>
    </row>
    <row r="1468" spans="1:10" s="263" customFormat="1">
      <c r="A1468" s="413"/>
      <c r="B1468" s="419"/>
      <c r="C1468" s="420"/>
      <c r="D1468" s="255"/>
      <c r="E1468" s="403"/>
      <c r="F1468" s="421"/>
      <c r="G1468" s="260"/>
      <c r="H1468" s="262"/>
      <c r="I1468" s="262"/>
      <c r="J1468" s="262"/>
    </row>
    <row r="1469" spans="1:10" s="263" customFormat="1">
      <c r="A1469" s="413"/>
      <c r="B1469" s="419"/>
      <c r="C1469" s="420"/>
      <c r="D1469" s="255"/>
      <c r="E1469" s="403"/>
      <c r="F1469" s="421"/>
    </row>
    <row r="1470" spans="1:10" s="263" customFormat="1">
      <c r="A1470" s="423"/>
      <c r="B1470" s="424"/>
      <c r="C1470" s="425"/>
      <c r="D1470" s="426"/>
      <c r="E1470" s="403"/>
      <c r="F1470" s="427"/>
    </row>
    <row r="1471" spans="1:10" ht="14.25" customHeight="1">
      <c r="A1471" s="251"/>
      <c r="B1471" s="252"/>
      <c r="C1471" s="253" t="s">
        <v>2563</v>
      </c>
      <c r="D1471" s="252"/>
      <c r="E1471" s="252"/>
      <c r="F1471" s="252"/>
    </row>
    <row r="1472" spans="1:10" s="263" customFormat="1" ht="15">
      <c r="A1472" s="409"/>
      <c r="B1472" s="410" t="s">
        <v>2564</v>
      </c>
      <c r="C1472" s="411" t="s">
        <v>2565</v>
      </c>
      <c r="D1472" s="412" t="s">
        <v>2547</v>
      </c>
      <c r="E1472" s="403">
        <f>'[5]COSTO CDMX,QRO,GDL '!I1466</f>
        <v>2637.4269005847955</v>
      </c>
      <c r="F1472" s="217" t="s">
        <v>1928</v>
      </c>
      <c r="G1472" s="260"/>
      <c r="H1472" s="261"/>
      <c r="I1472" s="262"/>
      <c r="J1472" s="262"/>
    </row>
    <row r="1473" spans="1:10" s="263" customFormat="1">
      <c r="A1473" s="413"/>
      <c r="B1473" s="432"/>
      <c r="C1473" s="415"/>
      <c r="D1473" s="416"/>
      <c r="E1473" s="403"/>
      <c r="F1473" s="406"/>
      <c r="G1473" s="260"/>
      <c r="H1473" s="262"/>
      <c r="I1473" s="262"/>
      <c r="J1473" s="262"/>
    </row>
    <row r="1474" spans="1:10" s="263" customFormat="1">
      <c r="A1474" s="413"/>
      <c r="B1474" s="432"/>
      <c r="C1474" s="415"/>
      <c r="D1474" s="416"/>
      <c r="E1474" s="403"/>
      <c r="F1474" s="406"/>
      <c r="G1474" s="260"/>
      <c r="H1474" s="262"/>
      <c r="I1474" s="262"/>
      <c r="J1474" s="262"/>
    </row>
    <row r="1475" spans="1:10" s="418" customFormat="1">
      <c r="A1475" s="417"/>
      <c r="B1475" s="432"/>
      <c r="C1475" s="415"/>
      <c r="D1475" s="416"/>
      <c r="E1475" s="403"/>
      <c r="F1475" s="406"/>
      <c r="G1475" s="260"/>
      <c r="H1475" s="262"/>
      <c r="I1475" s="262"/>
      <c r="J1475" s="262"/>
    </row>
    <row r="1476" spans="1:10" s="263" customFormat="1">
      <c r="A1476" s="413"/>
      <c r="B1476" s="419"/>
      <c r="C1476" s="420"/>
      <c r="D1476" s="255"/>
      <c r="E1476" s="403"/>
      <c r="F1476" s="421"/>
      <c r="G1476" s="260"/>
      <c r="H1476" s="262"/>
      <c r="I1476" s="262"/>
      <c r="J1476" s="262"/>
    </row>
    <row r="1477" spans="1:10" s="263" customFormat="1">
      <c r="A1477" s="413"/>
      <c r="B1477" s="419"/>
      <c r="C1477" s="420"/>
      <c r="D1477" s="255"/>
      <c r="E1477" s="403"/>
      <c r="F1477" s="421"/>
      <c r="G1477" s="260"/>
      <c r="H1477" s="262"/>
      <c r="I1477" s="262"/>
      <c r="J1477" s="262"/>
    </row>
    <row r="1478" spans="1:10" s="263" customFormat="1">
      <c r="A1478" s="413"/>
      <c r="B1478" s="419"/>
      <c r="C1478" s="420"/>
      <c r="D1478" s="255"/>
      <c r="E1478" s="403"/>
      <c r="F1478" s="421"/>
      <c r="G1478" s="260"/>
      <c r="H1478" s="262"/>
      <c r="I1478" s="262"/>
      <c r="J1478" s="262"/>
    </row>
    <row r="1479" spans="1:10" s="263" customFormat="1">
      <c r="A1479" s="413"/>
      <c r="B1479" s="419"/>
      <c r="C1479" s="420"/>
      <c r="D1479" s="255"/>
      <c r="E1479" s="403"/>
      <c r="F1479" s="421"/>
    </row>
    <row r="1480" spans="1:10" s="263" customFormat="1">
      <c r="A1480" s="423"/>
      <c r="B1480" s="424"/>
      <c r="C1480" s="425"/>
      <c r="D1480" s="426"/>
      <c r="E1480" s="403"/>
      <c r="F1480" s="427"/>
    </row>
    <row r="1481" spans="1:10" ht="14.25" customHeight="1">
      <c r="A1481" s="251"/>
      <c r="B1481" s="252"/>
      <c r="C1481" s="253" t="s">
        <v>2566</v>
      </c>
      <c r="D1481" s="252"/>
      <c r="E1481" s="252"/>
      <c r="F1481" s="428"/>
    </row>
    <row r="1482" spans="1:10" s="263" customFormat="1" ht="15">
      <c r="A1482" s="409"/>
      <c r="B1482" s="410" t="s">
        <v>2567</v>
      </c>
      <c r="C1482" s="433" t="s">
        <v>2568</v>
      </c>
      <c r="D1482" s="412" t="s">
        <v>2569</v>
      </c>
      <c r="E1482" s="403">
        <f>'[5]COSTO CDMX,QRO,GDL '!I1476</f>
        <v>17968.115789473686</v>
      </c>
      <c r="F1482" s="217" t="s">
        <v>284</v>
      </c>
      <c r="G1482" s="260"/>
      <c r="H1482" s="170"/>
      <c r="I1482" s="262"/>
      <c r="J1482" s="262"/>
    </row>
    <row r="1483" spans="1:10" s="263" customFormat="1">
      <c r="A1483" s="413"/>
      <c r="B1483" s="432"/>
      <c r="C1483" s="433" t="s">
        <v>2570</v>
      </c>
      <c r="D1483" s="416"/>
      <c r="E1483" s="403"/>
      <c r="F1483" s="405"/>
      <c r="G1483" s="260"/>
      <c r="H1483" s="262"/>
      <c r="I1483" s="262"/>
      <c r="J1483" s="262"/>
    </row>
    <row r="1484" spans="1:10" s="263" customFormat="1">
      <c r="A1484" s="413"/>
      <c r="B1484" s="432"/>
      <c r="C1484" s="433" t="s">
        <v>2571</v>
      </c>
      <c r="D1484" s="416"/>
      <c r="E1484" s="403"/>
      <c r="F1484" s="405"/>
      <c r="G1484" s="260"/>
      <c r="H1484" s="262"/>
      <c r="I1484" s="262"/>
      <c r="J1484" s="262"/>
    </row>
    <row r="1485" spans="1:10" s="418" customFormat="1">
      <c r="A1485" s="417"/>
      <c r="B1485" s="432"/>
      <c r="C1485" s="433" t="s">
        <v>2572</v>
      </c>
      <c r="D1485" s="416"/>
      <c r="E1485" s="403"/>
      <c r="F1485" s="405"/>
      <c r="G1485" s="260"/>
      <c r="H1485" s="262"/>
      <c r="I1485" s="262"/>
      <c r="J1485" s="262"/>
    </row>
    <row r="1486" spans="1:10" s="263" customFormat="1">
      <c r="A1486" s="413"/>
      <c r="B1486" s="419"/>
      <c r="C1486" s="433" t="s">
        <v>2573</v>
      </c>
      <c r="D1486" s="255"/>
      <c r="E1486" s="403"/>
      <c r="F1486" s="405"/>
      <c r="G1486" s="260"/>
      <c r="H1486" s="262"/>
      <c r="I1486" s="262"/>
      <c r="J1486" s="262"/>
    </row>
    <row r="1487" spans="1:10" s="263" customFormat="1">
      <c r="A1487" s="413"/>
      <c r="B1487" s="419"/>
      <c r="C1487" s="433" t="s">
        <v>2574</v>
      </c>
      <c r="D1487" s="255"/>
      <c r="E1487" s="403"/>
      <c r="F1487" s="405"/>
      <c r="G1487" s="260"/>
      <c r="H1487" s="262"/>
      <c r="I1487" s="262"/>
      <c r="J1487" s="262"/>
    </row>
    <row r="1488" spans="1:10" s="263" customFormat="1">
      <c r="A1488" s="413"/>
      <c r="B1488" s="419"/>
      <c r="C1488" s="433" t="s">
        <v>2575</v>
      </c>
      <c r="D1488" s="255"/>
      <c r="E1488" s="403"/>
      <c r="F1488" s="405"/>
      <c r="G1488" s="260"/>
      <c r="H1488" s="262"/>
      <c r="I1488" s="262"/>
      <c r="J1488" s="262"/>
    </row>
    <row r="1489" spans="1:10" s="263" customFormat="1">
      <c r="A1489" s="413"/>
      <c r="B1489" s="419"/>
      <c r="C1489" s="433"/>
      <c r="D1489" s="255"/>
      <c r="E1489" s="403"/>
      <c r="F1489" s="405"/>
    </row>
    <row r="1490" spans="1:10" s="263" customFormat="1">
      <c r="A1490" s="413"/>
      <c r="B1490" s="419"/>
      <c r="C1490" s="433"/>
      <c r="D1490" s="255"/>
      <c r="E1490" s="403"/>
      <c r="F1490" s="405"/>
    </row>
    <row r="1491" spans="1:10" s="263" customFormat="1">
      <c r="A1491" s="413"/>
      <c r="B1491" s="419"/>
      <c r="C1491" s="433"/>
      <c r="D1491" s="255"/>
      <c r="E1491" s="403"/>
      <c r="F1491" s="405"/>
    </row>
    <row r="1492" spans="1:10" s="263" customFormat="1">
      <c r="A1492" s="413"/>
      <c r="B1492" s="419"/>
      <c r="C1492" s="433"/>
      <c r="D1492" s="255"/>
      <c r="E1492" s="403"/>
      <c r="F1492" s="405"/>
    </row>
    <row r="1493" spans="1:10" s="263" customFormat="1">
      <c r="A1493" s="423"/>
      <c r="B1493" s="424"/>
      <c r="C1493" s="433"/>
      <c r="D1493" s="426"/>
      <c r="E1493" s="403"/>
      <c r="F1493" s="405"/>
    </row>
    <row r="1494" spans="1:10" ht="14.25" customHeight="1">
      <c r="A1494" s="251"/>
      <c r="B1494" s="252"/>
      <c r="C1494" s="253" t="s">
        <v>2566</v>
      </c>
      <c r="D1494" s="252"/>
      <c r="E1494" s="252"/>
      <c r="F1494" s="428"/>
    </row>
    <row r="1495" spans="1:10" s="263" customFormat="1" ht="15">
      <c r="A1495" s="409"/>
      <c r="B1495" s="410" t="s">
        <v>2576</v>
      </c>
      <c r="C1495" s="433" t="s">
        <v>2577</v>
      </c>
      <c r="D1495" s="412" t="s">
        <v>2578</v>
      </c>
      <c r="E1495" s="403">
        <f>'[5]COSTO CDMX,QRO,GDL '!I1489</f>
        <v>19342.596491228072</v>
      </c>
      <c r="F1495" s="217" t="s">
        <v>284</v>
      </c>
      <c r="G1495" s="260"/>
      <c r="H1495" s="170"/>
      <c r="I1495" s="434"/>
      <c r="J1495" s="262"/>
    </row>
    <row r="1496" spans="1:10" s="263" customFormat="1" ht="15">
      <c r="A1496" s="413"/>
      <c r="B1496" s="414" t="s">
        <v>2579</v>
      </c>
      <c r="C1496" s="433" t="s">
        <v>2570</v>
      </c>
      <c r="D1496" s="416" t="s">
        <v>2580</v>
      </c>
      <c r="E1496" s="403">
        <f>'[5]COSTO CDMX,QRO,GDL '!I1490</f>
        <v>20853.736842105271</v>
      </c>
      <c r="F1496" s="217" t="s">
        <v>284</v>
      </c>
      <c r="G1496" s="260"/>
      <c r="H1496" s="170"/>
      <c r="I1496" s="434"/>
      <c r="J1496" s="262"/>
    </row>
    <row r="1497" spans="1:10" s="263" customFormat="1">
      <c r="A1497" s="413"/>
      <c r="B1497" s="432"/>
      <c r="C1497" s="433" t="s">
        <v>2571</v>
      </c>
      <c r="D1497" s="416"/>
      <c r="E1497" s="403"/>
      <c r="F1497" s="405"/>
      <c r="G1497" s="260"/>
      <c r="H1497" s="422"/>
      <c r="I1497" s="434"/>
      <c r="J1497" s="262"/>
    </row>
    <row r="1498" spans="1:10" s="418" customFormat="1">
      <c r="A1498" s="417"/>
      <c r="B1498" s="432"/>
      <c r="C1498" s="433" t="s">
        <v>2581</v>
      </c>
      <c r="D1498" s="416"/>
      <c r="E1498" s="403"/>
      <c r="F1498" s="405"/>
      <c r="G1498" s="260"/>
      <c r="H1498" s="422"/>
      <c r="I1498" s="434"/>
      <c r="J1498" s="262"/>
    </row>
    <row r="1499" spans="1:10" s="263" customFormat="1">
      <c r="A1499" s="413"/>
      <c r="B1499" s="419"/>
      <c r="C1499" s="433" t="s">
        <v>2574</v>
      </c>
      <c r="D1499" s="255"/>
      <c r="E1499" s="403"/>
      <c r="F1499" s="405"/>
      <c r="G1499" s="260"/>
      <c r="H1499" s="422"/>
      <c r="I1499" s="434"/>
      <c r="J1499" s="262"/>
    </row>
    <row r="1500" spans="1:10" s="263" customFormat="1">
      <c r="A1500" s="413"/>
      <c r="B1500" s="419"/>
      <c r="C1500" s="433" t="s">
        <v>2575</v>
      </c>
      <c r="D1500" s="255"/>
      <c r="E1500" s="403"/>
      <c r="F1500" s="405"/>
      <c r="G1500" s="260"/>
      <c r="H1500" s="422"/>
      <c r="I1500" s="434"/>
      <c r="J1500" s="262"/>
    </row>
    <row r="1501" spans="1:10" s="263" customFormat="1">
      <c r="A1501" s="413"/>
      <c r="B1501" s="419"/>
      <c r="C1501" s="433"/>
      <c r="D1501" s="255"/>
      <c r="E1501" s="403"/>
      <c r="F1501" s="405"/>
      <c r="G1501" s="260"/>
      <c r="H1501" s="170"/>
      <c r="I1501" s="434"/>
      <c r="J1501" s="262"/>
    </row>
    <row r="1502" spans="1:10" s="263" customFormat="1">
      <c r="A1502" s="413"/>
      <c r="B1502" s="419"/>
      <c r="C1502" s="433"/>
      <c r="D1502" s="255"/>
      <c r="E1502" s="403"/>
      <c r="F1502" s="405"/>
      <c r="H1502" s="422"/>
      <c r="I1502" s="435"/>
    </row>
    <row r="1503" spans="1:10" s="263" customFormat="1">
      <c r="A1503" s="413"/>
      <c r="B1503" s="419"/>
      <c r="C1503" s="433"/>
      <c r="D1503" s="255"/>
      <c r="E1503" s="403"/>
      <c r="F1503" s="405"/>
    </row>
    <row r="1504" spans="1:10" s="263" customFormat="1">
      <c r="A1504" s="413"/>
      <c r="B1504" s="419"/>
      <c r="C1504" s="433"/>
      <c r="D1504" s="255"/>
      <c r="E1504" s="403"/>
      <c r="F1504" s="405"/>
    </row>
    <row r="1505" spans="1:60" s="263" customFormat="1">
      <c r="A1505" s="413"/>
      <c r="B1505" s="419"/>
      <c r="C1505" s="433"/>
      <c r="D1505" s="255"/>
      <c r="E1505" s="403"/>
      <c r="F1505" s="405"/>
    </row>
    <row r="1506" spans="1:60" s="263" customFormat="1">
      <c r="A1506" s="423"/>
      <c r="B1506" s="424"/>
      <c r="C1506" s="433"/>
      <c r="D1506" s="426"/>
      <c r="E1506" s="403"/>
      <c r="F1506" s="405"/>
    </row>
    <row r="1507" spans="1:60" ht="14.25" customHeight="1">
      <c r="A1507" s="251"/>
      <c r="B1507" s="252"/>
      <c r="C1507" s="436" t="s">
        <v>2582</v>
      </c>
      <c r="D1507" s="252"/>
      <c r="E1507" s="252"/>
      <c r="F1507" s="252"/>
    </row>
    <row r="1508" spans="1:60" s="263" customFormat="1" ht="15">
      <c r="A1508" s="409"/>
      <c r="B1508" s="437" t="s">
        <v>2583</v>
      </c>
      <c r="C1508" s="438" t="s">
        <v>2584</v>
      </c>
      <c r="D1508" s="412" t="s">
        <v>2547</v>
      </c>
      <c r="E1508" s="403">
        <f>'[5]COSTO CDMX,QRO,GDL '!I1502</f>
        <v>2691.5122807017542</v>
      </c>
      <c r="F1508" s="217" t="s">
        <v>284</v>
      </c>
      <c r="G1508" s="260"/>
      <c r="H1508" s="170"/>
      <c r="I1508" s="262"/>
      <c r="J1508" s="262"/>
    </row>
    <row r="1509" spans="1:60" s="263" customFormat="1" ht="15">
      <c r="A1509" s="413"/>
      <c r="B1509" s="439"/>
      <c r="C1509" s="440" t="s">
        <v>2585</v>
      </c>
      <c r="D1509" s="416"/>
      <c r="E1509" s="441"/>
      <c r="F1509" s="442"/>
      <c r="G1509" s="260"/>
      <c r="H1509" s="262"/>
      <c r="I1509" s="262"/>
      <c r="J1509" s="262"/>
    </row>
    <row r="1510" spans="1:60" s="263" customFormat="1" ht="15">
      <c r="A1510" s="413"/>
      <c r="B1510" s="439"/>
      <c r="C1510" s="440" t="s">
        <v>2586</v>
      </c>
      <c r="D1510" s="416"/>
      <c r="E1510" s="441"/>
      <c r="F1510" s="442"/>
      <c r="G1510" s="260"/>
      <c r="H1510" s="262"/>
      <c r="I1510" s="262"/>
      <c r="J1510" s="262"/>
    </row>
    <row r="1511" spans="1:60" s="418" customFormat="1">
      <c r="A1511" s="417"/>
      <c r="B1511" s="439"/>
      <c r="C1511" s="440"/>
      <c r="D1511" s="416"/>
      <c r="E1511" s="441"/>
      <c r="F1511" s="442"/>
      <c r="G1511" s="260"/>
      <c r="H1511" s="262"/>
      <c r="I1511" s="262"/>
      <c r="J1511" s="262"/>
    </row>
    <row r="1512" spans="1:60" s="263" customFormat="1">
      <c r="A1512" s="413"/>
      <c r="B1512" s="443"/>
      <c r="C1512" s="444"/>
      <c r="D1512" s="445"/>
      <c r="E1512" s="340"/>
      <c r="F1512" s="398"/>
      <c r="G1512" s="260"/>
      <c r="H1512" s="262"/>
      <c r="I1512" s="262"/>
      <c r="J1512" s="262"/>
    </row>
    <row r="1513" spans="1:60" s="263" customFormat="1">
      <c r="A1513" s="413"/>
      <c r="B1513" s="443"/>
      <c r="C1513" s="444"/>
      <c r="D1513" s="445"/>
      <c r="E1513" s="340"/>
      <c r="F1513" s="398"/>
      <c r="G1513" s="260"/>
      <c r="H1513" s="262"/>
      <c r="I1513" s="262"/>
      <c r="J1513" s="262"/>
    </row>
    <row r="1514" spans="1:60" s="263" customFormat="1">
      <c r="A1514" s="413"/>
      <c r="B1514" s="443"/>
      <c r="C1514" s="444"/>
      <c r="D1514" s="445"/>
      <c r="E1514" s="340"/>
      <c r="F1514" s="398"/>
      <c r="G1514" s="260"/>
      <c r="H1514" s="262"/>
      <c r="I1514" s="262"/>
      <c r="J1514" s="262"/>
    </row>
    <row r="1515" spans="1:60" s="263" customFormat="1">
      <c r="A1515" s="423"/>
      <c r="B1515" s="446"/>
      <c r="C1515" s="447"/>
      <c r="D1515" s="448"/>
      <c r="E1515" s="345"/>
      <c r="F1515" s="449"/>
    </row>
    <row r="1516" spans="1:60" s="184" customFormat="1" ht="15" customHeight="1">
      <c r="A1516" s="232" t="s">
        <v>2013</v>
      </c>
      <c r="B1516" s="233"/>
      <c r="C1516" s="1524" t="s">
        <v>2587</v>
      </c>
      <c r="D1516" s="232"/>
      <c r="E1516" s="235"/>
      <c r="F1516" s="384"/>
      <c r="G1516" s="183"/>
      <c r="H1516" s="183"/>
      <c r="I1516" s="183"/>
      <c r="J1516" s="183"/>
      <c r="K1516" s="183"/>
      <c r="L1516" s="183"/>
      <c r="M1516" s="183"/>
      <c r="N1516" s="190"/>
      <c r="O1516" s="190"/>
      <c r="P1516" s="190"/>
      <c r="Q1516" s="190"/>
      <c r="R1516" s="190"/>
      <c r="S1516" s="190"/>
      <c r="T1516" s="190"/>
      <c r="U1516" s="190"/>
      <c r="V1516" s="190"/>
      <c r="W1516" s="190"/>
      <c r="X1516" s="190"/>
      <c r="Y1516" s="190"/>
      <c r="Z1516" s="190"/>
      <c r="AA1516" s="190"/>
      <c r="AB1516" s="190"/>
      <c r="AC1516" s="190"/>
      <c r="AD1516" s="190"/>
      <c r="AE1516" s="190"/>
      <c r="AF1516" s="190"/>
      <c r="AG1516" s="190"/>
      <c r="AH1516" s="190"/>
      <c r="AI1516" s="190"/>
      <c r="AJ1516" s="190"/>
      <c r="AK1516" s="190"/>
      <c r="AL1516" s="190"/>
      <c r="AM1516" s="190"/>
      <c r="AN1516" s="190"/>
      <c r="AO1516" s="190"/>
      <c r="AP1516" s="190"/>
      <c r="AQ1516" s="190"/>
      <c r="AR1516" s="190"/>
      <c r="AS1516" s="190"/>
      <c r="AT1516" s="190"/>
      <c r="AU1516" s="190"/>
      <c r="AV1516" s="190"/>
      <c r="AW1516" s="190"/>
      <c r="AX1516" s="190"/>
      <c r="AY1516" s="190"/>
      <c r="AZ1516" s="190"/>
      <c r="BA1516" s="190"/>
      <c r="BB1516" s="190"/>
      <c r="BC1516" s="190"/>
      <c r="BD1516" s="190"/>
      <c r="BE1516" s="190"/>
      <c r="BF1516" s="190"/>
      <c r="BG1516" s="190"/>
      <c r="BH1516" s="190"/>
    </row>
    <row r="1517" spans="1:60" s="198" customFormat="1" ht="15" customHeight="1">
      <c r="A1517" s="237" t="s">
        <v>1669</v>
      </c>
      <c r="B1517" s="238"/>
      <c r="C1517" s="1525"/>
      <c r="D1517" s="285"/>
      <c r="E1517" s="286"/>
      <c r="F1517" s="385"/>
      <c r="G1517" s="196"/>
      <c r="H1517" s="196"/>
      <c r="I1517" s="196"/>
      <c r="J1517" s="196"/>
      <c r="K1517" s="196"/>
      <c r="L1517" s="196"/>
      <c r="M1517" s="196"/>
      <c r="N1517" s="197"/>
      <c r="O1517" s="197"/>
      <c r="P1517" s="197"/>
      <c r="Q1517" s="197"/>
      <c r="R1517" s="197"/>
      <c r="S1517" s="197"/>
      <c r="T1517" s="197"/>
      <c r="U1517" s="197"/>
      <c r="V1517" s="197"/>
      <c r="W1517" s="197"/>
      <c r="X1517" s="197"/>
      <c r="Y1517" s="197"/>
      <c r="Z1517" s="197"/>
      <c r="AA1517" s="197"/>
      <c r="AB1517" s="197"/>
      <c r="AC1517" s="197"/>
      <c r="AD1517" s="197"/>
      <c r="AE1517" s="197"/>
      <c r="AF1517" s="197"/>
      <c r="AG1517" s="197"/>
      <c r="AH1517" s="197"/>
      <c r="AI1517" s="197"/>
      <c r="AJ1517" s="197"/>
      <c r="AK1517" s="197"/>
      <c r="AL1517" s="197"/>
      <c r="AM1517" s="197"/>
      <c r="AN1517" s="197"/>
      <c r="AO1517" s="197"/>
      <c r="AP1517" s="197"/>
      <c r="AQ1517" s="197"/>
      <c r="AR1517" s="197"/>
      <c r="AS1517" s="197"/>
      <c r="AT1517" s="197"/>
      <c r="AU1517" s="197"/>
      <c r="AV1517" s="197"/>
      <c r="AW1517" s="197"/>
      <c r="AX1517" s="197"/>
      <c r="AY1517" s="197"/>
      <c r="AZ1517" s="197"/>
      <c r="BA1517" s="197"/>
      <c r="BB1517" s="197"/>
      <c r="BC1517" s="197"/>
      <c r="BD1517" s="197"/>
      <c r="BE1517" s="197"/>
      <c r="BF1517" s="197"/>
      <c r="BG1517" s="197"/>
      <c r="BH1517" s="197"/>
    </row>
    <row r="1518" spans="1:60" s="204" customFormat="1">
      <c r="A1518" s="199" t="s">
        <v>512</v>
      </c>
      <c r="B1518" s="200" t="s">
        <v>513</v>
      </c>
      <c r="C1518" s="201" t="s">
        <v>514</v>
      </c>
      <c r="D1518" s="199" t="s">
        <v>515</v>
      </c>
      <c r="E1518" s="202" t="s">
        <v>516</v>
      </c>
      <c r="F1518" s="203" t="s">
        <v>1670</v>
      </c>
      <c r="G1518" s="184"/>
      <c r="N1518" s="205"/>
      <c r="O1518" s="205"/>
      <c r="P1518" s="205"/>
      <c r="Q1518" s="205"/>
      <c r="R1518" s="205"/>
      <c r="S1518" s="205"/>
      <c r="T1518" s="205"/>
      <c r="U1518" s="205"/>
      <c r="V1518" s="205"/>
      <c r="W1518" s="205"/>
      <c r="X1518" s="205"/>
      <c r="Y1518" s="205"/>
      <c r="Z1518" s="205"/>
      <c r="AA1518" s="205"/>
      <c r="AB1518" s="205"/>
      <c r="AC1518" s="205"/>
      <c r="AD1518" s="205"/>
      <c r="AE1518" s="205"/>
      <c r="AF1518" s="205"/>
      <c r="AG1518" s="205"/>
      <c r="AH1518" s="205"/>
      <c r="AI1518" s="205"/>
      <c r="AJ1518" s="205"/>
      <c r="AK1518" s="205"/>
      <c r="AL1518" s="205"/>
      <c r="AM1518" s="205"/>
      <c r="AN1518" s="205"/>
      <c r="AO1518" s="205"/>
      <c r="AP1518" s="205"/>
      <c r="AQ1518" s="205"/>
      <c r="AR1518" s="205"/>
      <c r="AS1518" s="205"/>
      <c r="AT1518" s="205"/>
      <c r="AU1518" s="205"/>
      <c r="AV1518" s="205"/>
      <c r="AW1518" s="205"/>
      <c r="AX1518" s="205"/>
      <c r="AY1518" s="205"/>
      <c r="AZ1518" s="205"/>
      <c r="BA1518" s="205"/>
      <c r="BB1518" s="205"/>
      <c r="BC1518" s="205"/>
      <c r="BD1518" s="205"/>
      <c r="BE1518" s="205"/>
      <c r="BF1518" s="205"/>
      <c r="BG1518" s="205"/>
      <c r="BH1518" s="205"/>
    </row>
    <row r="1519" spans="1:60" ht="14.25" customHeight="1">
      <c r="A1519" s="245"/>
      <c r="B1519" s="315"/>
      <c r="C1519" s="316" t="s">
        <v>2588</v>
      </c>
      <c r="D1519" s="317"/>
      <c r="E1519" s="450"/>
      <c r="F1519" s="249"/>
    </row>
    <row r="1520" spans="1:60" ht="14.25" customHeight="1">
      <c r="A1520" s="212"/>
      <c r="B1520" s="213" t="s">
        <v>2589</v>
      </c>
      <c r="C1520" s="295" t="s">
        <v>2590</v>
      </c>
      <c r="D1520" s="226" t="s">
        <v>1792</v>
      </c>
      <c r="E1520" s="451">
        <f>'[5]COSTO CDMX,QRO,GDL '!I1514</f>
        <v>10400</v>
      </c>
      <c r="F1520" s="217" t="s">
        <v>284</v>
      </c>
    </row>
    <row r="1521" spans="1:6" ht="14.25" customHeight="1">
      <c r="A1521" s="212"/>
      <c r="B1521" s="221"/>
      <c r="C1521" s="295" t="s">
        <v>2591</v>
      </c>
      <c r="D1521" s="226"/>
      <c r="E1521" s="452"/>
      <c r="F1521" s="228"/>
    </row>
    <row r="1522" spans="1:6" ht="14.25" customHeight="1">
      <c r="A1522" s="212"/>
      <c r="B1522" s="221"/>
      <c r="C1522" s="295" t="s">
        <v>2592</v>
      </c>
      <c r="D1522" s="226"/>
      <c r="E1522" s="452"/>
      <c r="F1522" s="228"/>
    </row>
    <row r="1523" spans="1:6" ht="14.25" customHeight="1">
      <c r="A1523" s="453"/>
      <c r="B1523" s="221"/>
      <c r="C1523" s="454" t="s">
        <v>2593</v>
      </c>
      <c r="D1523" s="226"/>
      <c r="E1523" s="452"/>
      <c r="F1523" s="228"/>
    </row>
    <row r="1524" spans="1:6" ht="14.25" customHeight="1">
      <c r="A1524" s="212"/>
      <c r="B1524" s="221"/>
      <c r="C1524" s="244"/>
      <c r="D1524" s="226"/>
      <c r="E1524" s="452"/>
      <c r="F1524" s="228"/>
    </row>
    <row r="1525" spans="1:6" ht="14.25" customHeight="1">
      <c r="A1525" s="212"/>
      <c r="B1525" s="221"/>
      <c r="C1525" s="244"/>
      <c r="D1525" s="226"/>
      <c r="E1525" s="452"/>
      <c r="F1525" s="228"/>
    </row>
    <row r="1526" spans="1:6" ht="14.25" customHeight="1">
      <c r="A1526" s="212"/>
      <c r="B1526" s="221"/>
      <c r="C1526" s="244"/>
      <c r="D1526" s="226"/>
      <c r="E1526" s="452"/>
      <c r="F1526" s="228"/>
    </row>
    <row r="1527" spans="1:6" ht="14.25" customHeight="1">
      <c r="A1527" s="212"/>
      <c r="B1527" s="221"/>
      <c r="C1527" s="244"/>
      <c r="D1527" s="226"/>
      <c r="E1527" s="452"/>
      <c r="F1527" s="228"/>
    </row>
    <row r="1528" spans="1:6" ht="14.25" customHeight="1">
      <c r="A1528" s="212"/>
      <c r="B1528" s="221"/>
      <c r="C1528" s="244"/>
      <c r="D1528" s="226"/>
      <c r="E1528" s="452"/>
      <c r="F1528" s="228"/>
    </row>
    <row r="1529" spans="1:6" ht="14.25" customHeight="1">
      <c r="A1529" s="212"/>
      <c r="B1529" s="221"/>
      <c r="C1529" s="244"/>
      <c r="D1529" s="226"/>
      <c r="E1529" s="455"/>
      <c r="F1529" s="228"/>
    </row>
    <row r="1530" spans="1:6" ht="14.25" customHeight="1">
      <c r="A1530" s="245"/>
      <c r="B1530" s="315"/>
      <c r="C1530" s="316" t="s">
        <v>1671</v>
      </c>
      <c r="D1530" s="317"/>
      <c r="E1530" s="329"/>
      <c r="F1530" s="456"/>
    </row>
    <row r="1531" spans="1:6" ht="14.25" customHeight="1">
      <c r="A1531" s="300"/>
      <c r="B1531" s="229" t="s">
        <v>2594</v>
      </c>
      <c r="C1531" s="295" t="s">
        <v>2595</v>
      </c>
      <c r="D1531" s="305" t="s">
        <v>2596</v>
      </c>
      <c r="E1531" s="360">
        <f>'[5]COSTO CDMX,QRO,GDL '!I1525</f>
        <v>11578.947368421053</v>
      </c>
      <c r="F1531" s="217" t="s">
        <v>1928</v>
      </c>
    </row>
    <row r="1532" spans="1:6" ht="14.25" customHeight="1">
      <c r="A1532" s="302"/>
      <c r="B1532" s="219" t="s">
        <v>2597</v>
      </c>
      <c r="C1532" s="295" t="s">
        <v>2598</v>
      </c>
      <c r="D1532" s="226" t="s">
        <v>2599</v>
      </c>
      <c r="E1532" s="360">
        <f>'[5]COSTO CDMX,QRO,GDL '!I1526</f>
        <v>11578.947368421053</v>
      </c>
      <c r="F1532" s="217" t="s">
        <v>1928</v>
      </c>
    </row>
    <row r="1533" spans="1:6" ht="14.25" customHeight="1">
      <c r="A1533" s="302"/>
      <c r="B1533" s="219" t="s">
        <v>2600</v>
      </c>
      <c r="C1533" s="295" t="s">
        <v>1675</v>
      </c>
      <c r="D1533" s="226" t="s">
        <v>2601</v>
      </c>
      <c r="E1533" s="360">
        <f>'[5]COSTO CDMX,QRO,GDL '!I1527</f>
        <v>13380.116959064328</v>
      </c>
      <c r="F1533" s="217" t="s">
        <v>1928</v>
      </c>
    </row>
    <row r="1534" spans="1:6" ht="14.25" customHeight="1">
      <c r="A1534" s="302"/>
      <c r="B1534" s="219" t="s">
        <v>2602</v>
      </c>
      <c r="C1534" s="454" t="s">
        <v>2593</v>
      </c>
      <c r="D1534" s="226" t="s">
        <v>2603</v>
      </c>
      <c r="E1534" s="360">
        <f>'[5]COSTO CDMX,QRO,GDL '!I1528</f>
        <v>13380.116959064328</v>
      </c>
      <c r="F1534" s="217" t="s">
        <v>1928</v>
      </c>
    </row>
    <row r="1535" spans="1:6" ht="14.25" customHeight="1">
      <c r="A1535" s="302"/>
      <c r="B1535" s="219" t="s">
        <v>2604</v>
      </c>
      <c r="C1535" s="244"/>
      <c r="D1535" s="226" t="s">
        <v>2605</v>
      </c>
      <c r="E1535" s="360">
        <f>'[5]COSTO CDMX,QRO,GDL '!I1529</f>
        <v>13380.116959064328</v>
      </c>
      <c r="F1535" s="217" t="s">
        <v>1928</v>
      </c>
    </row>
    <row r="1536" spans="1:6" ht="14.25" customHeight="1">
      <c r="A1536" s="302"/>
      <c r="B1536" s="457"/>
      <c r="C1536" s="244"/>
      <c r="D1536" s="226"/>
      <c r="E1536" s="360"/>
      <c r="F1536" s="228"/>
    </row>
    <row r="1537" spans="1:60" ht="14.25" customHeight="1">
      <c r="A1537" s="302"/>
      <c r="B1537" s="457"/>
      <c r="C1537" s="244"/>
      <c r="D1537" s="226"/>
      <c r="E1537" s="360"/>
      <c r="F1537" s="228"/>
    </row>
    <row r="1538" spans="1:60" ht="14.25" customHeight="1">
      <c r="A1538" s="302"/>
      <c r="B1538" s="323"/>
      <c r="C1538" s="244"/>
      <c r="D1538" s="226"/>
      <c r="E1538" s="360"/>
      <c r="F1538" s="228"/>
    </row>
    <row r="1539" spans="1:60" ht="14.25" customHeight="1">
      <c r="A1539" s="302"/>
      <c r="B1539" s="323"/>
      <c r="C1539" s="244"/>
      <c r="D1539" s="226"/>
      <c r="E1539" s="360"/>
      <c r="F1539" s="228"/>
    </row>
    <row r="1540" spans="1:60" ht="14.25" customHeight="1">
      <c r="A1540" s="302"/>
      <c r="B1540" s="323"/>
      <c r="C1540" s="244"/>
      <c r="D1540" s="226"/>
      <c r="E1540" s="360"/>
      <c r="F1540" s="228"/>
    </row>
    <row r="1541" spans="1:60" s="184" customFormat="1" ht="15" customHeight="1">
      <c r="A1541" s="232" t="s">
        <v>2013</v>
      </c>
      <c r="B1541" s="233"/>
      <c r="C1541" s="1524" t="s">
        <v>2606</v>
      </c>
      <c r="D1541" s="232"/>
      <c r="E1541" s="235"/>
      <c r="F1541" s="384"/>
      <c r="G1541" s="183"/>
      <c r="H1541" s="183"/>
      <c r="I1541" s="183"/>
      <c r="J1541" s="183"/>
      <c r="K1541" s="183"/>
      <c r="L1541" s="183"/>
      <c r="M1541" s="183"/>
      <c r="N1541" s="190"/>
      <c r="O1541" s="190"/>
      <c r="P1541" s="190"/>
      <c r="Q1541" s="190"/>
      <c r="R1541" s="190"/>
      <c r="S1541" s="190"/>
      <c r="T1541" s="190"/>
      <c r="U1541" s="190"/>
      <c r="V1541" s="190"/>
      <c r="W1541" s="190"/>
      <c r="X1541" s="190"/>
      <c r="Y1541" s="190"/>
      <c r="Z1541" s="190"/>
      <c r="AA1541" s="190"/>
      <c r="AB1541" s="190"/>
      <c r="AC1541" s="190"/>
      <c r="AD1541" s="190"/>
      <c r="AE1541" s="190"/>
      <c r="AF1541" s="190"/>
      <c r="AG1541" s="190"/>
      <c r="AH1541" s="190"/>
      <c r="AI1541" s="190"/>
      <c r="AJ1541" s="190"/>
      <c r="AK1541" s="190"/>
      <c r="AL1541" s="190"/>
      <c r="AM1541" s="190"/>
      <c r="AN1541" s="190"/>
      <c r="AO1541" s="190"/>
      <c r="AP1541" s="190"/>
      <c r="AQ1541" s="190"/>
      <c r="AR1541" s="190"/>
      <c r="AS1541" s="190"/>
      <c r="AT1541" s="190"/>
      <c r="AU1541" s="190"/>
      <c r="AV1541" s="190"/>
      <c r="AW1541" s="190"/>
      <c r="AX1541" s="190"/>
      <c r="AY1541" s="190"/>
      <c r="AZ1541" s="190"/>
      <c r="BA1541" s="190"/>
      <c r="BB1541" s="190"/>
      <c r="BC1541" s="190"/>
      <c r="BD1541" s="190"/>
      <c r="BE1541" s="190"/>
      <c r="BF1541" s="190"/>
      <c r="BG1541" s="190"/>
      <c r="BH1541" s="190"/>
    </row>
    <row r="1542" spans="1:60" s="198" customFormat="1" ht="15" customHeight="1">
      <c r="A1542" s="237" t="s">
        <v>1669</v>
      </c>
      <c r="B1542" s="238"/>
      <c r="C1542" s="1525"/>
      <c r="D1542" s="285"/>
      <c r="E1542" s="286"/>
      <c r="F1542" s="385"/>
      <c r="G1542" s="196"/>
      <c r="H1542" s="196"/>
      <c r="I1542" s="196"/>
      <c r="J1542" s="196"/>
      <c r="K1542" s="196"/>
      <c r="L1542" s="196"/>
      <c r="M1542" s="196"/>
      <c r="N1542" s="197"/>
      <c r="O1542" s="197"/>
      <c r="P1542" s="197"/>
      <c r="Q1542" s="197"/>
      <c r="R1542" s="197"/>
      <c r="S1542" s="197"/>
      <c r="T1542" s="197"/>
      <c r="U1542" s="197"/>
      <c r="V1542" s="197"/>
      <c r="W1542" s="197"/>
      <c r="X1542" s="197"/>
      <c r="Y1542" s="197"/>
      <c r="Z1542" s="197"/>
      <c r="AA1542" s="197"/>
      <c r="AB1542" s="197"/>
      <c r="AC1542" s="197"/>
      <c r="AD1542" s="197"/>
      <c r="AE1542" s="197"/>
      <c r="AF1542" s="197"/>
      <c r="AG1542" s="197"/>
      <c r="AH1542" s="197"/>
      <c r="AI1542" s="197"/>
      <c r="AJ1542" s="197"/>
      <c r="AK1542" s="197"/>
      <c r="AL1542" s="197"/>
      <c r="AM1542" s="197"/>
      <c r="AN1542" s="197"/>
      <c r="AO1542" s="197"/>
      <c r="AP1542" s="197"/>
      <c r="AQ1542" s="197"/>
      <c r="AR1542" s="197"/>
      <c r="AS1542" s="197"/>
      <c r="AT1542" s="197"/>
      <c r="AU1542" s="197"/>
      <c r="AV1542" s="197"/>
      <c r="AW1542" s="197"/>
      <c r="AX1542" s="197"/>
      <c r="AY1542" s="197"/>
      <c r="AZ1542" s="197"/>
      <c r="BA1542" s="197"/>
      <c r="BB1542" s="197"/>
      <c r="BC1542" s="197"/>
      <c r="BD1542" s="197"/>
      <c r="BE1542" s="197"/>
      <c r="BF1542" s="197"/>
      <c r="BG1542" s="197"/>
      <c r="BH1542" s="197"/>
    </row>
    <row r="1543" spans="1:60" s="204" customFormat="1">
      <c r="A1543" s="199" t="s">
        <v>512</v>
      </c>
      <c r="B1543" s="200" t="s">
        <v>513</v>
      </c>
      <c r="C1543" s="201" t="s">
        <v>514</v>
      </c>
      <c r="D1543" s="199" t="s">
        <v>515</v>
      </c>
      <c r="E1543" s="202" t="s">
        <v>516</v>
      </c>
      <c r="F1543" s="203" t="s">
        <v>1670</v>
      </c>
      <c r="G1543" s="184"/>
      <c r="N1543" s="205"/>
      <c r="O1543" s="205"/>
      <c r="P1543" s="205"/>
      <c r="Q1543" s="205"/>
      <c r="R1543" s="205"/>
      <c r="S1543" s="205"/>
      <c r="T1543" s="205"/>
      <c r="U1543" s="205"/>
      <c r="V1543" s="205"/>
      <c r="W1543" s="205"/>
      <c r="X1543" s="205"/>
      <c r="Y1543" s="205"/>
      <c r="Z1543" s="205"/>
      <c r="AA1543" s="205"/>
      <c r="AB1543" s="205"/>
      <c r="AC1543" s="205"/>
      <c r="AD1543" s="205"/>
      <c r="AE1543" s="205"/>
      <c r="AF1543" s="205"/>
      <c r="AG1543" s="205"/>
      <c r="AH1543" s="205"/>
      <c r="AI1543" s="205"/>
      <c r="AJ1543" s="205"/>
      <c r="AK1543" s="205"/>
      <c r="AL1543" s="205"/>
      <c r="AM1543" s="205"/>
      <c r="AN1543" s="205"/>
      <c r="AO1543" s="205"/>
      <c r="AP1543" s="205"/>
      <c r="AQ1543" s="205"/>
      <c r="AR1543" s="205"/>
      <c r="AS1543" s="205"/>
      <c r="AT1543" s="205"/>
      <c r="AU1543" s="205"/>
      <c r="AV1543" s="205"/>
      <c r="AW1543" s="205"/>
      <c r="AX1543" s="205"/>
      <c r="AY1543" s="205"/>
      <c r="AZ1543" s="205"/>
      <c r="BA1543" s="205"/>
      <c r="BB1543" s="205"/>
      <c r="BC1543" s="205"/>
      <c r="BD1543" s="205"/>
      <c r="BE1543" s="205"/>
      <c r="BF1543" s="205"/>
      <c r="BG1543" s="205"/>
      <c r="BH1543" s="205"/>
    </row>
    <row r="1544" spans="1:60" ht="14.25" customHeight="1">
      <c r="A1544" s="245"/>
      <c r="B1544" s="315"/>
      <c r="C1544" s="316" t="s">
        <v>2607</v>
      </c>
      <c r="D1544" s="317"/>
      <c r="E1544" s="450"/>
      <c r="F1544" s="249"/>
    </row>
    <row r="1545" spans="1:60" ht="14.25" customHeight="1">
      <c r="A1545" s="212"/>
      <c r="B1545" s="213" t="s">
        <v>2608</v>
      </c>
      <c r="C1545" s="1527" t="s">
        <v>2609</v>
      </c>
      <c r="D1545" s="226" t="s">
        <v>2610</v>
      </c>
      <c r="E1545" s="360">
        <f>'[5]COSTO CDMX,QRO,GDL '!I1539</f>
        <v>3006.5122807017547</v>
      </c>
      <c r="F1545" s="217" t="s">
        <v>284</v>
      </c>
    </row>
    <row r="1546" spans="1:60" ht="14.25" customHeight="1">
      <c r="A1546" s="212"/>
      <c r="B1546" s="221"/>
      <c r="C1546" s="1527"/>
      <c r="D1546" s="226"/>
      <c r="E1546" s="360"/>
      <c r="F1546" s="284"/>
    </row>
    <row r="1547" spans="1:60" ht="14.25" customHeight="1">
      <c r="A1547" s="212"/>
      <c r="B1547" s="221"/>
      <c r="C1547" s="1527"/>
      <c r="D1547" s="226"/>
      <c r="E1547" s="360"/>
      <c r="F1547" s="284"/>
    </row>
    <row r="1548" spans="1:60" ht="14.25" customHeight="1">
      <c r="A1548" s="212"/>
      <c r="B1548" s="221"/>
      <c r="C1548" s="367"/>
      <c r="D1548" s="226"/>
      <c r="E1548" s="360"/>
      <c r="F1548" s="284"/>
    </row>
    <row r="1549" spans="1:60" ht="14.25" customHeight="1">
      <c r="A1549" s="212"/>
      <c r="B1549" s="221"/>
      <c r="C1549" s="458"/>
      <c r="D1549" s="226"/>
      <c r="E1549" s="360"/>
      <c r="F1549" s="284"/>
    </row>
    <row r="1550" spans="1:60" ht="14.25" customHeight="1">
      <c r="A1550" s="212"/>
      <c r="B1550" s="221"/>
      <c r="C1550" s="458"/>
      <c r="D1550" s="226"/>
      <c r="E1550" s="360"/>
      <c r="F1550" s="284"/>
    </row>
    <row r="1551" spans="1:60" ht="14.25" customHeight="1">
      <c r="A1551" s="212"/>
      <c r="B1551" s="221"/>
      <c r="C1551" s="458"/>
      <c r="D1551" s="226"/>
      <c r="E1551" s="360"/>
      <c r="F1551" s="284"/>
    </row>
    <row r="1552" spans="1:60" ht="14.25" customHeight="1">
      <c r="A1552" s="212"/>
      <c r="B1552" s="221"/>
      <c r="C1552" s="339"/>
      <c r="D1552" s="226"/>
      <c r="E1552" s="360"/>
      <c r="F1552" s="284"/>
    </row>
    <row r="1553" spans="1:9" ht="14.25" customHeight="1">
      <c r="A1553" s="212"/>
      <c r="B1553" s="221"/>
      <c r="C1553" s="339"/>
      <c r="D1553" s="226"/>
      <c r="E1553" s="360"/>
      <c r="F1553" s="284"/>
    </row>
    <row r="1554" spans="1:9" ht="14.25" customHeight="1">
      <c r="A1554" s="212"/>
      <c r="B1554" s="221"/>
      <c r="C1554" s="339"/>
      <c r="D1554" s="226"/>
      <c r="E1554" s="360"/>
      <c r="F1554" s="284"/>
    </row>
    <row r="1555" spans="1:9" ht="14.25" customHeight="1">
      <c r="A1555" s="245"/>
      <c r="B1555" s="315"/>
      <c r="C1555" s="316" t="s">
        <v>2611</v>
      </c>
      <c r="D1555" s="247"/>
      <c r="E1555" s="317"/>
      <c r="F1555" s="249"/>
    </row>
    <row r="1556" spans="1:9" ht="14.25" customHeight="1">
      <c r="A1556" s="212"/>
      <c r="B1556" s="213" t="s">
        <v>2612</v>
      </c>
      <c r="C1556" s="295" t="s">
        <v>2613</v>
      </c>
      <c r="D1556" s="226" t="s">
        <v>2614</v>
      </c>
      <c r="E1556" s="360">
        <f>'[5]COSTO CDMX,QRO,GDL '!I1550</f>
        <v>4578.7974209026843</v>
      </c>
      <c r="F1556" s="217" t="s">
        <v>284</v>
      </c>
      <c r="I1556" s="459"/>
    </row>
    <row r="1557" spans="1:9" ht="14.25" customHeight="1">
      <c r="A1557" s="212"/>
      <c r="B1557" s="221" t="s">
        <v>2615</v>
      </c>
      <c r="C1557" s="295" t="s">
        <v>2616</v>
      </c>
      <c r="D1557" s="226" t="s">
        <v>2617</v>
      </c>
      <c r="E1557" s="360">
        <f>'[5]COSTO CDMX,QRO,GDL '!I1551</f>
        <v>5140.9206777627833</v>
      </c>
      <c r="F1557" s="217" t="s">
        <v>284</v>
      </c>
      <c r="I1557" s="459"/>
    </row>
    <row r="1558" spans="1:9" ht="14.25" customHeight="1">
      <c r="A1558" s="212"/>
      <c r="B1558" s="221" t="s">
        <v>2618</v>
      </c>
      <c r="C1558" s="295" t="s">
        <v>2619</v>
      </c>
      <c r="D1558" s="226" t="s">
        <v>2620</v>
      </c>
      <c r="E1558" s="360">
        <f>'[5]COSTO CDMX,QRO,GDL '!I1552</f>
        <v>6201.8293597240972</v>
      </c>
      <c r="F1558" s="217" t="s">
        <v>284</v>
      </c>
      <c r="I1558" s="459"/>
    </row>
    <row r="1559" spans="1:9" ht="14.25" customHeight="1">
      <c r="A1559" s="212"/>
      <c r="B1559" s="221"/>
      <c r="C1559" s="295"/>
      <c r="D1559" s="226"/>
      <c r="E1559" s="360"/>
      <c r="F1559" s="228"/>
    </row>
    <row r="1560" spans="1:9" ht="14.25" customHeight="1">
      <c r="A1560" s="212"/>
      <c r="B1560" s="221"/>
      <c r="C1560" s="244"/>
      <c r="D1560" s="226"/>
      <c r="E1560" s="360"/>
      <c r="F1560" s="228"/>
    </row>
    <row r="1561" spans="1:9" ht="14.25" customHeight="1">
      <c r="A1561" s="212"/>
      <c r="B1561" s="221"/>
      <c r="C1561" s="244"/>
      <c r="D1561" s="226"/>
      <c r="E1561" s="360"/>
      <c r="F1561" s="228"/>
    </row>
    <row r="1562" spans="1:9" ht="14.25" customHeight="1">
      <c r="A1562" s="212"/>
      <c r="B1562" s="221"/>
      <c r="C1562" s="244"/>
      <c r="D1562" s="226"/>
      <c r="E1562" s="360"/>
      <c r="F1562" s="228"/>
    </row>
    <row r="1563" spans="1:9" ht="14.25" customHeight="1">
      <c r="A1563" s="212"/>
      <c r="B1563" s="221"/>
      <c r="C1563" s="244"/>
      <c r="D1563" s="226"/>
      <c r="E1563" s="360"/>
      <c r="F1563" s="228"/>
    </row>
    <row r="1564" spans="1:9" ht="14.25" customHeight="1">
      <c r="A1564" s="212"/>
      <c r="B1564" s="221"/>
      <c r="C1564" s="244"/>
      <c r="D1564" s="226"/>
      <c r="E1564" s="360"/>
      <c r="F1564" s="228"/>
    </row>
    <row r="1565" spans="1:9" ht="14.25" customHeight="1">
      <c r="A1565" s="212"/>
      <c r="B1565" s="221"/>
      <c r="C1565" s="244"/>
      <c r="D1565" s="226"/>
      <c r="E1565" s="360"/>
      <c r="F1565" s="228"/>
    </row>
    <row r="1566" spans="1:9" ht="14.25" customHeight="1">
      <c r="A1566" s="212"/>
      <c r="B1566" s="221"/>
      <c r="C1566" s="244"/>
      <c r="D1566" s="226"/>
      <c r="E1566" s="360"/>
      <c r="F1566" s="228"/>
    </row>
    <row r="1567" spans="1:9" ht="14.25" customHeight="1">
      <c r="A1567" s="342"/>
      <c r="B1567" s="224"/>
      <c r="C1567" s="460"/>
      <c r="D1567" s="306"/>
      <c r="E1567" s="360"/>
      <c r="F1567" s="228"/>
    </row>
    <row r="1568" spans="1:9" ht="14.25" customHeight="1">
      <c r="A1568" s="245"/>
      <c r="B1568" s="315"/>
      <c r="C1568" s="316" t="s">
        <v>2621</v>
      </c>
      <c r="D1568" s="247"/>
      <c r="E1568" s="317"/>
      <c r="F1568" s="249"/>
    </row>
    <row r="1569" spans="1:8" ht="14.25" customHeight="1">
      <c r="A1569" s="212"/>
      <c r="B1569" s="213" t="s">
        <v>2622</v>
      </c>
      <c r="C1569" s="295" t="s">
        <v>2623</v>
      </c>
      <c r="D1569" s="226" t="s">
        <v>2624</v>
      </c>
      <c r="E1569" s="360">
        <f>'[5]COSTO CDMX,QRO,GDL '!I1563</f>
        <v>4863.1578947368425</v>
      </c>
      <c r="F1569" s="217" t="s">
        <v>1928</v>
      </c>
    </row>
    <row r="1570" spans="1:8" ht="14.25" customHeight="1">
      <c r="A1570" s="212"/>
      <c r="B1570" s="221"/>
      <c r="C1570" s="295" t="s">
        <v>2616</v>
      </c>
      <c r="D1570" s="226"/>
      <c r="E1570" s="360"/>
      <c r="F1570" s="228"/>
    </row>
    <row r="1571" spans="1:8" ht="14.25" customHeight="1">
      <c r="A1571" s="212"/>
      <c r="B1571" s="221"/>
      <c r="C1571" s="295" t="s">
        <v>2619</v>
      </c>
      <c r="D1571" s="226"/>
      <c r="E1571" s="360"/>
      <c r="F1571" s="228"/>
    </row>
    <row r="1572" spans="1:8" ht="14.25" customHeight="1">
      <c r="A1572" s="212"/>
      <c r="B1572" s="221"/>
      <c r="C1572" s="295"/>
      <c r="D1572" s="226"/>
      <c r="E1572" s="360"/>
      <c r="F1572" s="228"/>
    </row>
    <row r="1573" spans="1:8" ht="14.25" customHeight="1">
      <c r="A1573" s="212"/>
      <c r="B1573" s="221"/>
      <c r="C1573" s="244"/>
      <c r="D1573" s="226"/>
      <c r="E1573" s="360"/>
      <c r="F1573" s="228"/>
    </row>
    <row r="1574" spans="1:8" ht="14.25" customHeight="1">
      <c r="A1574" s="212"/>
      <c r="B1574" s="221"/>
      <c r="C1574" s="244"/>
      <c r="D1574" s="226"/>
      <c r="E1574" s="360"/>
      <c r="F1574" s="228"/>
    </row>
    <row r="1575" spans="1:8" ht="14.25" customHeight="1">
      <c r="A1575" s="212"/>
      <c r="B1575" s="221"/>
      <c r="C1575" s="244"/>
      <c r="D1575" s="226"/>
      <c r="E1575" s="360"/>
      <c r="F1575" s="228"/>
    </row>
    <row r="1576" spans="1:8" ht="14.25" customHeight="1">
      <c r="A1576" s="212"/>
      <c r="B1576" s="221"/>
      <c r="C1576" s="244"/>
      <c r="D1576" s="226"/>
      <c r="E1576" s="360"/>
      <c r="F1576" s="228"/>
    </row>
    <row r="1577" spans="1:8" ht="14.25" customHeight="1">
      <c r="A1577" s="212"/>
      <c r="B1577" s="221"/>
      <c r="C1577" s="244"/>
      <c r="D1577" s="226"/>
      <c r="E1577" s="360"/>
      <c r="F1577" s="228"/>
    </row>
    <row r="1578" spans="1:8" ht="14.25" customHeight="1">
      <c r="A1578" s="342"/>
      <c r="B1578" s="224"/>
      <c r="C1578" s="460"/>
      <c r="D1578" s="306"/>
      <c r="E1578" s="360"/>
      <c r="F1578" s="228"/>
    </row>
    <row r="1579" spans="1:8" ht="14.25" customHeight="1">
      <c r="A1579" s="245"/>
      <c r="B1579" s="315"/>
      <c r="C1579" s="316" t="s">
        <v>2625</v>
      </c>
      <c r="D1579" s="247"/>
      <c r="E1579" s="317"/>
      <c r="F1579" s="249"/>
    </row>
    <row r="1580" spans="1:8" ht="14.25" customHeight="1">
      <c r="A1580" s="212"/>
      <c r="B1580" s="213" t="s">
        <v>2626</v>
      </c>
      <c r="C1580" s="393" t="s">
        <v>2627</v>
      </c>
      <c r="D1580" s="226" t="s">
        <v>2628</v>
      </c>
      <c r="E1580" s="360">
        <f>'[5]COSTO CDMX,QRO,GDL '!I1574</f>
        <v>4334.6725597523227</v>
      </c>
      <c r="F1580" s="217" t="s">
        <v>1928</v>
      </c>
      <c r="H1580" s="461"/>
    </row>
    <row r="1581" spans="1:8" ht="14.25" customHeight="1">
      <c r="A1581" s="212"/>
      <c r="B1581" s="221"/>
      <c r="C1581" s="295" t="s">
        <v>2629</v>
      </c>
      <c r="D1581" s="226"/>
      <c r="E1581" s="360"/>
      <c r="F1581" s="228"/>
    </row>
    <row r="1582" spans="1:8" ht="14.25" customHeight="1">
      <c r="A1582" s="212"/>
      <c r="B1582" s="221"/>
      <c r="C1582" s="295" t="s">
        <v>2630</v>
      </c>
      <c r="D1582" s="226"/>
      <c r="E1582" s="360"/>
      <c r="F1582" s="228"/>
    </row>
    <row r="1583" spans="1:8" ht="14.25" customHeight="1">
      <c r="A1583" s="212"/>
      <c r="B1583" s="221"/>
      <c r="C1583" s="292" t="s">
        <v>2631</v>
      </c>
      <c r="D1583" s="226"/>
      <c r="E1583" s="360"/>
      <c r="F1583" s="228"/>
    </row>
    <row r="1584" spans="1:8" ht="14.25" customHeight="1">
      <c r="A1584" s="212"/>
      <c r="B1584" s="221"/>
      <c r="C1584" s="292" t="s">
        <v>2632</v>
      </c>
      <c r="D1584" s="226"/>
      <c r="E1584" s="360"/>
      <c r="F1584" s="228"/>
    </row>
    <row r="1585" spans="1:8" ht="14.25" customHeight="1">
      <c r="A1585" s="212"/>
      <c r="B1585" s="221"/>
      <c r="C1585" s="387"/>
      <c r="D1585" s="226"/>
      <c r="E1585" s="360"/>
      <c r="F1585" s="228"/>
    </row>
    <row r="1586" spans="1:8" ht="14.25" customHeight="1">
      <c r="A1586" s="212"/>
      <c r="B1586" s="221"/>
      <c r="C1586" s="387"/>
      <c r="D1586" s="226"/>
      <c r="E1586" s="360"/>
      <c r="F1586" s="228"/>
      <c r="H1586" s="461"/>
    </row>
    <row r="1587" spans="1:8" ht="14.25" customHeight="1">
      <c r="A1587" s="212"/>
      <c r="B1587" s="221"/>
      <c r="C1587" s="295"/>
      <c r="D1587" s="226"/>
      <c r="E1587" s="360"/>
      <c r="F1587" s="228"/>
    </row>
    <row r="1588" spans="1:8" ht="14.25" customHeight="1">
      <c r="A1588" s="245"/>
      <c r="B1588" s="315"/>
      <c r="C1588" s="316" t="s">
        <v>2625</v>
      </c>
      <c r="D1588" s="247"/>
      <c r="E1588" s="317"/>
      <c r="F1588" s="249"/>
    </row>
    <row r="1589" spans="1:8" ht="14.25" customHeight="1">
      <c r="A1589" s="212"/>
      <c r="B1589" s="213" t="s">
        <v>2633</v>
      </c>
      <c r="C1589" s="393" t="s">
        <v>2634</v>
      </c>
      <c r="D1589" s="226" t="s">
        <v>2635</v>
      </c>
      <c r="E1589" s="360">
        <f>'[5]COSTO CDMX,QRO,GDL '!I1583</f>
        <v>5475.7778229102169</v>
      </c>
      <c r="F1589" s="217" t="s">
        <v>1928</v>
      </c>
    </row>
    <row r="1590" spans="1:8" ht="14.25" customHeight="1">
      <c r="A1590" s="212"/>
      <c r="B1590" s="221"/>
      <c r="C1590" s="295" t="s">
        <v>2636</v>
      </c>
      <c r="D1590" s="226"/>
      <c r="E1590" s="360"/>
      <c r="F1590" s="228"/>
    </row>
    <row r="1591" spans="1:8" ht="14.25" customHeight="1">
      <c r="A1591" s="212"/>
      <c r="B1591" s="221"/>
      <c r="C1591" s="295" t="s">
        <v>2630</v>
      </c>
      <c r="D1591" s="226"/>
      <c r="E1591" s="360"/>
      <c r="F1591" s="228"/>
    </row>
    <row r="1592" spans="1:8" ht="14.25" customHeight="1">
      <c r="A1592" s="212"/>
      <c r="B1592" s="221"/>
      <c r="C1592" s="292" t="s">
        <v>2637</v>
      </c>
      <c r="D1592" s="226"/>
      <c r="E1592" s="360"/>
      <c r="F1592" s="228"/>
      <c r="H1592" s="461"/>
    </row>
    <row r="1593" spans="1:8" ht="14.25" customHeight="1">
      <c r="A1593" s="212"/>
      <c r="B1593" s="221"/>
      <c r="C1593" s="292" t="s">
        <v>2638</v>
      </c>
      <c r="D1593" s="226"/>
      <c r="E1593" s="360"/>
      <c r="F1593" s="228"/>
    </row>
    <row r="1594" spans="1:8" ht="14.25" customHeight="1">
      <c r="A1594" s="212"/>
      <c r="B1594" s="221"/>
      <c r="C1594" s="387"/>
      <c r="D1594" s="226"/>
      <c r="E1594" s="360"/>
      <c r="F1594" s="228"/>
    </row>
    <row r="1595" spans="1:8" ht="14.25" customHeight="1">
      <c r="A1595" s="212"/>
      <c r="B1595" s="221"/>
      <c r="C1595" s="244"/>
      <c r="D1595" s="226"/>
      <c r="E1595" s="360"/>
      <c r="F1595" s="228"/>
    </row>
    <row r="1596" spans="1:8" ht="14.25" customHeight="1">
      <c r="A1596" s="212"/>
      <c r="B1596" s="221"/>
      <c r="C1596" s="244"/>
      <c r="D1596" s="226"/>
      <c r="E1596" s="360"/>
      <c r="F1596" s="228"/>
    </row>
    <row r="1597" spans="1:8" ht="14.25" customHeight="1">
      <c r="A1597" s="245"/>
      <c r="B1597" s="315"/>
      <c r="C1597" s="316" t="s">
        <v>2639</v>
      </c>
      <c r="D1597" s="247"/>
      <c r="E1597" s="317"/>
      <c r="F1597" s="249"/>
    </row>
    <row r="1598" spans="1:8" ht="14.25" customHeight="1">
      <c r="A1598" s="212"/>
      <c r="B1598" s="213" t="s">
        <v>2640</v>
      </c>
      <c r="C1598" s="393" t="s">
        <v>2641</v>
      </c>
      <c r="D1598" s="226" t="s">
        <v>2642</v>
      </c>
      <c r="E1598" s="360">
        <f>'[5]COSTO CDMX,QRO,GDL '!I1592</f>
        <v>4569.9060000000018</v>
      </c>
      <c r="F1598" s="217" t="s">
        <v>1928</v>
      </c>
      <c r="H1598" s="461"/>
    </row>
    <row r="1599" spans="1:8" ht="14.25" customHeight="1">
      <c r="A1599" s="212"/>
      <c r="B1599" s="221"/>
      <c r="C1599" s="295" t="s">
        <v>2636</v>
      </c>
      <c r="D1599" s="226"/>
      <c r="E1599" s="360"/>
      <c r="F1599" s="228"/>
    </row>
    <row r="1600" spans="1:8" ht="14.25" customHeight="1">
      <c r="A1600" s="212"/>
      <c r="B1600" s="221"/>
      <c r="C1600" s="295" t="s">
        <v>2630</v>
      </c>
      <c r="D1600" s="226"/>
      <c r="E1600" s="360"/>
      <c r="F1600" s="228"/>
    </row>
    <row r="1601" spans="1:6" ht="14.25" customHeight="1">
      <c r="A1601" s="212"/>
      <c r="B1601" s="221"/>
      <c r="C1601" s="292" t="s">
        <v>2631</v>
      </c>
      <c r="D1601" s="226"/>
      <c r="E1601" s="360"/>
      <c r="F1601" s="228"/>
    </row>
    <row r="1602" spans="1:6" ht="14.25" customHeight="1">
      <c r="A1602" s="212"/>
      <c r="B1602" s="221"/>
      <c r="C1602" s="292" t="s">
        <v>2632</v>
      </c>
      <c r="D1602" s="226"/>
      <c r="E1602" s="360"/>
      <c r="F1602" s="228"/>
    </row>
    <row r="1603" spans="1:6" ht="14.25" customHeight="1">
      <c r="A1603" s="212"/>
      <c r="B1603" s="221"/>
      <c r="C1603" s="295"/>
      <c r="D1603" s="226"/>
      <c r="E1603" s="360"/>
      <c r="F1603" s="228"/>
    </row>
    <row r="1604" spans="1:6" ht="14.25" customHeight="1">
      <c r="A1604" s="212"/>
      <c r="B1604" s="221"/>
      <c r="C1604" s="244"/>
      <c r="D1604" s="226"/>
      <c r="E1604" s="360"/>
      <c r="F1604" s="228"/>
    </row>
    <row r="1605" spans="1:6" ht="14.25" customHeight="1">
      <c r="A1605" s="212"/>
      <c r="B1605" s="221"/>
      <c r="C1605" s="244"/>
      <c r="D1605" s="226"/>
      <c r="E1605" s="360"/>
      <c r="F1605" s="228"/>
    </row>
    <row r="1606" spans="1:6" ht="14.25" customHeight="1">
      <c r="A1606" s="212"/>
      <c r="B1606" s="221"/>
      <c r="C1606" s="244"/>
      <c r="D1606" s="226"/>
      <c r="E1606" s="360"/>
      <c r="F1606" s="228"/>
    </row>
    <row r="1607" spans="1:6" ht="14.25" customHeight="1">
      <c r="A1607" s="212"/>
      <c r="B1607" s="221"/>
      <c r="C1607" s="244"/>
      <c r="D1607" s="226"/>
      <c r="E1607" s="360"/>
      <c r="F1607" s="228"/>
    </row>
    <row r="1608" spans="1:6" ht="14.25" customHeight="1">
      <c r="A1608" s="245"/>
      <c r="B1608" s="315"/>
      <c r="C1608" s="316" t="s">
        <v>2643</v>
      </c>
      <c r="D1608" s="247"/>
      <c r="E1608" s="317"/>
      <c r="F1608" s="249"/>
    </row>
    <row r="1609" spans="1:6" ht="14.25" customHeight="1">
      <c r="A1609" s="212"/>
      <c r="B1609" s="213" t="s">
        <v>2644</v>
      </c>
      <c r="C1609" s="393" t="s">
        <v>2645</v>
      </c>
      <c r="D1609" s="226" t="s">
        <v>2646</v>
      </c>
      <c r="E1609" s="360">
        <f>'[5]COSTO CDMX,QRO,GDL '!I1603</f>
        <v>5711.0112631578959</v>
      </c>
      <c r="F1609" s="217" t="s">
        <v>1928</v>
      </c>
    </row>
    <row r="1610" spans="1:6" ht="14.25" customHeight="1">
      <c r="A1610" s="212"/>
      <c r="B1610" s="221"/>
      <c r="C1610" s="295" t="s">
        <v>2636</v>
      </c>
      <c r="D1610" s="226"/>
      <c r="E1610" s="360"/>
      <c r="F1610" s="228"/>
    </row>
    <row r="1611" spans="1:6" ht="14.25" customHeight="1">
      <c r="A1611" s="212"/>
      <c r="B1611" s="221"/>
      <c r="C1611" s="295" t="s">
        <v>2630</v>
      </c>
      <c r="D1611" s="226"/>
      <c r="E1611" s="360"/>
      <c r="F1611" s="228"/>
    </row>
    <row r="1612" spans="1:6" ht="14.25" customHeight="1">
      <c r="A1612" s="212"/>
      <c r="B1612" s="221"/>
      <c r="C1612" s="292" t="s">
        <v>2637</v>
      </c>
      <c r="D1612" s="226"/>
      <c r="E1612" s="360"/>
      <c r="F1612" s="228"/>
    </row>
    <row r="1613" spans="1:6" ht="14.25" customHeight="1">
      <c r="A1613" s="212"/>
      <c r="B1613" s="221"/>
      <c r="C1613" s="292" t="s">
        <v>2638</v>
      </c>
      <c r="D1613" s="226"/>
      <c r="E1613" s="360"/>
      <c r="F1613" s="228"/>
    </row>
    <row r="1614" spans="1:6" ht="14.25" customHeight="1">
      <c r="A1614" s="212"/>
      <c r="B1614" s="221"/>
      <c r="C1614" s="244"/>
      <c r="D1614" s="226"/>
      <c r="E1614" s="360"/>
      <c r="F1614" s="228"/>
    </row>
    <row r="1615" spans="1:6" ht="14.25" customHeight="1">
      <c r="A1615" s="212"/>
      <c r="B1615" s="221"/>
      <c r="C1615" s="295"/>
      <c r="D1615" s="226"/>
      <c r="E1615" s="360"/>
      <c r="F1615" s="228"/>
    </row>
    <row r="1616" spans="1:6" ht="14.25" customHeight="1">
      <c r="A1616" s="212"/>
      <c r="B1616" s="221"/>
      <c r="C1616" s="244"/>
      <c r="D1616" s="226"/>
      <c r="E1616" s="360"/>
      <c r="F1616" s="228"/>
    </row>
    <row r="1617" spans="1:9" ht="14.25" customHeight="1">
      <c r="A1617" s="212"/>
      <c r="B1617" s="221"/>
      <c r="C1617" s="244"/>
      <c r="D1617" s="226"/>
      <c r="E1617" s="360"/>
      <c r="F1617" s="228"/>
    </row>
    <row r="1618" spans="1:9" ht="14.25" customHeight="1">
      <c r="A1618" s="212"/>
      <c r="B1618" s="221"/>
      <c r="C1618" s="244"/>
      <c r="D1618" s="226"/>
      <c r="E1618" s="360"/>
      <c r="F1618" s="228"/>
    </row>
    <row r="1619" spans="1:9" ht="14.25" customHeight="1">
      <c r="A1619" s="245"/>
      <c r="B1619" s="315"/>
      <c r="C1619" s="316" t="s">
        <v>2643</v>
      </c>
      <c r="D1619" s="247"/>
      <c r="E1619" s="317"/>
      <c r="F1619" s="317"/>
    </row>
    <row r="1620" spans="1:9" ht="14.25" customHeight="1">
      <c r="A1620" s="212"/>
      <c r="B1620" s="213" t="s">
        <v>2647</v>
      </c>
      <c r="C1620" s="393" t="s">
        <v>2648</v>
      </c>
      <c r="D1620" s="226" t="s">
        <v>2649</v>
      </c>
      <c r="E1620" s="360">
        <f>'[5]COSTO CDMX,QRO,GDL '!I1614</f>
        <v>6913.3089473684222</v>
      </c>
      <c r="F1620" s="217" t="s">
        <v>1928</v>
      </c>
      <c r="I1620" s="461"/>
    </row>
    <row r="1621" spans="1:9" ht="14.25" customHeight="1">
      <c r="A1621" s="212"/>
      <c r="B1621" s="221"/>
      <c r="C1621" s="295" t="s">
        <v>2636</v>
      </c>
      <c r="D1621" s="226"/>
      <c r="E1621" s="360"/>
      <c r="F1621" s="228"/>
    </row>
    <row r="1622" spans="1:9" ht="14.25" customHeight="1">
      <c r="A1622" s="212"/>
      <c r="B1622" s="221"/>
      <c r="C1622" s="295" t="s">
        <v>2630</v>
      </c>
      <c r="D1622" s="226"/>
      <c r="E1622" s="360"/>
      <c r="F1622" s="228"/>
    </row>
    <row r="1623" spans="1:9" ht="14.25" customHeight="1">
      <c r="A1623" s="212"/>
      <c r="B1623" s="221"/>
      <c r="C1623" s="292" t="s">
        <v>2650</v>
      </c>
      <c r="D1623" s="226"/>
      <c r="E1623" s="360"/>
      <c r="F1623" s="228"/>
    </row>
    <row r="1624" spans="1:9" ht="14.25" customHeight="1">
      <c r="A1624" s="212"/>
      <c r="B1624" s="221"/>
      <c r="C1624" s="292" t="s">
        <v>2651</v>
      </c>
      <c r="D1624" s="226"/>
      <c r="E1624" s="360"/>
      <c r="F1624" s="228"/>
    </row>
    <row r="1625" spans="1:9" ht="14.25" customHeight="1">
      <c r="A1625" s="212"/>
      <c r="B1625" s="221"/>
      <c r="C1625" s="244"/>
      <c r="D1625" s="226"/>
      <c r="E1625" s="360"/>
      <c r="F1625" s="228"/>
    </row>
    <row r="1626" spans="1:9" ht="14.25" customHeight="1">
      <c r="A1626" s="212"/>
      <c r="B1626" s="221"/>
      <c r="C1626" s="295"/>
      <c r="D1626" s="226"/>
      <c r="E1626" s="360"/>
      <c r="F1626" s="228"/>
      <c r="I1626" s="461"/>
    </row>
    <row r="1627" spans="1:9" ht="14.25" customHeight="1">
      <c r="A1627" s="212"/>
      <c r="B1627" s="221"/>
      <c r="C1627" s="244"/>
      <c r="D1627" s="226"/>
      <c r="E1627" s="360"/>
      <c r="F1627" s="228"/>
    </row>
    <row r="1628" spans="1:9" ht="14.25" customHeight="1">
      <c r="A1628" s="212"/>
      <c r="B1628" s="221"/>
      <c r="C1628" s="244"/>
      <c r="D1628" s="226"/>
      <c r="E1628" s="360"/>
      <c r="F1628" s="228"/>
    </row>
    <row r="1629" spans="1:9" ht="14.25" customHeight="1">
      <c r="A1629" s="212"/>
      <c r="B1629" s="221"/>
      <c r="C1629" s="244"/>
      <c r="D1629" s="226"/>
      <c r="E1629" s="360"/>
      <c r="F1629" s="228"/>
    </row>
    <row r="1630" spans="1:9" ht="14.25" customHeight="1">
      <c r="A1630" s="212"/>
      <c r="B1630" s="221"/>
      <c r="C1630" s="244"/>
      <c r="D1630" s="226"/>
      <c r="E1630" s="360"/>
      <c r="F1630" s="228"/>
    </row>
    <row r="1631" spans="1:9" ht="14.25" customHeight="1">
      <c r="A1631" s="245"/>
      <c r="B1631" s="315"/>
      <c r="C1631" s="316" t="s">
        <v>2652</v>
      </c>
      <c r="D1631" s="247"/>
      <c r="E1631" s="317"/>
      <c r="F1631" s="249"/>
    </row>
    <row r="1632" spans="1:9" ht="14.25" customHeight="1">
      <c r="A1632" s="212"/>
      <c r="B1632" s="213" t="s">
        <v>2653</v>
      </c>
      <c r="C1632" s="393" t="s">
        <v>2654</v>
      </c>
      <c r="D1632" s="226" t="s">
        <v>2655</v>
      </c>
      <c r="E1632" s="360">
        <f>'[5]COSTO CDMX,QRO,GDL '!I1626</f>
        <v>5981.2291578947388</v>
      </c>
      <c r="F1632" s="217" t="s">
        <v>1928</v>
      </c>
      <c r="I1632" s="461"/>
    </row>
    <row r="1633" spans="1:9" ht="14.25" customHeight="1">
      <c r="A1633" s="212"/>
      <c r="B1633" s="213"/>
      <c r="C1633" s="295" t="s">
        <v>2636</v>
      </c>
      <c r="D1633" s="226"/>
      <c r="E1633" s="360"/>
      <c r="F1633" s="228"/>
    </row>
    <row r="1634" spans="1:9" ht="14.25" customHeight="1">
      <c r="A1634" s="212"/>
      <c r="B1634" s="221"/>
      <c r="C1634" s="295" t="s">
        <v>2630</v>
      </c>
      <c r="D1634" s="226"/>
      <c r="E1634" s="360"/>
      <c r="F1634" s="228"/>
    </row>
    <row r="1635" spans="1:9" ht="14.25" customHeight="1">
      <c r="A1635" s="212"/>
      <c r="B1635" s="221"/>
      <c r="C1635" s="292" t="s">
        <v>2637</v>
      </c>
      <c r="D1635" s="226"/>
      <c r="E1635" s="360"/>
      <c r="F1635" s="228"/>
    </row>
    <row r="1636" spans="1:9" ht="14.25" customHeight="1">
      <c r="A1636" s="212"/>
      <c r="B1636" s="221"/>
      <c r="C1636" s="292" t="s">
        <v>2638</v>
      </c>
      <c r="D1636" s="226"/>
      <c r="E1636" s="360"/>
      <c r="F1636" s="228"/>
    </row>
    <row r="1637" spans="1:9" ht="14.25" customHeight="1">
      <c r="A1637" s="212"/>
      <c r="B1637" s="221"/>
      <c r="C1637" s="225"/>
      <c r="D1637" s="226"/>
      <c r="E1637" s="360"/>
      <c r="F1637" s="228"/>
    </row>
    <row r="1638" spans="1:9" ht="14.25" customHeight="1">
      <c r="A1638" s="212"/>
      <c r="B1638" s="221"/>
      <c r="C1638" s="295"/>
      <c r="D1638" s="226"/>
      <c r="E1638" s="360"/>
      <c r="F1638" s="228"/>
      <c r="I1638" s="461"/>
    </row>
    <row r="1639" spans="1:9" ht="14.25" customHeight="1">
      <c r="A1639" s="212"/>
      <c r="B1639" s="294"/>
      <c r="C1639" s="462"/>
      <c r="D1639" s="226"/>
      <c r="E1639" s="360"/>
      <c r="F1639" s="228"/>
    </row>
    <row r="1640" spans="1:9" ht="14.25" customHeight="1">
      <c r="A1640" s="212"/>
      <c r="B1640" s="294"/>
      <c r="C1640" s="462"/>
      <c r="D1640" s="226"/>
      <c r="E1640" s="360"/>
      <c r="F1640" s="228"/>
    </row>
    <row r="1641" spans="1:9" ht="14.25" customHeight="1">
      <c r="A1641" s="212"/>
      <c r="B1641" s="294"/>
      <c r="C1641" s="462"/>
      <c r="D1641" s="226"/>
      <c r="E1641" s="360"/>
      <c r="F1641" s="228"/>
    </row>
    <row r="1642" spans="1:9" ht="14.25" customHeight="1">
      <c r="A1642" s="212"/>
      <c r="B1642" s="294"/>
      <c r="C1642" s="462"/>
      <c r="D1642" s="226"/>
      <c r="E1642" s="360"/>
      <c r="F1642" s="228"/>
    </row>
    <row r="1643" spans="1:9" ht="14.25" customHeight="1">
      <c r="A1643" s="245"/>
      <c r="B1643" s="315"/>
      <c r="C1643" s="316" t="s">
        <v>2656</v>
      </c>
      <c r="D1643" s="247"/>
      <c r="E1643" s="317"/>
      <c r="F1643" s="317"/>
    </row>
    <row r="1644" spans="1:9" ht="14.25" customHeight="1">
      <c r="A1644" s="212"/>
      <c r="B1644" s="463" t="s">
        <v>2657</v>
      </c>
      <c r="C1644" s="393" t="s">
        <v>2658</v>
      </c>
      <c r="D1644" s="226" t="s">
        <v>2628</v>
      </c>
      <c r="E1644" s="360">
        <f>'[5]COSTO CDMX,QRO,GDL '!I1638</f>
        <v>3955.2926769230771</v>
      </c>
      <c r="F1644" s="217" t="s">
        <v>1928</v>
      </c>
    </row>
    <row r="1645" spans="1:9" ht="14.25" customHeight="1">
      <c r="A1645" s="212"/>
      <c r="B1645" s="294"/>
      <c r="C1645" s="295" t="s">
        <v>2659</v>
      </c>
      <c r="D1645" s="226"/>
      <c r="E1645" s="360"/>
      <c r="F1645" s="228"/>
    </row>
    <row r="1646" spans="1:9" ht="14.25" customHeight="1">
      <c r="A1646" s="212"/>
      <c r="B1646" s="294"/>
      <c r="C1646" s="295" t="s">
        <v>2630</v>
      </c>
      <c r="D1646" s="226"/>
      <c r="E1646" s="360"/>
      <c r="F1646" s="228"/>
    </row>
    <row r="1647" spans="1:9" ht="14.25" customHeight="1">
      <c r="A1647" s="212"/>
      <c r="B1647" s="294"/>
      <c r="C1647" s="292" t="s">
        <v>2631</v>
      </c>
      <c r="D1647" s="226"/>
      <c r="E1647" s="360"/>
      <c r="F1647" s="228"/>
    </row>
    <row r="1648" spans="1:9" ht="14.25" customHeight="1">
      <c r="A1648" s="212"/>
      <c r="B1648" s="294"/>
      <c r="C1648" s="292" t="s">
        <v>2632</v>
      </c>
      <c r="D1648" s="226"/>
      <c r="E1648" s="360"/>
      <c r="F1648" s="228"/>
    </row>
    <row r="1649" spans="1:7" ht="14.25" customHeight="1">
      <c r="A1649" s="212"/>
      <c r="B1649" s="294"/>
      <c r="C1649" s="462"/>
      <c r="D1649" s="226"/>
      <c r="E1649" s="360"/>
      <c r="F1649" s="228"/>
    </row>
    <row r="1650" spans="1:7" ht="14.25" customHeight="1">
      <c r="A1650" s="212"/>
      <c r="B1650" s="294"/>
      <c r="C1650" s="464"/>
      <c r="D1650" s="226"/>
      <c r="E1650" s="360"/>
      <c r="F1650" s="228"/>
    </row>
    <row r="1651" spans="1:7" ht="14.25" customHeight="1">
      <c r="A1651" s="212"/>
      <c r="B1651" s="294"/>
      <c r="C1651" s="464"/>
      <c r="D1651" s="226"/>
      <c r="E1651" s="360"/>
      <c r="F1651" s="228"/>
    </row>
    <row r="1652" spans="1:7" ht="14.25" customHeight="1">
      <c r="A1652" s="212"/>
      <c r="B1652" s="294"/>
      <c r="C1652" s="465"/>
      <c r="D1652" s="226"/>
      <c r="E1652" s="360"/>
      <c r="F1652" s="228"/>
    </row>
    <row r="1653" spans="1:7" ht="14.25" customHeight="1">
      <c r="A1653" s="245"/>
      <c r="B1653" s="315"/>
      <c r="C1653" s="316" t="s">
        <v>2656</v>
      </c>
      <c r="D1653" s="247"/>
      <c r="E1653" s="317"/>
      <c r="F1653" s="249"/>
    </row>
    <row r="1654" spans="1:7" ht="14.25" customHeight="1">
      <c r="A1654" s="212"/>
      <c r="B1654" s="463" t="s">
        <v>2660</v>
      </c>
      <c r="C1654" s="393" t="s">
        <v>2658</v>
      </c>
      <c r="D1654" s="226" t="s">
        <v>2635</v>
      </c>
      <c r="E1654" s="360">
        <f>'[5]COSTO CDMX,QRO,GDL '!I1648</f>
        <v>5494.9664544891657</v>
      </c>
      <c r="F1654" s="217" t="s">
        <v>1928</v>
      </c>
    </row>
    <row r="1655" spans="1:7" ht="14.25" customHeight="1">
      <c r="A1655" s="212"/>
      <c r="B1655" s="294"/>
      <c r="C1655" s="295" t="s">
        <v>2661</v>
      </c>
      <c r="D1655" s="226"/>
      <c r="E1655" s="360"/>
      <c r="F1655" s="228"/>
    </row>
    <row r="1656" spans="1:7" ht="14.25" customHeight="1">
      <c r="A1656" s="212"/>
      <c r="B1656" s="294"/>
      <c r="C1656" s="295" t="s">
        <v>2630</v>
      </c>
      <c r="D1656" s="226"/>
      <c r="E1656" s="360"/>
      <c r="F1656" s="228"/>
    </row>
    <row r="1657" spans="1:7" ht="14.25" customHeight="1">
      <c r="A1657" s="212"/>
      <c r="B1657" s="294"/>
      <c r="C1657" s="292" t="s">
        <v>2637</v>
      </c>
      <c r="D1657" s="226"/>
      <c r="E1657" s="360"/>
      <c r="F1657" s="228"/>
    </row>
    <row r="1658" spans="1:7" ht="14.25" customHeight="1">
      <c r="A1658" s="212"/>
      <c r="B1658" s="294"/>
      <c r="C1658" s="292" t="s">
        <v>2638</v>
      </c>
      <c r="D1658" s="226"/>
      <c r="E1658" s="360"/>
      <c r="F1658" s="228"/>
    </row>
    <row r="1659" spans="1:7" ht="14.25" customHeight="1">
      <c r="A1659" s="212"/>
      <c r="B1659" s="294"/>
      <c r="C1659" s="462"/>
      <c r="D1659" s="226"/>
      <c r="E1659" s="360"/>
      <c r="F1659" s="228"/>
    </row>
    <row r="1660" spans="1:7" ht="14.25" customHeight="1">
      <c r="A1660" s="212"/>
      <c r="B1660" s="294"/>
      <c r="C1660" s="465"/>
      <c r="D1660" s="226"/>
      <c r="E1660" s="360"/>
      <c r="F1660" s="228"/>
    </row>
    <row r="1661" spans="1:7" ht="14.25" customHeight="1">
      <c r="A1661" s="212"/>
      <c r="B1661" s="294"/>
      <c r="C1661" s="462"/>
      <c r="D1661" s="226"/>
      <c r="E1661" s="360"/>
      <c r="F1661" s="228"/>
    </row>
    <row r="1662" spans="1:7" ht="14.25" customHeight="1">
      <c r="A1662" s="245"/>
      <c r="B1662" s="315"/>
      <c r="C1662" s="316" t="s">
        <v>2662</v>
      </c>
      <c r="D1662" s="247"/>
      <c r="E1662" s="317"/>
      <c r="F1662" s="249"/>
    </row>
    <row r="1663" spans="1:7" ht="14.25" customHeight="1">
      <c r="A1663" s="212"/>
      <c r="B1663" s="463" t="s">
        <v>2663</v>
      </c>
      <c r="C1663" s="393" t="s">
        <v>2664</v>
      </c>
      <c r="D1663" s="226" t="s">
        <v>2642</v>
      </c>
      <c r="E1663" s="360">
        <f>'[5]COSTO CDMX,QRO,GDL '!I1657</f>
        <v>4322.8070175438597</v>
      </c>
      <c r="F1663" s="217" t="s">
        <v>1928</v>
      </c>
      <c r="G1663" s="461"/>
    </row>
    <row r="1664" spans="1:7" ht="14.25" customHeight="1">
      <c r="A1664" s="212"/>
      <c r="B1664" s="294"/>
      <c r="C1664" s="295" t="s">
        <v>2665</v>
      </c>
      <c r="D1664" s="226"/>
      <c r="E1664" s="360"/>
      <c r="F1664" s="228"/>
    </row>
    <row r="1665" spans="1:7" ht="14.25" customHeight="1">
      <c r="A1665" s="212"/>
      <c r="B1665" s="294"/>
      <c r="C1665" s="295" t="s">
        <v>2630</v>
      </c>
      <c r="D1665" s="226"/>
      <c r="E1665" s="360"/>
      <c r="F1665" s="228"/>
    </row>
    <row r="1666" spans="1:7" ht="14.25" customHeight="1">
      <c r="A1666" s="212"/>
      <c r="B1666" s="294"/>
      <c r="C1666" s="292" t="s">
        <v>2631</v>
      </c>
      <c r="D1666" s="226"/>
      <c r="E1666" s="360"/>
      <c r="F1666" s="228"/>
    </row>
    <row r="1667" spans="1:7" ht="14.25" customHeight="1">
      <c r="A1667" s="212"/>
      <c r="B1667" s="294"/>
      <c r="C1667" s="292" t="s">
        <v>2632</v>
      </c>
      <c r="D1667" s="226"/>
      <c r="E1667" s="360"/>
      <c r="F1667" s="228"/>
    </row>
    <row r="1668" spans="1:7" ht="14.25" customHeight="1">
      <c r="A1668" s="212"/>
      <c r="B1668" s="294"/>
      <c r="C1668" s="465"/>
      <c r="D1668" s="226"/>
      <c r="E1668" s="360"/>
      <c r="F1668" s="228"/>
    </row>
    <row r="1669" spans="1:7" ht="14.25" customHeight="1">
      <c r="A1669" s="212"/>
      <c r="B1669" s="294"/>
      <c r="C1669" s="462"/>
      <c r="D1669" s="226"/>
      <c r="E1669" s="360"/>
      <c r="F1669" s="228"/>
      <c r="G1669" s="461"/>
    </row>
    <row r="1670" spans="1:7" ht="14.25" customHeight="1">
      <c r="A1670" s="212"/>
      <c r="B1670" s="294"/>
      <c r="C1670" s="462"/>
      <c r="D1670" s="226"/>
      <c r="E1670" s="360"/>
      <c r="F1670" s="228"/>
    </row>
    <row r="1671" spans="1:7" ht="14.25" customHeight="1">
      <c r="A1671" s="212"/>
      <c r="B1671" s="294"/>
      <c r="C1671" s="462"/>
      <c r="D1671" s="226"/>
      <c r="E1671" s="360"/>
      <c r="F1671" s="228"/>
    </row>
    <row r="1672" spans="1:7" ht="14.25" customHeight="1">
      <c r="A1672" s="212"/>
      <c r="B1672" s="294"/>
      <c r="C1672" s="462"/>
      <c r="D1672" s="226"/>
      <c r="E1672" s="360"/>
      <c r="F1672" s="228"/>
    </row>
    <row r="1673" spans="1:7" ht="14.25" customHeight="1">
      <c r="A1673" s="212"/>
      <c r="B1673" s="294"/>
      <c r="C1673" s="462"/>
      <c r="D1673" s="226"/>
      <c r="E1673" s="360"/>
      <c r="F1673" s="228"/>
    </row>
    <row r="1674" spans="1:7" ht="14.25" customHeight="1">
      <c r="A1674" s="245"/>
      <c r="B1674" s="315"/>
      <c r="C1674" s="316" t="s">
        <v>2666</v>
      </c>
      <c r="D1674" s="247"/>
      <c r="E1674" s="317"/>
      <c r="F1674" s="317"/>
    </row>
    <row r="1675" spans="1:7" ht="14.25" customHeight="1">
      <c r="A1675" s="212"/>
      <c r="B1675" s="463" t="s">
        <v>2667</v>
      </c>
      <c r="C1675" s="393" t="s">
        <v>2668</v>
      </c>
      <c r="D1675" s="226" t="s">
        <v>2646</v>
      </c>
      <c r="E1675" s="360">
        <f>'[5]COSTO CDMX,QRO,GDL '!I1669</f>
        <v>5730.1998947368438</v>
      </c>
      <c r="F1675" s="217" t="s">
        <v>1928</v>
      </c>
      <c r="G1675" s="461"/>
    </row>
    <row r="1676" spans="1:7" ht="14.25" customHeight="1">
      <c r="A1676" s="212"/>
      <c r="B1676" s="294"/>
      <c r="C1676" s="295" t="s">
        <v>2669</v>
      </c>
      <c r="D1676" s="226"/>
      <c r="E1676" s="360"/>
      <c r="F1676" s="228"/>
    </row>
    <row r="1677" spans="1:7" ht="14.25" customHeight="1">
      <c r="A1677" s="212"/>
      <c r="B1677" s="294"/>
      <c r="C1677" s="295" t="s">
        <v>2630</v>
      </c>
      <c r="D1677" s="226"/>
      <c r="E1677" s="360"/>
      <c r="F1677" s="228"/>
    </row>
    <row r="1678" spans="1:7" ht="14.25" customHeight="1">
      <c r="A1678" s="212"/>
      <c r="B1678" s="294"/>
      <c r="C1678" s="292" t="s">
        <v>2637</v>
      </c>
      <c r="D1678" s="226"/>
      <c r="E1678" s="360"/>
      <c r="F1678" s="228"/>
    </row>
    <row r="1679" spans="1:7" ht="14.25" customHeight="1">
      <c r="A1679" s="212"/>
      <c r="B1679" s="294"/>
      <c r="C1679" s="292" t="s">
        <v>2638</v>
      </c>
      <c r="D1679" s="226"/>
      <c r="E1679" s="360"/>
      <c r="F1679" s="228"/>
    </row>
    <row r="1680" spans="1:7" ht="14.25" customHeight="1">
      <c r="A1680" s="212"/>
      <c r="B1680" s="294"/>
      <c r="C1680" s="225"/>
      <c r="D1680" s="226"/>
      <c r="E1680" s="360"/>
      <c r="F1680" s="228"/>
    </row>
    <row r="1681" spans="1:7" ht="14.25" customHeight="1">
      <c r="A1681" s="212"/>
      <c r="B1681" s="294"/>
      <c r="C1681" s="466"/>
      <c r="D1681" s="226"/>
      <c r="E1681" s="360"/>
      <c r="F1681" s="228"/>
      <c r="G1681" s="461"/>
    </row>
    <row r="1682" spans="1:7" ht="14.25" customHeight="1">
      <c r="A1682" s="212"/>
      <c r="B1682" s="294"/>
      <c r="C1682" s="462"/>
      <c r="D1682" s="226"/>
      <c r="E1682" s="360"/>
      <c r="F1682" s="228"/>
    </row>
    <row r="1683" spans="1:7" ht="14.25" customHeight="1">
      <c r="A1683" s="212"/>
      <c r="B1683" s="294"/>
      <c r="C1683" s="462"/>
      <c r="D1683" s="226"/>
      <c r="E1683" s="360"/>
      <c r="F1683" s="228"/>
    </row>
    <row r="1684" spans="1:7" ht="14.25" customHeight="1">
      <c r="A1684" s="212"/>
      <c r="B1684" s="294"/>
      <c r="C1684" s="462"/>
      <c r="D1684" s="226"/>
      <c r="E1684" s="360"/>
      <c r="F1684" s="228"/>
    </row>
    <row r="1685" spans="1:7" ht="14.25" customHeight="1">
      <c r="A1685" s="212"/>
      <c r="B1685" s="294"/>
      <c r="C1685" s="462"/>
      <c r="D1685" s="226"/>
      <c r="E1685" s="360"/>
      <c r="F1685" s="228"/>
    </row>
    <row r="1686" spans="1:7" ht="14.25" customHeight="1">
      <c r="A1686" s="245"/>
      <c r="B1686" s="315"/>
      <c r="C1686" s="316" t="s">
        <v>2670</v>
      </c>
      <c r="D1686" s="247"/>
      <c r="E1686" s="317"/>
      <c r="F1686" s="317"/>
    </row>
    <row r="1687" spans="1:7" ht="14.25" customHeight="1">
      <c r="A1687" s="212"/>
      <c r="B1687" s="463" t="s">
        <v>2671</v>
      </c>
      <c r="C1687" s="393" t="s">
        <v>2672</v>
      </c>
      <c r="D1687" s="226" t="s">
        <v>2649</v>
      </c>
      <c r="E1687" s="360">
        <f>'[5]COSTO CDMX,QRO,GDL '!I1681</f>
        <v>6933.9565263157892</v>
      </c>
      <c r="F1687" s="217" t="s">
        <v>1928</v>
      </c>
    </row>
    <row r="1688" spans="1:7" ht="14.25" customHeight="1">
      <c r="A1688" s="212"/>
      <c r="B1688" s="294"/>
      <c r="C1688" s="295" t="s">
        <v>2673</v>
      </c>
      <c r="D1688" s="226"/>
      <c r="E1688" s="360"/>
      <c r="F1688" s="228"/>
    </row>
    <row r="1689" spans="1:7" ht="14.25" customHeight="1">
      <c r="A1689" s="212"/>
      <c r="B1689" s="294"/>
      <c r="C1689" s="467" t="s">
        <v>2630</v>
      </c>
      <c r="D1689" s="226"/>
      <c r="E1689" s="360"/>
      <c r="F1689" s="228"/>
    </row>
    <row r="1690" spans="1:7" ht="14.25" customHeight="1">
      <c r="A1690" s="212"/>
      <c r="B1690" s="294"/>
      <c r="C1690" s="292" t="s">
        <v>2650</v>
      </c>
      <c r="D1690" s="226"/>
      <c r="E1690" s="360"/>
      <c r="F1690" s="228"/>
    </row>
    <row r="1691" spans="1:7" ht="14.25" customHeight="1">
      <c r="A1691" s="212"/>
      <c r="B1691" s="294"/>
      <c r="C1691" s="292" t="s">
        <v>2651</v>
      </c>
      <c r="D1691" s="226"/>
      <c r="E1691" s="360"/>
      <c r="F1691" s="228"/>
    </row>
    <row r="1692" spans="1:7" ht="14.25" customHeight="1">
      <c r="A1692" s="212"/>
      <c r="B1692" s="294"/>
      <c r="C1692" s="225"/>
      <c r="D1692" s="226"/>
      <c r="E1692" s="360"/>
      <c r="F1692" s="228"/>
    </row>
    <row r="1693" spans="1:7" ht="14.25" customHeight="1">
      <c r="A1693" s="212"/>
      <c r="B1693" s="294"/>
      <c r="C1693" s="465"/>
      <c r="D1693" s="226"/>
      <c r="E1693" s="360"/>
      <c r="F1693" s="228"/>
    </row>
    <row r="1694" spans="1:7" ht="14.25" customHeight="1">
      <c r="A1694" s="212"/>
      <c r="B1694" s="294"/>
      <c r="C1694" s="462"/>
      <c r="D1694" s="226"/>
      <c r="E1694" s="360"/>
      <c r="F1694" s="228"/>
    </row>
    <row r="1695" spans="1:7" ht="14.25" customHeight="1">
      <c r="A1695" s="212"/>
      <c r="B1695" s="294"/>
      <c r="C1695" s="462"/>
      <c r="D1695" s="226"/>
      <c r="E1695" s="360"/>
      <c r="F1695" s="228"/>
    </row>
    <row r="1696" spans="1:7" ht="14.25" customHeight="1">
      <c r="A1696" s="342"/>
      <c r="B1696" s="468"/>
      <c r="C1696" s="469"/>
      <c r="D1696" s="306"/>
      <c r="E1696" s="360"/>
      <c r="F1696" s="228"/>
    </row>
    <row r="1697" spans="1:60" ht="14.25" customHeight="1">
      <c r="A1697" s="245"/>
      <c r="B1697" s="315"/>
      <c r="C1697" s="316" t="s">
        <v>2674</v>
      </c>
      <c r="D1697" s="247"/>
      <c r="E1697" s="317"/>
      <c r="F1697" s="249"/>
    </row>
    <row r="1698" spans="1:60" ht="14.25" customHeight="1">
      <c r="A1698" s="212"/>
      <c r="B1698" s="463" t="s">
        <v>2675</v>
      </c>
      <c r="C1698" s="393" t="s">
        <v>2676</v>
      </c>
      <c r="D1698" s="226" t="s">
        <v>2655</v>
      </c>
      <c r="E1698" s="360">
        <f>'[5]COSTO CDMX,QRO,GDL '!I1692</f>
        <v>6000.4177894736868</v>
      </c>
      <c r="F1698" s="217" t="s">
        <v>1928</v>
      </c>
    </row>
    <row r="1699" spans="1:60" ht="14.25" customHeight="1">
      <c r="A1699" s="212"/>
      <c r="B1699" s="294"/>
      <c r="C1699" s="295" t="s">
        <v>2677</v>
      </c>
      <c r="D1699" s="226"/>
      <c r="E1699" s="360"/>
      <c r="F1699" s="228"/>
    </row>
    <row r="1700" spans="1:60" ht="14.25" customHeight="1">
      <c r="A1700" s="212"/>
      <c r="B1700" s="294"/>
      <c r="C1700" s="467" t="s">
        <v>2630</v>
      </c>
      <c r="D1700" s="226"/>
      <c r="E1700" s="360"/>
      <c r="F1700" s="228"/>
    </row>
    <row r="1701" spans="1:60" ht="14.25" customHeight="1">
      <c r="A1701" s="212"/>
      <c r="B1701" s="294"/>
      <c r="C1701" s="292" t="s">
        <v>2637</v>
      </c>
      <c r="D1701" s="226"/>
      <c r="E1701" s="360"/>
      <c r="F1701" s="228"/>
    </row>
    <row r="1702" spans="1:60" ht="14.25" customHeight="1">
      <c r="A1702" s="212"/>
      <c r="B1702" s="294"/>
      <c r="C1702" s="292" t="s">
        <v>2638</v>
      </c>
      <c r="D1702" s="470"/>
      <c r="E1702" s="360"/>
      <c r="F1702" s="228"/>
    </row>
    <row r="1703" spans="1:60" ht="14.25" customHeight="1">
      <c r="A1703" s="212"/>
      <c r="B1703" s="294"/>
      <c r="C1703" s="292"/>
      <c r="D1703" s="470"/>
      <c r="E1703" s="360"/>
      <c r="F1703" s="228"/>
    </row>
    <row r="1704" spans="1:60" ht="14.25" customHeight="1">
      <c r="A1704" s="212"/>
      <c r="B1704" s="294"/>
      <c r="C1704" s="465"/>
      <c r="D1704" s="470"/>
      <c r="E1704" s="360"/>
      <c r="F1704" s="228"/>
    </row>
    <row r="1705" spans="1:60" ht="14.25" customHeight="1">
      <c r="A1705" s="212"/>
      <c r="B1705" s="294"/>
      <c r="C1705" s="465"/>
      <c r="D1705" s="470"/>
      <c r="E1705" s="360"/>
      <c r="F1705" s="228"/>
    </row>
    <row r="1706" spans="1:60" ht="14.25" customHeight="1">
      <c r="A1706" s="212"/>
      <c r="B1706" s="294"/>
      <c r="C1706" s="465"/>
      <c r="D1706" s="470"/>
      <c r="E1706" s="382"/>
      <c r="F1706" s="228"/>
    </row>
    <row r="1707" spans="1:60" ht="14.25" customHeight="1">
      <c r="A1707" s="212"/>
      <c r="B1707" s="294"/>
      <c r="C1707" s="465"/>
      <c r="D1707" s="470"/>
      <c r="E1707" s="382"/>
      <c r="F1707" s="228"/>
    </row>
    <row r="1708" spans="1:60" ht="14.25" customHeight="1">
      <c r="A1708" s="212"/>
      <c r="B1708" s="294"/>
      <c r="C1708" s="462"/>
      <c r="D1708" s="470"/>
      <c r="E1708" s="382"/>
      <c r="F1708" s="228"/>
    </row>
    <row r="1709" spans="1:60" ht="14.25" customHeight="1">
      <c r="A1709" s="212"/>
      <c r="B1709" s="294"/>
      <c r="C1709" s="462"/>
      <c r="D1709" s="470"/>
      <c r="E1709" s="382"/>
      <c r="F1709" s="228"/>
    </row>
    <row r="1710" spans="1:60" ht="14.25" customHeight="1">
      <c r="A1710" s="212"/>
      <c r="B1710" s="294"/>
      <c r="C1710" s="462"/>
      <c r="D1710" s="470"/>
      <c r="E1710" s="382"/>
      <c r="F1710" s="228"/>
    </row>
    <row r="1711" spans="1:60" s="184" customFormat="1" ht="15" customHeight="1">
      <c r="A1711" s="232" t="s">
        <v>2013</v>
      </c>
      <c r="B1711" s="233"/>
      <c r="C1711" s="1524" t="s">
        <v>2678</v>
      </c>
      <c r="D1711" s="232"/>
      <c r="E1711" s="235"/>
      <c r="F1711" s="384"/>
      <c r="G1711" s="183"/>
      <c r="H1711" s="183"/>
      <c r="I1711" s="183"/>
      <c r="J1711" s="183"/>
      <c r="K1711" s="183"/>
      <c r="L1711" s="183"/>
      <c r="M1711" s="183"/>
      <c r="N1711" s="190"/>
      <c r="O1711" s="190"/>
      <c r="P1711" s="190"/>
      <c r="Q1711" s="190"/>
      <c r="R1711" s="190"/>
      <c r="S1711" s="190"/>
      <c r="T1711" s="190"/>
      <c r="U1711" s="190"/>
      <c r="V1711" s="190"/>
      <c r="W1711" s="190"/>
      <c r="X1711" s="190"/>
      <c r="Y1711" s="190"/>
      <c r="Z1711" s="190"/>
      <c r="AA1711" s="190"/>
      <c r="AB1711" s="190"/>
      <c r="AC1711" s="190"/>
      <c r="AD1711" s="190"/>
      <c r="AE1711" s="190"/>
      <c r="AF1711" s="190"/>
      <c r="AG1711" s="190"/>
      <c r="AH1711" s="190"/>
      <c r="AI1711" s="190"/>
      <c r="AJ1711" s="190"/>
      <c r="AK1711" s="190"/>
      <c r="AL1711" s="190"/>
      <c r="AM1711" s="190"/>
      <c r="AN1711" s="190"/>
      <c r="AO1711" s="190"/>
      <c r="AP1711" s="190"/>
      <c r="AQ1711" s="190"/>
      <c r="AR1711" s="190"/>
      <c r="AS1711" s="190"/>
      <c r="AT1711" s="190"/>
      <c r="AU1711" s="190"/>
      <c r="AV1711" s="190"/>
      <c r="AW1711" s="190"/>
      <c r="AX1711" s="190"/>
      <c r="AY1711" s="190"/>
      <c r="AZ1711" s="190"/>
      <c r="BA1711" s="190"/>
      <c r="BB1711" s="190"/>
      <c r="BC1711" s="190"/>
      <c r="BD1711" s="190"/>
      <c r="BE1711" s="190"/>
      <c r="BF1711" s="190"/>
      <c r="BG1711" s="190"/>
      <c r="BH1711" s="190"/>
    </row>
    <row r="1712" spans="1:60" s="198" customFormat="1" ht="15" customHeight="1">
      <c r="A1712" s="237" t="s">
        <v>2679</v>
      </c>
      <c r="B1712" s="238"/>
      <c r="C1712" s="1525"/>
      <c r="D1712" s="285"/>
      <c r="E1712" s="286"/>
      <c r="F1712" s="385"/>
      <c r="G1712" s="196"/>
      <c r="H1712" s="196"/>
      <c r="I1712" s="196"/>
      <c r="J1712" s="196"/>
      <c r="K1712" s="196"/>
      <c r="L1712" s="196"/>
      <c r="M1712" s="196"/>
      <c r="N1712" s="197"/>
      <c r="O1712" s="197"/>
      <c r="P1712" s="197"/>
      <c r="Q1712" s="197"/>
      <c r="R1712" s="197"/>
      <c r="S1712" s="197"/>
      <c r="T1712" s="197"/>
      <c r="U1712" s="197"/>
      <c r="V1712" s="197"/>
      <c r="W1712" s="197"/>
      <c r="X1712" s="197"/>
      <c r="Y1712" s="197"/>
      <c r="Z1712" s="197"/>
      <c r="AA1712" s="197"/>
      <c r="AB1712" s="197"/>
      <c r="AC1712" s="197"/>
      <c r="AD1712" s="197"/>
      <c r="AE1712" s="197"/>
      <c r="AF1712" s="197"/>
      <c r="AG1712" s="197"/>
      <c r="AH1712" s="197"/>
      <c r="AI1712" s="197"/>
      <c r="AJ1712" s="197"/>
      <c r="AK1712" s="197"/>
      <c r="AL1712" s="197"/>
      <c r="AM1712" s="197"/>
      <c r="AN1712" s="197"/>
      <c r="AO1712" s="197"/>
      <c r="AP1712" s="197"/>
      <c r="AQ1712" s="197"/>
      <c r="AR1712" s="197"/>
      <c r="AS1712" s="197"/>
      <c r="AT1712" s="197"/>
      <c r="AU1712" s="197"/>
      <c r="AV1712" s="197"/>
      <c r="AW1712" s="197"/>
      <c r="AX1712" s="197"/>
      <c r="AY1712" s="197"/>
      <c r="AZ1712" s="197"/>
      <c r="BA1712" s="197"/>
      <c r="BB1712" s="197"/>
      <c r="BC1712" s="197"/>
      <c r="BD1712" s="197"/>
      <c r="BE1712" s="197"/>
      <c r="BF1712" s="197"/>
      <c r="BG1712" s="197"/>
      <c r="BH1712" s="197"/>
    </row>
    <row r="1713" spans="1:60" s="204" customFormat="1">
      <c r="A1713" s="199" t="s">
        <v>512</v>
      </c>
      <c r="B1713" s="200" t="s">
        <v>513</v>
      </c>
      <c r="C1713" s="201" t="s">
        <v>514</v>
      </c>
      <c r="D1713" s="199" t="s">
        <v>515</v>
      </c>
      <c r="E1713" s="202" t="s">
        <v>516</v>
      </c>
      <c r="F1713" s="203" t="s">
        <v>1670</v>
      </c>
      <c r="G1713" s="184"/>
      <c r="N1713" s="205"/>
      <c r="O1713" s="205"/>
      <c r="P1713" s="205"/>
      <c r="Q1713" s="205"/>
      <c r="R1713" s="205"/>
      <c r="S1713" s="205"/>
      <c r="T1713" s="205"/>
      <c r="U1713" s="205"/>
      <c r="V1713" s="205"/>
      <c r="W1713" s="205"/>
      <c r="X1713" s="205"/>
      <c r="Y1713" s="205"/>
      <c r="Z1713" s="205"/>
      <c r="AA1713" s="205"/>
      <c r="AB1713" s="205"/>
      <c r="AC1713" s="205"/>
      <c r="AD1713" s="205"/>
      <c r="AE1713" s="205"/>
      <c r="AF1713" s="205"/>
      <c r="AG1713" s="205"/>
      <c r="AH1713" s="205"/>
      <c r="AI1713" s="205"/>
      <c r="AJ1713" s="205"/>
      <c r="AK1713" s="205"/>
      <c r="AL1713" s="205"/>
      <c r="AM1713" s="205"/>
      <c r="AN1713" s="205"/>
      <c r="AO1713" s="205"/>
      <c r="AP1713" s="205"/>
      <c r="AQ1713" s="205"/>
      <c r="AR1713" s="205"/>
      <c r="AS1713" s="205"/>
      <c r="AT1713" s="205"/>
      <c r="AU1713" s="205"/>
      <c r="AV1713" s="205"/>
      <c r="AW1713" s="205"/>
      <c r="AX1713" s="205"/>
      <c r="AY1713" s="205"/>
      <c r="AZ1713" s="205"/>
      <c r="BA1713" s="205"/>
      <c r="BB1713" s="205"/>
      <c r="BC1713" s="205"/>
      <c r="BD1713" s="205"/>
      <c r="BE1713" s="205"/>
      <c r="BF1713" s="205"/>
      <c r="BG1713" s="205"/>
      <c r="BH1713" s="205"/>
    </row>
    <row r="1714" spans="1:60" ht="14.25" customHeight="1">
      <c r="A1714" s="245"/>
      <c r="B1714" s="315"/>
      <c r="C1714" s="316" t="s">
        <v>2680</v>
      </c>
      <c r="D1714" s="317"/>
      <c r="E1714" s="450"/>
      <c r="F1714" s="249"/>
    </row>
    <row r="1715" spans="1:60" ht="14.25" customHeight="1">
      <c r="A1715" s="212"/>
      <c r="B1715" s="463" t="s">
        <v>2681</v>
      </c>
      <c r="C1715" s="393" t="s">
        <v>2682</v>
      </c>
      <c r="D1715" s="226" t="s">
        <v>2683</v>
      </c>
      <c r="E1715" s="360">
        <v>1597.4597100000001</v>
      </c>
      <c r="F1715" s="217" t="s">
        <v>284</v>
      </c>
    </row>
    <row r="1716" spans="1:60" ht="14.25" customHeight="1">
      <c r="A1716" s="212"/>
      <c r="B1716" s="294"/>
      <c r="C1716" s="292" t="s">
        <v>2684</v>
      </c>
      <c r="D1716" s="226"/>
      <c r="E1716" s="360"/>
      <c r="F1716" s="296"/>
    </row>
    <row r="1717" spans="1:60" ht="14.25" customHeight="1">
      <c r="A1717" s="212"/>
      <c r="B1717" s="294"/>
      <c r="C1717" s="225"/>
      <c r="D1717" s="226"/>
      <c r="E1717" s="360"/>
      <c r="F1717" s="296"/>
    </row>
    <row r="1718" spans="1:60" ht="14.25" customHeight="1">
      <c r="A1718" s="212"/>
      <c r="B1718" s="294"/>
      <c r="C1718" s="225"/>
      <c r="D1718" s="226"/>
      <c r="E1718" s="360"/>
      <c r="F1718" s="296"/>
    </row>
    <row r="1719" spans="1:60" ht="14.25" customHeight="1">
      <c r="A1719" s="212"/>
      <c r="B1719" s="294"/>
      <c r="C1719" s="225"/>
      <c r="D1719" s="226"/>
      <c r="E1719" s="360"/>
      <c r="F1719" s="296"/>
    </row>
    <row r="1720" spans="1:60" ht="14.25" customHeight="1">
      <c r="A1720" s="212"/>
      <c r="B1720" s="294"/>
      <c r="C1720" s="462"/>
      <c r="D1720" s="226"/>
      <c r="E1720" s="360"/>
      <c r="F1720" s="296"/>
    </row>
    <row r="1721" spans="1:60" ht="14.25" customHeight="1">
      <c r="A1721" s="212"/>
      <c r="B1721" s="294"/>
      <c r="C1721" s="464"/>
      <c r="D1721" s="226"/>
      <c r="E1721" s="360"/>
      <c r="F1721" s="296"/>
    </row>
    <row r="1722" spans="1:60" ht="14.25" customHeight="1">
      <c r="A1722" s="212"/>
      <c r="B1722" s="294"/>
      <c r="C1722" s="464"/>
      <c r="D1722" s="226"/>
      <c r="E1722" s="360"/>
      <c r="F1722" s="296"/>
    </row>
    <row r="1723" spans="1:60" ht="14.25" customHeight="1">
      <c r="A1723" s="212"/>
      <c r="B1723" s="294"/>
      <c r="C1723" s="465"/>
      <c r="D1723" s="226"/>
      <c r="E1723" s="360"/>
      <c r="F1723" s="296"/>
    </row>
    <row r="1724" spans="1:60" ht="14.25" customHeight="1">
      <c r="A1724" s="245"/>
      <c r="B1724" s="315"/>
      <c r="C1724" s="316" t="s">
        <v>2685</v>
      </c>
      <c r="D1724" s="329"/>
      <c r="E1724" s="329"/>
      <c r="F1724" s="298"/>
    </row>
    <row r="1725" spans="1:60" ht="14.25" customHeight="1">
      <c r="A1725" s="212"/>
      <c r="B1725" s="463" t="s">
        <v>2686</v>
      </c>
      <c r="C1725" s="471" t="s">
        <v>2687</v>
      </c>
      <c r="D1725" s="226" t="s">
        <v>2688</v>
      </c>
      <c r="E1725" s="360">
        <v>2241.2775000000001</v>
      </c>
      <c r="F1725" s="217" t="s">
        <v>284</v>
      </c>
    </row>
    <row r="1726" spans="1:60" ht="14.25" customHeight="1">
      <c r="A1726" s="212"/>
      <c r="B1726" s="294"/>
      <c r="C1726" s="292" t="s">
        <v>2689</v>
      </c>
      <c r="D1726" s="226"/>
      <c r="E1726" s="360"/>
      <c r="F1726" s="296"/>
    </row>
    <row r="1727" spans="1:60" ht="14.25" customHeight="1">
      <c r="A1727" s="212"/>
      <c r="B1727" s="294"/>
      <c r="C1727" s="225"/>
      <c r="D1727" s="226"/>
      <c r="E1727" s="360"/>
      <c r="F1727" s="296"/>
    </row>
    <row r="1728" spans="1:60" ht="14.25" customHeight="1">
      <c r="A1728" s="212"/>
      <c r="B1728" s="294"/>
      <c r="C1728" s="225"/>
      <c r="D1728" s="226"/>
      <c r="E1728" s="360"/>
      <c r="F1728" s="296"/>
    </row>
    <row r="1729" spans="1:6" ht="14.25" customHeight="1">
      <c r="A1729" s="212"/>
      <c r="B1729" s="294"/>
      <c r="C1729" s="225"/>
      <c r="D1729" s="226"/>
      <c r="E1729" s="360"/>
      <c r="F1729" s="296"/>
    </row>
    <row r="1730" spans="1:6" ht="14.25" customHeight="1">
      <c r="A1730" s="212"/>
      <c r="B1730" s="294"/>
      <c r="C1730" s="462"/>
      <c r="D1730" s="226"/>
      <c r="E1730" s="360"/>
      <c r="F1730" s="296"/>
    </row>
    <row r="1731" spans="1:6" ht="14.25" customHeight="1">
      <c r="A1731" s="212"/>
      <c r="B1731" s="294"/>
      <c r="C1731" s="464"/>
      <c r="D1731" s="226"/>
      <c r="E1731" s="360"/>
      <c r="F1731" s="296"/>
    </row>
    <row r="1732" spans="1:6" ht="14.25" customHeight="1">
      <c r="A1732" s="212"/>
      <c r="B1732" s="294"/>
      <c r="C1732" s="464"/>
      <c r="D1732" s="226"/>
      <c r="E1732" s="360"/>
      <c r="F1732" s="296"/>
    </row>
    <row r="1733" spans="1:6" ht="14.25" customHeight="1">
      <c r="A1733" s="212"/>
      <c r="B1733" s="294"/>
      <c r="C1733" s="465"/>
      <c r="D1733" s="226"/>
      <c r="E1733" s="360"/>
      <c r="F1733" s="296"/>
    </row>
    <row r="1734" spans="1:6" ht="14.25" customHeight="1">
      <c r="A1734" s="245"/>
      <c r="B1734" s="315"/>
      <c r="C1734" s="316" t="s">
        <v>2690</v>
      </c>
      <c r="D1734" s="329"/>
      <c r="E1734" s="329"/>
      <c r="F1734" s="329"/>
    </row>
    <row r="1735" spans="1:6" ht="14.25" customHeight="1">
      <c r="A1735" s="212"/>
      <c r="B1735" s="463" t="s">
        <v>2681</v>
      </c>
      <c r="C1735" s="471" t="s">
        <v>2691</v>
      </c>
      <c r="D1735" s="226" t="s">
        <v>2683</v>
      </c>
      <c r="E1735" s="360">
        <v>1569.0360000000001</v>
      </c>
      <c r="F1735" s="217" t="s">
        <v>284</v>
      </c>
    </row>
    <row r="1736" spans="1:6" ht="14.25" customHeight="1">
      <c r="A1736" s="212"/>
      <c r="B1736" s="294"/>
      <c r="C1736" s="292" t="s">
        <v>2692</v>
      </c>
      <c r="D1736" s="226"/>
      <c r="E1736" s="360"/>
      <c r="F1736" s="296"/>
    </row>
    <row r="1737" spans="1:6" ht="14.25" customHeight="1">
      <c r="A1737" s="212"/>
      <c r="B1737" s="294"/>
      <c r="C1737" s="225"/>
      <c r="D1737" s="226"/>
      <c r="E1737" s="360"/>
      <c r="F1737" s="296"/>
    </row>
    <row r="1738" spans="1:6" ht="14.25" customHeight="1">
      <c r="A1738" s="212"/>
      <c r="B1738" s="294"/>
      <c r="C1738" s="225"/>
      <c r="D1738" s="226"/>
      <c r="E1738" s="360"/>
      <c r="F1738" s="296"/>
    </row>
    <row r="1739" spans="1:6" ht="14.25" customHeight="1">
      <c r="A1739" s="212"/>
      <c r="B1739" s="294"/>
      <c r="C1739" s="225"/>
      <c r="D1739" s="226"/>
      <c r="E1739" s="360"/>
      <c r="F1739" s="228"/>
    </row>
    <row r="1740" spans="1:6" ht="14.25" customHeight="1">
      <c r="A1740" s="212"/>
      <c r="B1740" s="294"/>
      <c r="C1740" s="462"/>
      <c r="D1740" s="226"/>
      <c r="E1740" s="360"/>
      <c r="F1740" s="228"/>
    </row>
    <row r="1741" spans="1:6" ht="14.25" customHeight="1">
      <c r="A1741" s="212"/>
      <c r="B1741" s="294"/>
      <c r="C1741" s="462"/>
      <c r="D1741" s="226"/>
      <c r="E1741" s="360"/>
      <c r="F1741" s="228"/>
    </row>
    <row r="1742" spans="1:6" ht="14.25" customHeight="1">
      <c r="A1742" s="212"/>
      <c r="B1742" s="294"/>
      <c r="C1742" s="465"/>
      <c r="D1742" s="226"/>
      <c r="E1742" s="360"/>
      <c r="F1742" s="228"/>
    </row>
    <row r="1743" spans="1:6" ht="14.25" customHeight="1">
      <c r="A1743" s="212"/>
      <c r="B1743" s="294"/>
      <c r="C1743" s="462"/>
      <c r="D1743" s="226"/>
      <c r="E1743" s="360"/>
      <c r="F1743" s="228"/>
    </row>
    <row r="1744" spans="1:6" ht="14.25" customHeight="1">
      <c r="A1744" s="245"/>
      <c r="B1744" s="315"/>
      <c r="C1744" s="316" t="s">
        <v>2693</v>
      </c>
      <c r="D1744" s="329"/>
      <c r="E1744" s="329"/>
      <c r="F1744" s="329"/>
    </row>
    <row r="1745" spans="1:6" ht="14.25" customHeight="1">
      <c r="A1745" s="212"/>
      <c r="B1745" s="463" t="s">
        <v>2694</v>
      </c>
      <c r="C1745" s="471" t="s">
        <v>2695</v>
      </c>
      <c r="D1745" s="226" t="s">
        <v>2696</v>
      </c>
      <c r="E1745" s="360">
        <v>1825.8046872449761</v>
      </c>
      <c r="F1745" s="217" t="s">
        <v>284</v>
      </c>
    </row>
    <row r="1746" spans="1:6" ht="14.25" customHeight="1">
      <c r="A1746" s="212"/>
      <c r="B1746" s="294"/>
      <c r="C1746" s="292" t="s">
        <v>2697</v>
      </c>
      <c r="D1746" s="226"/>
      <c r="E1746" s="360"/>
      <c r="F1746" s="296"/>
    </row>
    <row r="1747" spans="1:6" ht="14.25" customHeight="1">
      <c r="A1747" s="212"/>
      <c r="B1747" s="294"/>
      <c r="C1747" s="225"/>
      <c r="D1747" s="226"/>
      <c r="E1747" s="360"/>
      <c r="F1747" s="296"/>
    </row>
    <row r="1748" spans="1:6" ht="14.25" customHeight="1">
      <c r="A1748" s="212"/>
      <c r="B1748" s="294"/>
      <c r="C1748" s="225"/>
      <c r="D1748" s="226"/>
      <c r="E1748" s="360"/>
      <c r="F1748" s="296"/>
    </row>
    <row r="1749" spans="1:6" ht="14.25" customHeight="1">
      <c r="A1749" s="212"/>
      <c r="B1749" s="294"/>
      <c r="C1749" s="225"/>
      <c r="D1749" s="226"/>
      <c r="E1749" s="360"/>
      <c r="F1749" s="296"/>
    </row>
    <row r="1750" spans="1:6" ht="14.25" customHeight="1">
      <c r="A1750" s="212"/>
      <c r="B1750" s="294"/>
      <c r="C1750" s="462"/>
      <c r="D1750" s="226"/>
      <c r="E1750" s="360"/>
      <c r="F1750" s="296"/>
    </row>
    <row r="1751" spans="1:6" ht="14.25" customHeight="1">
      <c r="A1751" s="212"/>
      <c r="B1751" s="294"/>
      <c r="C1751" s="462"/>
      <c r="D1751" s="226"/>
      <c r="E1751" s="360"/>
      <c r="F1751" s="296"/>
    </row>
    <row r="1752" spans="1:6" ht="14.25" customHeight="1">
      <c r="A1752" s="212"/>
      <c r="B1752" s="294"/>
      <c r="C1752" s="465"/>
      <c r="D1752" s="226"/>
      <c r="E1752" s="360"/>
      <c r="F1752" s="296"/>
    </row>
    <row r="1753" spans="1:6" ht="14.25" customHeight="1">
      <c r="A1753" s="212"/>
      <c r="B1753" s="294"/>
      <c r="C1753" s="462"/>
      <c r="D1753" s="226"/>
      <c r="E1753" s="360"/>
      <c r="F1753" s="296"/>
    </row>
    <row r="1754" spans="1:6" ht="14.25" customHeight="1">
      <c r="A1754" s="245"/>
      <c r="B1754" s="315"/>
      <c r="C1754" s="316" t="s">
        <v>2698</v>
      </c>
      <c r="D1754" s="329"/>
      <c r="E1754" s="329"/>
      <c r="F1754" s="319"/>
    </row>
    <row r="1755" spans="1:6" ht="14.25" customHeight="1">
      <c r="A1755" s="212"/>
      <c r="B1755" s="463" t="s">
        <v>2699</v>
      </c>
      <c r="C1755" s="472" t="s">
        <v>2700</v>
      </c>
      <c r="D1755" s="226" t="s">
        <v>2701</v>
      </c>
      <c r="E1755" s="360">
        <v>3076.844708291303</v>
      </c>
      <c r="F1755" s="217" t="s">
        <v>284</v>
      </c>
    </row>
    <row r="1756" spans="1:6" ht="14.25" customHeight="1">
      <c r="A1756" s="212"/>
      <c r="B1756" s="463" t="s">
        <v>2702</v>
      </c>
      <c r="C1756" s="465" t="s">
        <v>2703</v>
      </c>
      <c r="D1756" s="226" t="s">
        <v>2704</v>
      </c>
      <c r="E1756" s="360">
        <v>3982.6336813151765</v>
      </c>
      <c r="F1756" s="217" t="s">
        <v>284</v>
      </c>
    </row>
    <row r="1757" spans="1:6" ht="14.25" customHeight="1">
      <c r="A1757" s="212"/>
      <c r="B1757" s="294"/>
      <c r="C1757" s="292" t="s">
        <v>2705</v>
      </c>
      <c r="D1757" s="226"/>
      <c r="E1757" s="360"/>
      <c r="F1757" s="296"/>
    </row>
    <row r="1758" spans="1:6" ht="14.25" customHeight="1">
      <c r="A1758" s="212"/>
      <c r="B1758" s="294"/>
      <c r="C1758" s="292" t="s">
        <v>2706</v>
      </c>
      <c r="D1758" s="226"/>
      <c r="E1758" s="360"/>
      <c r="F1758" s="296"/>
    </row>
    <row r="1759" spans="1:6" ht="14.25" customHeight="1">
      <c r="A1759" s="212"/>
      <c r="B1759" s="294"/>
      <c r="C1759" s="170"/>
      <c r="D1759" s="226"/>
      <c r="E1759" s="360"/>
      <c r="F1759" s="296"/>
    </row>
    <row r="1760" spans="1:6" ht="14.25" customHeight="1">
      <c r="A1760" s="212"/>
      <c r="B1760" s="294"/>
      <c r="C1760" s="465"/>
      <c r="D1760" s="226"/>
      <c r="E1760" s="360"/>
      <c r="F1760" s="228"/>
    </row>
    <row r="1761" spans="1:6" ht="14.25" customHeight="1">
      <c r="A1761" s="212"/>
      <c r="B1761" s="294"/>
      <c r="C1761" s="465"/>
      <c r="D1761" s="226"/>
      <c r="E1761" s="360"/>
      <c r="F1761" s="228"/>
    </row>
    <row r="1762" spans="1:6" ht="14.25" customHeight="1">
      <c r="A1762" s="212"/>
      <c r="B1762" s="294"/>
      <c r="C1762" s="462"/>
      <c r="D1762" s="226"/>
      <c r="E1762" s="360"/>
      <c r="F1762" s="228"/>
    </row>
    <row r="1763" spans="1:6" ht="14.25" customHeight="1">
      <c r="A1763" s="212"/>
      <c r="B1763" s="294"/>
      <c r="C1763" s="462"/>
      <c r="D1763" s="226"/>
      <c r="E1763" s="360"/>
      <c r="F1763" s="228"/>
    </row>
    <row r="1764" spans="1:6" ht="14.25" customHeight="1">
      <c r="A1764" s="342"/>
      <c r="B1764" s="468"/>
      <c r="C1764" s="469"/>
      <c r="D1764" s="306"/>
      <c r="E1764" s="360"/>
      <c r="F1764" s="228"/>
    </row>
    <row r="1765" spans="1:6" ht="14.25" customHeight="1">
      <c r="A1765" s="245"/>
      <c r="B1765" s="315"/>
      <c r="C1765" s="316" t="s">
        <v>2707</v>
      </c>
      <c r="D1765" s="329"/>
      <c r="E1765" s="329"/>
      <c r="F1765" s="456"/>
    </row>
    <row r="1766" spans="1:6" ht="14.25" customHeight="1">
      <c r="A1766" s="212"/>
      <c r="B1766" s="473" t="s">
        <v>2708</v>
      </c>
      <c r="C1766" s="472" t="s">
        <v>2709</v>
      </c>
      <c r="D1766" s="226" t="s">
        <v>2710</v>
      </c>
      <c r="E1766" s="360">
        <v>4062.7894650000007</v>
      </c>
      <c r="F1766" s="217" t="s">
        <v>284</v>
      </c>
    </row>
    <row r="1767" spans="1:6" ht="14.25" customHeight="1">
      <c r="A1767" s="212"/>
      <c r="B1767" s="474" t="s">
        <v>2711</v>
      </c>
      <c r="C1767" s="465" t="s">
        <v>2712</v>
      </c>
      <c r="D1767" s="226" t="s">
        <v>2713</v>
      </c>
      <c r="E1767" s="360">
        <v>3701.022465</v>
      </c>
      <c r="F1767" s="217" t="s">
        <v>284</v>
      </c>
    </row>
    <row r="1768" spans="1:6" ht="14.25" customHeight="1">
      <c r="A1768" s="212"/>
      <c r="B1768" s="474" t="s">
        <v>2714</v>
      </c>
      <c r="C1768" s="292" t="s">
        <v>2715</v>
      </c>
      <c r="D1768" s="226" t="s">
        <v>2716</v>
      </c>
      <c r="E1768" s="360">
        <v>4122.8517750000001</v>
      </c>
      <c r="F1768" s="217" t="s">
        <v>284</v>
      </c>
    </row>
    <row r="1769" spans="1:6" ht="14.25" customHeight="1">
      <c r="A1769" s="212"/>
      <c r="B1769" s="294"/>
      <c r="C1769" s="292" t="s">
        <v>2717</v>
      </c>
      <c r="D1769" s="226"/>
      <c r="E1769" s="360"/>
      <c r="F1769" s="296"/>
    </row>
    <row r="1770" spans="1:6" ht="14.25" customHeight="1">
      <c r="A1770" s="212"/>
      <c r="B1770" s="294"/>
      <c r="C1770" s="225"/>
      <c r="D1770" s="226"/>
      <c r="E1770" s="360"/>
      <c r="F1770" s="296"/>
    </row>
    <row r="1771" spans="1:6" ht="14.25" customHeight="1">
      <c r="A1771" s="212"/>
      <c r="B1771" s="294"/>
      <c r="C1771" s="225"/>
      <c r="D1771" s="226"/>
      <c r="E1771" s="360"/>
      <c r="F1771" s="296"/>
    </row>
    <row r="1772" spans="1:6" ht="14.25" customHeight="1">
      <c r="A1772" s="212"/>
      <c r="B1772" s="294"/>
      <c r="C1772" s="465"/>
      <c r="D1772" s="226"/>
      <c r="E1772" s="360"/>
      <c r="F1772" s="296"/>
    </row>
    <row r="1773" spans="1:6" ht="14.25" customHeight="1">
      <c r="A1773" s="212"/>
      <c r="B1773" s="294"/>
      <c r="C1773" s="465"/>
      <c r="D1773" s="226"/>
      <c r="E1773" s="360"/>
      <c r="F1773" s="228"/>
    </row>
    <row r="1774" spans="1:6" ht="14.25" customHeight="1">
      <c r="A1774" s="212"/>
      <c r="B1774" s="294"/>
      <c r="C1774" s="465"/>
      <c r="D1774" s="226"/>
      <c r="E1774" s="360"/>
      <c r="F1774" s="228"/>
    </row>
    <row r="1775" spans="1:6" ht="14.25" customHeight="1">
      <c r="A1775" s="212"/>
      <c r="B1775" s="294"/>
      <c r="C1775" s="465"/>
      <c r="D1775" s="470"/>
      <c r="E1775" s="382"/>
      <c r="F1775" s="228"/>
    </row>
    <row r="1776" spans="1:6" ht="14.25" customHeight="1">
      <c r="A1776" s="212"/>
      <c r="B1776" s="294"/>
      <c r="C1776" s="462"/>
      <c r="D1776" s="470"/>
      <c r="E1776" s="382"/>
      <c r="F1776" s="228"/>
    </row>
    <row r="1777" spans="1:60" s="184" customFormat="1" ht="15" customHeight="1">
      <c r="A1777" s="232" t="s">
        <v>2013</v>
      </c>
      <c r="B1777" s="233"/>
      <c r="C1777" s="1524" t="s">
        <v>2718</v>
      </c>
      <c r="D1777" s="232"/>
      <c r="E1777" s="235"/>
      <c r="F1777" s="384"/>
      <c r="G1777" s="183"/>
      <c r="H1777" s="183"/>
      <c r="I1777" s="183"/>
      <c r="J1777" s="183"/>
      <c r="K1777" s="183"/>
      <c r="L1777" s="183"/>
      <c r="M1777" s="183"/>
      <c r="N1777" s="190"/>
      <c r="O1777" s="190"/>
      <c r="P1777" s="190"/>
      <c r="Q1777" s="190"/>
      <c r="R1777" s="190"/>
      <c r="S1777" s="190"/>
      <c r="T1777" s="190"/>
      <c r="U1777" s="190"/>
      <c r="V1777" s="190"/>
      <c r="W1777" s="190"/>
      <c r="X1777" s="190"/>
      <c r="Y1777" s="190"/>
      <c r="Z1777" s="190"/>
      <c r="AA1777" s="190"/>
      <c r="AB1777" s="190"/>
      <c r="AC1777" s="190"/>
      <c r="AD1777" s="190"/>
      <c r="AE1777" s="190"/>
      <c r="AF1777" s="190"/>
      <c r="AG1777" s="190"/>
      <c r="AH1777" s="190"/>
      <c r="AI1777" s="190"/>
      <c r="AJ1777" s="190"/>
      <c r="AK1777" s="190"/>
      <c r="AL1777" s="190"/>
      <c r="AM1777" s="190"/>
      <c r="AN1777" s="190"/>
      <c r="AO1777" s="190"/>
      <c r="AP1777" s="190"/>
      <c r="AQ1777" s="190"/>
      <c r="AR1777" s="190"/>
      <c r="AS1777" s="190"/>
      <c r="AT1777" s="190"/>
      <c r="AU1777" s="190"/>
      <c r="AV1777" s="190"/>
      <c r="AW1777" s="190"/>
      <c r="AX1777" s="190"/>
      <c r="AY1777" s="190"/>
      <c r="AZ1777" s="190"/>
      <c r="BA1777" s="190"/>
      <c r="BB1777" s="190"/>
      <c r="BC1777" s="190"/>
      <c r="BD1777" s="190"/>
      <c r="BE1777" s="190"/>
      <c r="BF1777" s="190"/>
      <c r="BG1777" s="190"/>
      <c r="BH1777" s="190"/>
    </row>
    <row r="1778" spans="1:60" s="198" customFormat="1" ht="15" customHeight="1">
      <c r="A1778" s="237" t="s">
        <v>2719</v>
      </c>
      <c r="B1778" s="238"/>
      <c r="C1778" s="1525"/>
      <c r="D1778" s="285"/>
      <c r="E1778" s="286"/>
      <c r="F1778" s="385"/>
      <c r="G1778" s="196"/>
      <c r="H1778" s="196"/>
      <c r="I1778" s="196"/>
      <c r="J1778" s="196"/>
      <c r="K1778" s="196"/>
      <c r="L1778" s="196"/>
      <c r="M1778" s="196"/>
      <c r="N1778" s="197"/>
      <c r="O1778" s="197"/>
      <c r="P1778" s="197"/>
      <c r="Q1778" s="197"/>
      <c r="R1778" s="197"/>
      <c r="S1778" s="197"/>
      <c r="T1778" s="197"/>
      <c r="U1778" s="197"/>
      <c r="V1778" s="197"/>
      <c r="W1778" s="197"/>
      <c r="X1778" s="197"/>
      <c r="Y1778" s="197"/>
      <c r="Z1778" s="197"/>
      <c r="AA1778" s="197"/>
      <c r="AB1778" s="197"/>
      <c r="AC1778" s="197"/>
      <c r="AD1778" s="197"/>
      <c r="AE1778" s="197"/>
      <c r="AF1778" s="197"/>
      <c r="AG1778" s="197"/>
      <c r="AH1778" s="197"/>
      <c r="AI1778" s="197"/>
      <c r="AJ1778" s="197"/>
      <c r="AK1778" s="197"/>
      <c r="AL1778" s="197"/>
      <c r="AM1778" s="197"/>
      <c r="AN1778" s="197"/>
      <c r="AO1778" s="197"/>
      <c r="AP1778" s="197"/>
      <c r="AQ1778" s="197"/>
      <c r="AR1778" s="197"/>
      <c r="AS1778" s="197"/>
      <c r="AT1778" s="197"/>
      <c r="AU1778" s="197"/>
      <c r="AV1778" s="197"/>
      <c r="AW1778" s="197"/>
      <c r="AX1778" s="197"/>
      <c r="AY1778" s="197"/>
      <c r="AZ1778" s="197"/>
      <c r="BA1778" s="197"/>
      <c r="BB1778" s="197"/>
      <c r="BC1778" s="197"/>
      <c r="BD1778" s="197"/>
      <c r="BE1778" s="197"/>
      <c r="BF1778" s="197"/>
      <c r="BG1778" s="197"/>
      <c r="BH1778" s="197"/>
    </row>
    <row r="1779" spans="1:60" s="204" customFormat="1">
      <c r="A1779" s="199" t="s">
        <v>512</v>
      </c>
      <c r="B1779" s="200" t="s">
        <v>513</v>
      </c>
      <c r="C1779" s="201" t="s">
        <v>514</v>
      </c>
      <c r="D1779" s="199" t="s">
        <v>515</v>
      </c>
      <c r="E1779" s="202" t="s">
        <v>516</v>
      </c>
      <c r="F1779" s="203" t="s">
        <v>1670</v>
      </c>
      <c r="G1779" s="184"/>
      <c r="N1779" s="205"/>
      <c r="O1779" s="205"/>
      <c r="P1779" s="205"/>
      <c r="Q1779" s="205"/>
      <c r="R1779" s="205"/>
      <c r="S1779" s="205"/>
      <c r="T1779" s="205"/>
      <c r="U1779" s="205"/>
      <c r="V1779" s="205"/>
      <c r="W1779" s="205"/>
      <c r="X1779" s="205"/>
      <c r="Y1779" s="205"/>
      <c r="Z1779" s="205"/>
      <c r="AA1779" s="205"/>
      <c r="AB1779" s="205"/>
      <c r="AC1779" s="205"/>
      <c r="AD1779" s="205"/>
      <c r="AE1779" s="205"/>
      <c r="AF1779" s="205"/>
      <c r="AG1779" s="205"/>
      <c r="AH1779" s="205"/>
      <c r="AI1779" s="205"/>
      <c r="AJ1779" s="205"/>
      <c r="AK1779" s="205"/>
      <c r="AL1779" s="205"/>
      <c r="AM1779" s="205"/>
      <c r="AN1779" s="205"/>
      <c r="AO1779" s="205"/>
      <c r="AP1779" s="205"/>
      <c r="AQ1779" s="205"/>
      <c r="AR1779" s="205"/>
      <c r="AS1779" s="205"/>
      <c r="AT1779" s="205"/>
      <c r="AU1779" s="205"/>
      <c r="AV1779" s="205"/>
      <c r="AW1779" s="205"/>
      <c r="AX1779" s="205"/>
      <c r="AY1779" s="205"/>
      <c r="AZ1779" s="205"/>
      <c r="BA1779" s="205"/>
      <c r="BB1779" s="205"/>
      <c r="BC1779" s="205"/>
      <c r="BD1779" s="205"/>
      <c r="BE1779" s="205"/>
      <c r="BF1779" s="205"/>
      <c r="BG1779" s="205"/>
      <c r="BH1779" s="205"/>
    </row>
    <row r="1780" spans="1:60" ht="14.25" customHeight="1">
      <c r="A1780" s="245"/>
      <c r="B1780" s="315"/>
      <c r="C1780" s="316" t="s">
        <v>2720</v>
      </c>
      <c r="D1780" s="317"/>
      <c r="E1780" s="450"/>
      <c r="F1780" s="249"/>
    </row>
    <row r="1781" spans="1:60" ht="14.25" customHeight="1">
      <c r="A1781" s="212"/>
      <c r="B1781" s="213" t="s">
        <v>2721</v>
      </c>
      <c r="C1781" s="357" t="s">
        <v>2722</v>
      </c>
      <c r="D1781" s="226"/>
      <c r="E1781" s="475">
        <f>'[5]COSTO CDMX,QRO,GDL '!I1775</f>
        <v>6166.0818713450299</v>
      </c>
      <c r="F1781" s="217" t="s">
        <v>284</v>
      </c>
    </row>
    <row r="1782" spans="1:60" ht="14.25" customHeight="1">
      <c r="A1782" s="212"/>
      <c r="B1782" s="213" t="s">
        <v>2723</v>
      </c>
      <c r="C1782" s="367"/>
      <c r="D1782" s="226"/>
      <c r="E1782" s="475">
        <f>'[5]COSTO CDMX,QRO,GDL '!I1776</f>
        <v>8229.2397660818715</v>
      </c>
      <c r="F1782" s="217" t="s">
        <v>284</v>
      </c>
    </row>
    <row r="1783" spans="1:60" ht="14.25" customHeight="1">
      <c r="A1783" s="212"/>
      <c r="B1783" s="221"/>
      <c r="C1783" s="367"/>
      <c r="D1783" s="226"/>
      <c r="E1783" s="476"/>
      <c r="F1783" s="280"/>
    </row>
    <row r="1784" spans="1:60" ht="14.25" customHeight="1">
      <c r="A1784" s="212"/>
      <c r="B1784" s="221"/>
      <c r="C1784" s="367"/>
      <c r="D1784" s="226"/>
      <c r="E1784" s="476"/>
      <c r="F1784" s="280"/>
    </row>
    <row r="1785" spans="1:60" ht="14.25" customHeight="1">
      <c r="A1785" s="212"/>
      <c r="B1785" s="221"/>
      <c r="C1785" s="458"/>
      <c r="D1785" s="226"/>
      <c r="E1785" s="476"/>
      <c r="F1785" s="280"/>
    </row>
    <row r="1786" spans="1:60" ht="14.25" customHeight="1">
      <c r="A1786" s="212"/>
      <c r="B1786" s="221"/>
      <c r="C1786" s="458"/>
      <c r="D1786" s="226"/>
      <c r="E1786" s="476"/>
      <c r="F1786" s="280"/>
    </row>
    <row r="1787" spans="1:60" ht="14.25" customHeight="1">
      <c r="A1787" s="212"/>
      <c r="B1787" s="221"/>
      <c r="C1787" s="458"/>
      <c r="D1787" s="226"/>
      <c r="E1787" s="476"/>
      <c r="F1787" s="280"/>
    </row>
    <row r="1788" spans="1:60" ht="14.25" customHeight="1">
      <c r="A1788" s="212"/>
      <c r="B1788" s="221"/>
      <c r="C1788" s="339"/>
      <c r="D1788" s="226"/>
      <c r="E1788" s="360"/>
      <c r="F1788" s="280"/>
    </row>
    <row r="1789" spans="1:60" ht="14.25" customHeight="1">
      <c r="A1789" s="212"/>
      <c r="B1789" s="221"/>
      <c r="C1789" s="339"/>
      <c r="D1789" s="226"/>
      <c r="E1789" s="360"/>
      <c r="F1789" s="280"/>
    </row>
    <row r="1790" spans="1:60" ht="14.25" customHeight="1">
      <c r="A1790" s="212"/>
      <c r="B1790" s="221"/>
      <c r="C1790" s="339"/>
      <c r="D1790" s="226"/>
      <c r="E1790" s="360"/>
      <c r="F1790" s="280"/>
    </row>
    <row r="1791" spans="1:60" ht="14.25" customHeight="1">
      <c r="A1791" s="245"/>
      <c r="B1791" s="315"/>
      <c r="C1791" s="316" t="s">
        <v>2724</v>
      </c>
      <c r="D1791" s="317"/>
      <c r="E1791" s="317"/>
      <c r="F1791" s="317"/>
    </row>
    <row r="1792" spans="1:60" ht="14.25" customHeight="1">
      <c r="A1792" s="212"/>
      <c r="B1792" s="213" t="s">
        <v>2725</v>
      </c>
      <c r="C1792" s="357" t="s">
        <v>2726</v>
      </c>
      <c r="D1792" s="226"/>
      <c r="E1792" s="477">
        <f>'[5]COSTO CDMX,QRO,GDL '!I1786</f>
        <v>17345.029239766081</v>
      </c>
      <c r="F1792" s="217" t="s">
        <v>284</v>
      </c>
    </row>
    <row r="1793" spans="1:6" ht="14.25" customHeight="1">
      <c r="A1793" s="212"/>
      <c r="B1793" s="221"/>
      <c r="C1793" s="295"/>
      <c r="D1793" s="226"/>
      <c r="E1793" s="476"/>
      <c r="F1793" s="296"/>
    </row>
    <row r="1794" spans="1:6" ht="14.25" customHeight="1">
      <c r="A1794" s="212"/>
      <c r="B1794" s="221"/>
      <c r="C1794" s="295"/>
      <c r="D1794" s="226"/>
      <c r="E1794" s="476"/>
      <c r="F1794" s="296"/>
    </row>
    <row r="1795" spans="1:6" ht="14.25" customHeight="1">
      <c r="A1795" s="212"/>
      <c r="B1795" s="221"/>
      <c r="C1795" s="295"/>
      <c r="D1795" s="226"/>
      <c r="E1795" s="476"/>
      <c r="F1795" s="296"/>
    </row>
    <row r="1796" spans="1:6" ht="14.25" customHeight="1">
      <c r="A1796" s="212"/>
      <c r="B1796" s="221"/>
      <c r="C1796" s="244"/>
      <c r="D1796" s="226"/>
      <c r="E1796" s="476"/>
      <c r="F1796" s="296"/>
    </row>
    <row r="1797" spans="1:6" ht="14.25" customHeight="1">
      <c r="A1797" s="212"/>
      <c r="B1797" s="221"/>
      <c r="C1797" s="244"/>
      <c r="D1797" s="226"/>
      <c r="E1797" s="476"/>
      <c r="F1797" s="296"/>
    </row>
    <row r="1798" spans="1:6" ht="14.25" customHeight="1">
      <c r="A1798" s="212"/>
      <c r="B1798" s="221"/>
      <c r="C1798" s="244"/>
      <c r="D1798" s="226"/>
      <c r="E1798" s="476"/>
      <c r="F1798" s="296"/>
    </row>
    <row r="1799" spans="1:6" ht="14.25" customHeight="1">
      <c r="A1799" s="212"/>
      <c r="B1799" s="221"/>
      <c r="C1799" s="244"/>
      <c r="D1799" s="226"/>
      <c r="E1799" s="364"/>
      <c r="F1799" s="296"/>
    </row>
    <row r="1800" spans="1:6" ht="14.25" customHeight="1">
      <c r="A1800" s="212"/>
      <c r="B1800" s="221"/>
      <c r="C1800" s="244"/>
      <c r="D1800" s="226"/>
      <c r="E1800" s="360"/>
      <c r="F1800" s="296"/>
    </row>
    <row r="1801" spans="1:6" ht="14.25" customHeight="1">
      <c r="A1801" s="342"/>
      <c r="B1801" s="224"/>
      <c r="C1801" s="460"/>
      <c r="D1801" s="306"/>
      <c r="E1801" s="360"/>
      <c r="F1801" s="296"/>
    </row>
    <row r="1802" spans="1:6" ht="14.25" customHeight="1">
      <c r="A1802" s="245"/>
      <c r="B1802" s="315"/>
      <c r="C1802" s="316" t="s">
        <v>2727</v>
      </c>
      <c r="D1802" s="317"/>
      <c r="E1802" s="317"/>
      <c r="F1802" s="298"/>
    </row>
    <row r="1803" spans="1:6" ht="14.25" customHeight="1">
      <c r="A1803" s="212"/>
      <c r="B1803" s="213" t="s">
        <v>2728</v>
      </c>
      <c r="C1803" s="357" t="s">
        <v>2729</v>
      </c>
      <c r="D1803" s="226"/>
      <c r="E1803" s="475">
        <f>'[5]COSTO CDMX,QRO,GDL '!I1797</f>
        <v>17712.280701754386</v>
      </c>
      <c r="F1803" s="217" t="s">
        <v>284</v>
      </c>
    </row>
    <row r="1804" spans="1:6" ht="14.25" customHeight="1">
      <c r="A1804" s="212"/>
      <c r="B1804" s="221"/>
      <c r="C1804" s="295"/>
      <c r="D1804" s="226"/>
      <c r="E1804" s="476"/>
      <c r="F1804" s="296"/>
    </row>
    <row r="1805" spans="1:6" ht="14.25" customHeight="1">
      <c r="A1805" s="212"/>
      <c r="B1805" s="221"/>
      <c r="C1805" s="295"/>
      <c r="D1805" s="226"/>
      <c r="E1805" s="476"/>
      <c r="F1805" s="228"/>
    </row>
    <row r="1806" spans="1:6" ht="14.25" customHeight="1">
      <c r="A1806" s="212"/>
      <c r="B1806" s="221"/>
      <c r="C1806" s="225"/>
      <c r="D1806" s="226"/>
      <c r="E1806" s="476"/>
      <c r="F1806" s="228"/>
    </row>
    <row r="1807" spans="1:6" ht="14.25" customHeight="1">
      <c r="A1807" s="212"/>
      <c r="B1807" s="221"/>
      <c r="C1807" s="225"/>
      <c r="D1807" s="226"/>
      <c r="E1807" s="476"/>
      <c r="F1807" s="228"/>
    </row>
    <row r="1808" spans="1:6" ht="14.25" customHeight="1">
      <c r="A1808" s="212"/>
      <c r="B1808" s="221"/>
      <c r="C1808" s="387"/>
      <c r="D1808" s="226"/>
      <c r="E1808" s="476"/>
      <c r="F1808" s="228"/>
    </row>
    <row r="1809" spans="1:6" ht="14.25" customHeight="1">
      <c r="A1809" s="212"/>
      <c r="B1809" s="221"/>
      <c r="C1809" s="387"/>
      <c r="D1809" s="226"/>
      <c r="E1809" s="476"/>
      <c r="F1809" s="228"/>
    </row>
    <row r="1810" spans="1:6" ht="14.25" customHeight="1">
      <c r="A1810" s="212"/>
      <c r="B1810" s="221"/>
      <c r="C1810" s="387"/>
      <c r="D1810" s="226"/>
      <c r="E1810" s="360"/>
      <c r="F1810" s="228"/>
    </row>
    <row r="1811" spans="1:6" ht="14.25" customHeight="1">
      <c r="A1811" s="212"/>
      <c r="B1811" s="221"/>
      <c r="C1811" s="387"/>
      <c r="D1811" s="226"/>
      <c r="E1811" s="360"/>
      <c r="F1811" s="228"/>
    </row>
    <row r="1812" spans="1:6" ht="14.25" customHeight="1">
      <c r="A1812" s="212"/>
      <c r="B1812" s="221"/>
      <c r="C1812" s="295"/>
      <c r="D1812" s="226"/>
      <c r="E1812" s="360"/>
      <c r="F1812" s="228"/>
    </row>
    <row r="1813" spans="1:6" ht="14.25" customHeight="1">
      <c r="A1813" s="245"/>
      <c r="B1813" s="315"/>
      <c r="C1813" s="316" t="s">
        <v>2730</v>
      </c>
      <c r="D1813" s="317"/>
      <c r="E1813" s="317"/>
      <c r="F1813" s="456"/>
    </row>
    <row r="1814" spans="1:6" ht="14.25" customHeight="1">
      <c r="A1814" s="212"/>
      <c r="B1814" s="213" t="s">
        <v>2731</v>
      </c>
      <c r="C1814" s="393" t="s">
        <v>2732</v>
      </c>
      <c r="D1814" s="226"/>
      <c r="E1814" s="475">
        <f>'[5]COSTO CDMX,QRO,GDL '!I1808</f>
        <v>43592.982456140358</v>
      </c>
      <c r="F1814" s="217" t="s">
        <v>284</v>
      </c>
    </row>
    <row r="1815" spans="1:6" ht="14.25" customHeight="1">
      <c r="A1815" s="212"/>
      <c r="B1815" s="221"/>
      <c r="C1815" s="295" t="s">
        <v>2733</v>
      </c>
      <c r="D1815" s="226"/>
      <c r="E1815" s="476"/>
      <c r="F1815" s="228"/>
    </row>
    <row r="1816" spans="1:6" ht="14.25" customHeight="1">
      <c r="A1816" s="212"/>
      <c r="B1816" s="221"/>
      <c r="C1816" s="295"/>
      <c r="D1816" s="226"/>
      <c r="E1816" s="476"/>
      <c r="F1816" s="228"/>
    </row>
    <row r="1817" spans="1:6" ht="14.25" customHeight="1">
      <c r="A1817" s="212"/>
      <c r="B1817" s="221"/>
      <c r="C1817" s="225"/>
      <c r="D1817" s="226"/>
      <c r="E1817" s="476"/>
      <c r="F1817" s="228"/>
    </row>
    <row r="1818" spans="1:6" ht="14.25" customHeight="1">
      <c r="A1818" s="212"/>
      <c r="B1818" s="221"/>
      <c r="C1818" s="225"/>
      <c r="D1818" s="226"/>
      <c r="E1818" s="476"/>
      <c r="F1818" s="228"/>
    </row>
    <row r="1819" spans="1:6" ht="14.25" customHeight="1">
      <c r="A1819" s="212"/>
      <c r="B1819" s="221"/>
      <c r="C1819" s="225"/>
      <c r="D1819" s="226"/>
      <c r="E1819" s="476"/>
      <c r="F1819" s="228"/>
    </row>
    <row r="1820" spans="1:6" ht="14.25" customHeight="1">
      <c r="A1820" s="212"/>
      <c r="B1820" s="221"/>
      <c r="C1820" s="225"/>
      <c r="D1820" s="226"/>
      <c r="E1820" s="476"/>
      <c r="F1820" s="228"/>
    </row>
    <row r="1821" spans="1:6" ht="14.25" customHeight="1">
      <c r="A1821" s="212"/>
      <c r="B1821" s="221"/>
      <c r="C1821" s="387"/>
      <c r="D1821" s="226"/>
      <c r="E1821" s="360"/>
      <c r="F1821" s="228"/>
    </row>
    <row r="1822" spans="1:6" ht="14.25" customHeight="1">
      <c r="A1822" s="212"/>
      <c r="B1822" s="221"/>
      <c r="C1822" s="244"/>
      <c r="D1822" s="226"/>
      <c r="E1822" s="360"/>
      <c r="F1822" s="228"/>
    </row>
    <row r="1823" spans="1:6" ht="14.25" customHeight="1">
      <c r="A1823" s="212"/>
      <c r="B1823" s="221"/>
      <c r="C1823" s="244"/>
      <c r="D1823" s="226"/>
      <c r="E1823" s="360"/>
      <c r="F1823" s="228"/>
    </row>
    <row r="1824" spans="1:6" ht="14.25" customHeight="1">
      <c r="A1824" s="245"/>
      <c r="B1824" s="315"/>
      <c r="C1824" s="316" t="s">
        <v>2734</v>
      </c>
      <c r="D1824" s="317"/>
      <c r="E1824" s="317"/>
      <c r="F1824" s="249"/>
    </row>
    <row r="1825" spans="1:6" ht="14.25" customHeight="1">
      <c r="A1825" s="333"/>
      <c r="B1825" s="213" t="s">
        <v>2735</v>
      </c>
      <c r="C1825" s="357" t="s">
        <v>2736</v>
      </c>
      <c r="D1825" s="305" t="s">
        <v>1795</v>
      </c>
      <c r="E1825" s="360">
        <f>'[5]COSTO CDMX,QRO,GDL '!I1819</f>
        <v>0</v>
      </c>
      <c r="F1825" s="217" t="s">
        <v>284</v>
      </c>
    </row>
    <row r="1826" spans="1:6" ht="14.25" customHeight="1">
      <c r="A1826" s="212"/>
      <c r="B1826" s="221"/>
      <c r="C1826" s="358" t="s">
        <v>2737</v>
      </c>
      <c r="D1826" s="226"/>
      <c r="E1826" s="381"/>
      <c r="F1826" s="284"/>
    </row>
    <row r="1827" spans="1:6" ht="14.25" customHeight="1">
      <c r="A1827" s="212"/>
      <c r="B1827" s="221"/>
      <c r="C1827" s="367"/>
      <c r="D1827" s="226"/>
      <c r="E1827" s="381"/>
      <c r="F1827" s="284"/>
    </row>
    <row r="1828" spans="1:6" ht="14.25" customHeight="1">
      <c r="A1828" s="212"/>
      <c r="B1828" s="221"/>
      <c r="C1828" s="367"/>
      <c r="D1828" s="226"/>
      <c r="E1828" s="381"/>
      <c r="F1828" s="284"/>
    </row>
    <row r="1829" spans="1:6" ht="14.25" customHeight="1">
      <c r="A1829" s="212"/>
      <c r="B1829" s="221"/>
      <c r="C1829" s="458"/>
      <c r="D1829" s="226"/>
      <c r="E1829" s="381"/>
      <c r="F1829" s="284"/>
    </row>
    <row r="1830" spans="1:6" ht="14.25" customHeight="1">
      <c r="A1830" s="212"/>
      <c r="B1830" s="221"/>
      <c r="C1830" s="458"/>
      <c r="D1830" s="226"/>
      <c r="E1830" s="381"/>
      <c r="F1830" s="284"/>
    </row>
    <row r="1831" spans="1:6" ht="14.25" customHeight="1">
      <c r="A1831" s="212"/>
      <c r="B1831" s="221"/>
      <c r="C1831" s="458"/>
      <c r="D1831" s="226"/>
      <c r="E1831" s="381"/>
      <c r="F1831" s="284"/>
    </row>
    <row r="1832" spans="1:6" ht="14.25" customHeight="1">
      <c r="A1832" s="212"/>
      <c r="B1832" s="221"/>
      <c r="C1832" s="458"/>
      <c r="D1832" s="226"/>
      <c r="E1832" s="381"/>
      <c r="F1832" s="284"/>
    </row>
    <row r="1833" spans="1:6" ht="14.25" customHeight="1">
      <c r="A1833" s="212"/>
      <c r="B1833" s="221"/>
      <c r="C1833" s="339"/>
      <c r="D1833" s="226"/>
      <c r="E1833" s="381"/>
      <c r="F1833" s="284"/>
    </row>
    <row r="1834" spans="1:6" ht="14.25" customHeight="1">
      <c r="A1834" s="212"/>
      <c r="B1834" s="221"/>
      <c r="C1834" s="339"/>
      <c r="D1834" s="226"/>
      <c r="E1834" s="381"/>
      <c r="F1834" s="284"/>
    </row>
    <row r="1835" spans="1:6" ht="14.25" customHeight="1">
      <c r="A1835" s="342"/>
      <c r="B1835" s="224"/>
      <c r="C1835" s="344"/>
      <c r="D1835" s="306"/>
      <c r="E1835" s="478"/>
      <c r="F1835" s="479"/>
    </row>
    <row r="1836" spans="1:6" ht="14.25" customHeight="1">
      <c r="A1836" s="245"/>
      <c r="B1836" s="315"/>
      <c r="C1836" s="316" t="s">
        <v>2738</v>
      </c>
      <c r="D1836" s="317"/>
      <c r="E1836" s="317"/>
      <c r="F1836" s="249"/>
    </row>
    <row r="1837" spans="1:6" ht="14.25" customHeight="1">
      <c r="A1837" s="333"/>
      <c r="B1837" s="213" t="s">
        <v>2739</v>
      </c>
      <c r="C1837" s="1526" t="s">
        <v>2740</v>
      </c>
      <c r="D1837" s="480" t="s">
        <v>2741</v>
      </c>
      <c r="E1837" s="360">
        <f>'[5]COSTO CDMX,QRO,GDL '!I1831</f>
        <v>118156.72514619882</v>
      </c>
      <c r="F1837" s="217" t="s">
        <v>284</v>
      </c>
    </row>
    <row r="1838" spans="1:6" ht="14.25" customHeight="1">
      <c r="A1838" s="212"/>
      <c r="B1838" s="221"/>
      <c r="C1838" s="1527"/>
      <c r="D1838" s="226"/>
      <c r="E1838" s="381"/>
      <c r="F1838" s="284"/>
    </row>
    <row r="1839" spans="1:6" ht="14.25" customHeight="1">
      <c r="A1839" s="212"/>
      <c r="B1839" s="221"/>
      <c r="C1839" s="1527"/>
      <c r="D1839" s="226"/>
      <c r="E1839" s="381"/>
      <c r="F1839" s="284"/>
    </row>
    <row r="1840" spans="1:6" ht="14.25" customHeight="1">
      <c r="A1840" s="212"/>
      <c r="B1840" s="221"/>
      <c r="C1840" s="1527"/>
      <c r="D1840" s="226"/>
      <c r="E1840" s="381"/>
      <c r="F1840" s="284"/>
    </row>
    <row r="1841" spans="1:60" ht="14.25" customHeight="1">
      <c r="A1841" s="212"/>
      <c r="B1841" s="221"/>
      <c r="C1841" s="1527"/>
      <c r="D1841" s="226"/>
      <c r="E1841" s="381"/>
      <c r="F1841" s="284"/>
    </row>
    <row r="1842" spans="1:60" ht="14.25" customHeight="1">
      <c r="A1842" s="212"/>
      <c r="B1842" s="221"/>
      <c r="C1842" s="1527"/>
      <c r="D1842" s="226"/>
      <c r="E1842" s="381"/>
      <c r="F1842" s="284"/>
    </row>
    <row r="1843" spans="1:60" ht="14.25" customHeight="1">
      <c r="A1843" s="212"/>
      <c r="B1843" s="221"/>
      <c r="C1843" s="1527"/>
      <c r="D1843" s="226"/>
      <c r="E1843" s="381"/>
      <c r="F1843" s="284"/>
    </row>
    <row r="1844" spans="1:60" ht="14.25" customHeight="1">
      <c r="A1844" s="212"/>
      <c r="B1844" s="221"/>
      <c r="C1844" s="1527"/>
      <c r="D1844" s="226"/>
      <c r="E1844" s="381"/>
      <c r="F1844" s="284"/>
    </row>
    <row r="1845" spans="1:60" ht="14.25" customHeight="1">
      <c r="A1845" s="212"/>
      <c r="B1845" s="221"/>
      <c r="C1845" s="1527"/>
      <c r="D1845" s="226"/>
      <c r="E1845" s="381"/>
      <c r="F1845" s="284"/>
    </row>
    <row r="1846" spans="1:60" ht="14.25" customHeight="1">
      <c r="A1846" s="212"/>
      <c r="B1846" s="221"/>
      <c r="C1846" s="1527"/>
      <c r="D1846" s="226"/>
      <c r="E1846" s="381"/>
      <c r="F1846" s="284"/>
    </row>
    <row r="1847" spans="1:60" ht="14.25" customHeight="1">
      <c r="A1847" s="212"/>
      <c r="B1847" s="221"/>
      <c r="C1847" s="339"/>
      <c r="D1847" s="226"/>
      <c r="E1847" s="381"/>
      <c r="F1847" s="284"/>
    </row>
    <row r="1848" spans="1:60" ht="14.25" customHeight="1">
      <c r="A1848" s="342"/>
      <c r="B1848" s="224"/>
      <c r="C1848" s="344"/>
      <c r="D1848" s="306"/>
      <c r="E1848" s="478"/>
      <c r="F1848" s="479"/>
    </row>
    <row r="1849" spans="1:60" s="184" customFormat="1" ht="15" customHeight="1">
      <c r="A1849" s="232" t="s">
        <v>2013</v>
      </c>
      <c r="B1849" s="233"/>
      <c r="C1849" s="1524" t="s">
        <v>1962</v>
      </c>
      <c r="D1849" s="232"/>
      <c r="E1849" s="235"/>
      <c r="F1849" s="481"/>
      <c r="G1849" s="183"/>
      <c r="H1849" s="183"/>
      <c r="I1849" s="183"/>
      <c r="J1849" s="183"/>
      <c r="K1849" s="183"/>
      <c r="L1849" s="183"/>
      <c r="M1849" s="183"/>
      <c r="N1849" s="190"/>
      <c r="O1849" s="190"/>
      <c r="P1849" s="190"/>
      <c r="Q1849" s="190"/>
      <c r="R1849" s="190"/>
      <c r="S1849" s="190"/>
      <c r="T1849" s="190"/>
      <c r="U1849" s="190"/>
      <c r="V1849" s="190"/>
      <c r="W1849" s="190"/>
      <c r="X1849" s="190"/>
      <c r="Y1849" s="190"/>
      <c r="Z1849" s="190"/>
      <c r="AA1849" s="190"/>
      <c r="AB1849" s="190"/>
      <c r="AC1849" s="190"/>
      <c r="AD1849" s="190"/>
      <c r="AE1849" s="190"/>
      <c r="AF1849" s="190"/>
      <c r="AG1849" s="190"/>
      <c r="AH1849" s="190"/>
      <c r="AI1849" s="190"/>
      <c r="AJ1849" s="190"/>
      <c r="AK1849" s="190"/>
      <c r="AL1849" s="190"/>
      <c r="AM1849" s="190"/>
      <c r="AN1849" s="190"/>
      <c r="AO1849" s="190"/>
      <c r="AP1849" s="190"/>
      <c r="AQ1849" s="190"/>
      <c r="AR1849" s="190"/>
      <c r="AS1849" s="190"/>
      <c r="AT1849" s="190"/>
      <c r="AU1849" s="190"/>
      <c r="AV1849" s="190"/>
      <c r="AW1849" s="190"/>
      <c r="AX1849" s="190"/>
      <c r="AY1849" s="190"/>
      <c r="AZ1849" s="190"/>
      <c r="BA1849" s="190"/>
      <c r="BB1849" s="190"/>
      <c r="BC1849" s="190"/>
      <c r="BD1849" s="190"/>
      <c r="BE1849" s="190"/>
      <c r="BF1849" s="190"/>
      <c r="BG1849" s="190"/>
      <c r="BH1849" s="190"/>
    </row>
    <row r="1850" spans="1:60" s="198" customFormat="1" ht="15" customHeight="1">
      <c r="A1850" s="237" t="s">
        <v>1963</v>
      </c>
      <c r="B1850" s="238"/>
      <c r="C1850" s="1525"/>
      <c r="D1850" s="285"/>
      <c r="E1850" s="286"/>
      <c r="F1850" s="482"/>
      <c r="G1850" s="196"/>
      <c r="H1850" s="196"/>
      <c r="I1850" s="196"/>
      <c r="J1850" s="196"/>
      <c r="K1850" s="196"/>
      <c r="L1850" s="196"/>
      <c r="M1850" s="196"/>
      <c r="N1850" s="197"/>
      <c r="O1850" s="197"/>
      <c r="P1850" s="197"/>
      <c r="Q1850" s="197"/>
      <c r="R1850" s="197"/>
      <c r="S1850" s="197"/>
      <c r="T1850" s="197"/>
      <c r="U1850" s="197"/>
      <c r="V1850" s="197"/>
      <c r="W1850" s="197"/>
      <c r="X1850" s="197"/>
      <c r="Y1850" s="197"/>
      <c r="Z1850" s="197"/>
      <c r="AA1850" s="197"/>
      <c r="AB1850" s="197"/>
      <c r="AC1850" s="197"/>
      <c r="AD1850" s="197"/>
      <c r="AE1850" s="197"/>
      <c r="AF1850" s="197"/>
      <c r="AG1850" s="197"/>
      <c r="AH1850" s="197"/>
      <c r="AI1850" s="197"/>
      <c r="AJ1850" s="197"/>
      <c r="AK1850" s="197"/>
      <c r="AL1850" s="197"/>
      <c r="AM1850" s="197"/>
      <c r="AN1850" s="197"/>
      <c r="AO1850" s="197"/>
      <c r="AP1850" s="197"/>
      <c r="AQ1850" s="197"/>
      <c r="AR1850" s="197"/>
      <c r="AS1850" s="197"/>
      <c r="AT1850" s="197"/>
      <c r="AU1850" s="197"/>
      <c r="AV1850" s="197"/>
      <c r="AW1850" s="197"/>
      <c r="AX1850" s="197"/>
      <c r="AY1850" s="197"/>
      <c r="AZ1850" s="197"/>
      <c r="BA1850" s="197"/>
      <c r="BB1850" s="197"/>
      <c r="BC1850" s="197"/>
      <c r="BD1850" s="197"/>
      <c r="BE1850" s="197"/>
      <c r="BF1850" s="197"/>
      <c r="BG1850" s="197"/>
      <c r="BH1850" s="197"/>
    </row>
    <row r="1851" spans="1:60" s="204" customFormat="1">
      <c r="A1851" s="199" t="s">
        <v>512</v>
      </c>
      <c r="B1851" s="200" t="s">
        <v>513</v>
      </c>
      <c r="C1851" s="201" t="s">
        <v>514</v>
      </c>
      <c r="D1851" s="199" t="s">
        <v>515</v>
      </c>
      <c r="E1851" s="202" t="s">
        <v>516</v>
      </c>
      <c r="F1851" s="203" t="s">
        <v>1670</v>
      </c>
      <c r="G1851" s="184"/>
      <c r="N1851" s="205"/>
      <c r="O1851" s="205"/>
      <c r="P1851" s="205"/>
      <c r="Q1851" s="205"/>
      <c r="R1851" s="205"/>
      <c r="S1851" s="205"/>
      <c r="T1851" s="205"/>
      <c r="U1851" s="205"/>
      <c r="V1851" s="205"/>
      <c r="W1851" s="205"/>
      <c r="X1851" s="205"/>
      <c r="Y1851" s="205"/>
      <c r="Z1851" s="205"/>
      <c r="AA1851" s="205"/>
      <c r="AB1851" s="205"/>
      <c r="AC1851" s="205"/>
      <c r="AD1851" s="205"/>
      <c r="AE1851" s="205"/>
      <c r="AF1851" s="205"/>
      <c r="AG1851" s="205"/>
      <c r="AH1851" s="205"/>
      <c r="AI1851" s="205"/>
      <c r="AJ1851" s="205"/>
      <c r="AK1851" s="205"/>
      <c r="AL1851" s="205"/>
      <c r="AM1851" s="205"/>
      <c r="AN1851" s="205"/>
      <c r="AO1851" s="205"/>
      <c r="AP1851" s="205"/>
      <c r="AQ1851" s="205"/>
      <c r="AR1851" s="205"/>
      <c r="AS1851" s="205"/>
      <c r="AT1851" s="205"/>
      <c r="AU1851" s="205"/>
      <c r="AV1851" s="205"/>
      <c r="AW1851" s="205"/>
      <c r="AX1851" s="205"/>
      <c r="AY1851" s="205"/>
      <c r="AZ1851" s="205"/>
      <c r="BA1851" s="205"/>
      <c r="BB1851" s="205"/>
      <c r="BC1851" s="205"/>
      <c r="BD1851" s="205"/>
      <c r="BE1851" s="205"/>
      <c r="BF1851" s="205"/>
      <c r="BG1851" s="205"/>
      <c r="BH1851" s="205"/>
    </row>
    <row r="1852" spans="1:60" ht="14.25" customHeight="1">
      <c r="A1852" s="245"/>
      <c r="B1852" s="315"/>
      <c r="C1852" s="316" t="s">
        <v>1964</v>
      </c>
      <c r="D1852" s="317"/>
      <c r="E1852" s="450"/>
      <c r="F1852" s="483"/>
    </row>
    <row r="1853" spans="1:60" ht="14.25" customHeight="1">
      <c r="A1853" s="212"/>
      <c r="B1853" s="213" t="s">
        <v>1965</v>
      </c>
      <c r="C1853" s="393" t="s">
        <v>1966</v>
      </c>
      <c r="D1853" s="226" t="s">
        <v>1967</v>
      </c>
      <c r="E1853" s="360">
        <f>'[5]COSTO CDMX,QRO,GDL '!I1847</f>
        <v>6746.6666666666661</v>
      </c>
      <c r="F1853" s="217" t="s">
        <v>1968</v>
      </c>
      <c r="G1853" s="461"/>
    </row>
    <row r="1854" spans="1:60" ht="14.25" customHeight="1">
      <c r="A1854" s="212"/>
      <c r="B1854" s="213"/>
      <c r="C1854" s="295" t="s">
        <v>1969</v>
      </c>
      <c r="D1854" s="226"/>
      <c r="E1854" s="360"/>
      <c r="F1854" s="308"/>
    </row>
    <row r="1855" spans="1:60" ht="14.25" customHeight="1">
      <c r="A1855" s="212"/>
      <c r="B1855" s="213"/>
      <c r="C1855" s="295" t="s">
        <v>1970</v>
      </c>
      <c r="D1855" s="226"/>
      <c r="E1855" s="360"/>
      <c r="F1855" s="308"/>
    </row>
    <row r="1856" spans="1:60" ht="14.25" customHeight="1">
      <c r="A1856" s="212"/>
      <c r="B1856" s="213"/>
      <c r="C1856" s="295" t="s">
        <v>1971</v>
      </c>
      <c r="D1856" s="226"/>
      <c r="E1856" s="360"/>
      <c r="F1856" s="308"/>
    </row>
    <row r="1857" spans="1:7" ht="14.25" customHeight="1">
      <c r="A1857" s="212"/>
      <c r="B1857" s="213"/>
      <c r="C1857" s="295"/>
      <c r="D1857" s="226"/>
      <c r="E1857" s="360"/>
      <c r="F1857" s="308"/>
      <c r="G1857" s="461"/>
    </row>
    <row r="1858" spans="1:7" ht="14.25" customHeight="1">
      <c r="A1858" s="212"/>
      <c r="B1858" s="213"/>
      <c r="C1858" s="295"/>
      <c r="D1858" s="226"/>
      <c r="E1858" s="360"/>
      <c r="F1858" s="308"/>
    </row>
    <row r="1859" spans="1:7" ht="14.25" customHeight="1">
      <c r="A1859" s="212"/>
      <c r="B1859" s="213"/>
      <c r="C1859" s="295"/>
      <c r="D1859" s="226"/>
      <c r="E1859" s="360"/>
      <c r="F1859" s="308"/>
    </row>
    <row r="1860" spans="1:7" ht="14.25" customHeight="1">
      <c r="A1860" s="212"/>
      <c r="B1860" s="213"/>
      <c r="C1860" s="295"/>
      <c r="D1860" s="226"/>
      <c r="E1860" s="360"/>
      <c r="F1860" s="308"/>
    </row>
    <row r="1861" spans="1:7" ht="14.25" customHeight="1">
      <c r="A1861" s="212"/>
      <c r="B1861" s="213"/>
      <c r="C1861" s="295"/>
      <c r="D1861" s="226"/>
      <c r="E1861" s="360"/>
      <c r="F1861" s="308"/>
      <c r="G1861" s="461"/>
    </row>
    <row r="1862" spans="1:7" ht="14.25" customHeight="1">
      <c r="A1862" s="212"/>
      <c r="B1862" s="215"/>
      <c r="C1862" s="243"/>
      <c r="D1862" s="338"/>
      <c r="E1862" s="360"/>
      <c r="F1862" s="308"/>
    </row>
    <row r="1863" spans="1:7" ht="14.25" customHeight="1">
      <c r="A1863" s="212"/>
      <c r="B1863" s="213" t="s">
        <v>1972</v>
      </c>
      <c r="C1863" s="295" t="s">
        <v>1973</v>
      </c>
      <c r="D1863" s="226" t="s">
        <v>1974</v>
      </c>
      <c r="E1863" s="360">
        <f>'[5]COSTO CDMX,QRO,GDL '!I1857</f>
        <v>269.00584795321635</v>
      </c>
      <c r="F1863" s="217" t="s">
        <v>1968</v>
      </c>
    </row>
    <row r="1864" spans="1:7" ht="14.25" customHeight="1">
      <c r="A1864" s="212"/>
      <c r="B1864" s="213"/>
      <c r="C1864" s="295" t="s">
        <v>1975</v>
      </c>
      <c r="D1864" s="226"/>
      <c r="E1864" s="360"/>
      <c r="F1864" s="308"/>
    </row>
    <row r="1865" spans="1:7" ht="14.25" customHeight="1">
      <c r="A1865" s="212"/>
      <c r="B1865" s="213"/>
      <c r="C1865" s="295" t="s">
        <v>1970</v>
      </c>
      <c r="D1865" s="226"/>
      <c r="E1865" s="360"/>
      <c r="F1865" s="308"/>
    </row>
    <row r="1866" spans="1:7" ht="14.25" customHeight="1">
      <c r="A1866" s="212"/>
      <c r="B1866" s="213"/>
      <c r="C1866" s="295" t="s">
        <v>1971</v>
      </c>
      <c r="D1866" s="226"/>
      <c r="E1866" s="360"/>
      <c r="F1866" s="308"/>
    </row>
    <row r="1867" spans="1:7" ht="14.25" customHeight="1">
      <c r="A1867" s="212"/>
      <c r="B1867" s="213"/>
      <c r="C1867" s="295"/>
      <c r="D1867" s="226"/>
      <c r="E1867" s="360"/>
      <c r="F1867" s="308"/>
    </row>
    <row r="1868" spans="1:7" ht="14.25" customHeight="1">
      <c r="A1868" s="212"/>
      <c r="B1868" s="213"/>
      <c r="C1868" s="295"/>
      <c r="D1868" s="226"/>
      <c r="E1868" s="360"/>
      <c r="F1868" s="308"/>
    </row>
    <row r="1869" spans="1:7" ht="14.25" customHeight="1">
      <c r="A1869" s="212"/>
      <c r="B1869" s="213"/>
      <c r="C1869" s="295"/>
      <c r="D1869" s="226"/>
      <c r="E1869" s="360"/>
      <c r="F1869" s="308"/>
    </row>
    <row r="1870" spans="1:7" ht="14.25" customHeight="1">
      <c r="A1870" s="212"/>
      <c r="B1870" s="213"/>
      <c r="C1870" s="295"/>
      <c r="D1870" s="226"/>
      <c r="E1870" s="360"/>
      <c r="F1870" s="308"/>
    </row>
    <row r="1871" spans="1:7" ht="14.25" customHeight="1">
      <c r="A1871" s="212"/>
      <c r="B1871" s="213"/>
      <c r="C1871" s="295"/>
      <c r="D1871" s="226"/>
      <c r="E1871" s="360"/>
      <c r="F1871" s="308"/>
    </row>
    <row r="1872" spans="1:7" ht="14.25" customHeight="1">
      <c r="A1872" s="212"/>
      <c r="B1872" s="213"/>
      <c r="C1872" s="295"/>
      <c r="D1872" s="226"/>
      <c r="E1872" s="360"/>
      <c r="F1872" s="308"/>
    </row>
    <row r="1873" spans="1:6" ht="14.25" customHeight="1">
      <c r="A1873" s="212"/>
      <c r="B1873" s="213"/>
      <c r="C1873" s="244"/>
      <c r="D1873" s="226"/>
      <c r="E1873" s="360"/>
      <c r="F1873" s="308"/>
    </row>
    <row r="1874" spans="1:6" ht="14.25" customHeight="1">
      <c r="A1874" s="212"/>
      <c r="B1874" s="213" t="s">
        <v>1976</v>
      </c>
      <c r="C1874" s="295" t="s">
        <v>1977</v>
      </c>
      <c r="D1874" s="226" t="s">
        <v>1978</v>
      </c>
      <c r="E1874" s="360">
        <f>'[5]COSTO CDMX,QRO,GDL '!I1868</f>
        <v>5740.5847953216371</v>
      </c>
      <c r="F1874" s="217" t="s">
        <v>1968</v>
      </c>
    </row>
    <row r="1875" spans="1:6" ht="14.25" customHeight="1">
      <c r="A1875" s="212"/>
      <c r="B1875" s="213"/>
      <c r="C1875" s="295" t="s">
        <v>1979</v>
      </c>
      <c r="D1875" s="226"/>
      <c r="E1875" s="360"/>
      <c r="F1875" s="308"/>
    </row>
    <row r="1876" spans="1:6" ht="14.25" customHeight="1">
      <c r="A1876" s="212"/>
      <c r="B1876" s="213"/>
      <c r="C1876" s="295" t="s">
        <v>1980</v>
      </c>
      <c r="D1876" s="226"/>
      <c r="E1876" s="360"/>
      <c r="F1876" s="308"/>
    </row>
    <row r="1877" spans="1:6" ht="14.25" customHeight="1">
      <c r="A1877" s="212"/>
      <c r="B1877" s="213"/>
      <c r="C1877" s="295" t="s">
        <v>1981</v>
      </c>
      <c r="D1877" s="226"/>
      <c r="E1877" s="360"/>
      <c r="F1877" s="308"/>
    </row>
    <row r="1878" spans="1:6" ht="14.25" customHeight="1">
      <c r="A1878" s="212"/>
      <c r="B1878" s="213"/>
      <c r="C1878" s="244"/>
      <c r="D1878" s="226"/>
      <c r="E1878" s="360"/>
      <c r="F1878" s="308"/>
    </row>
    <row r="1879" spans="1:6" ht="14.25" customHeight="1">
      <c r="A1879" s="212"/>
      <c r="B1879" s="213"/>
      <c r="C1879" s="244"/>
      <c r="D1879" s="226"/>
      <c r="E1879" s="360"/>
      <c r="F1879" s="308"/>
    </row>
    <row r="1880" spans="1:6" ht="14.25" customHeight="1">
      <c r="A1880" s="212"/>
      <c r="B1880" s="484"/>
      <c r="C1880" s="485"/>
      <c r="D1880" s="486"/>
      <c r="E1880" s="360"/>
      <c r="F1880" s="308"/>
    </row>
    <row r="1881" spans="1:6" ht="14.25" customHeight="1">
      <c r="A1881" s="212"/>
      <c r="B1881" s="487"/>
      <c r="C1881" s="488"/>
      <c r="D1881" s="489"/>
      <c r="E1881" s="360"/>
      <c r="F1881" s="308"/>
    </row>
    <row r="1882" spans="1:6" ht="14.25" customHeight="1">
      <c r="A1882" s="212"/>
      <c r="B1882" s="487"/>
      <c r="C1882" s="488"/>
      <c r="D1882" s="489"/>
      <c r="E1882" s="360"/>
      <c r="F1882" s="308"/>
    </row>
    <row r="1883" spans="1:6" ht="14.25" customHeight="1">
      <c r="A1883" s="212"/>
      <c r="B1883" s="213" t="s">
        <v>2742</v>
      </c>
      <c r="C1883" s="295" t="s">
        <v>2743</v>
      </c>
      <c r="D1883" s="226" t="s">
        <v>2744</v>
      </c>
      <c r="E1883" s="475">
        <f>'[5]COSTO CDMX,QRO,GDL '!I1877</f>
        <v>839.76608187134502</v>
      </c>
      <c r="F1883" s="217" t="s">
        <v>284</v>
      </c>
    </row>
    <row r="1884" spans="1:6" ht="14.25" customHeight="1">
      <c r="A1884" s="212"/>
      <c r="B1884" s="487"/>
      <c r="C1884" s="295"/>
      <c r="D1884" s="489"/>
      <c r="E1884" s="475"/>
      <c r="F1884" s="296"/>
    </row>
    <row r="1885" spans="1:6" ht="14.25" customHeight="1">
      <c r="A1885" s="212"/>
      <c r="B1885" s="213" t="s">
        <v>2745</v>
      </c>
      <c r="C1885" s="295" t="s">
        <v>2746</v>
      </c>
      <c r="D1885" s="226" t="s">
        <v>2747</v>
      </c>
      <c r="E1885" s="475">
        <f>'[5]COSTO CDMX,QRO,GDL '!I1879</f>
        <v>818.71345029239762</v>
      </c>
      <c r="F1885" s="217" t="s">
        <v>284</v>
      </c>
    </row>
    <row r="1886" spans="1:6" ht="14.25" customHeight="1">
      <c r="A1886" s="212"/>
      <c r="B1886" s="213"/>
      <c r="C1886" s="295"/>
      <c r="D1886" s="226"/>
      <c r="E1886" s="490"/>
      <c r="F1886" s="217"/>
    </row>
    <row r="1887" spans="1:6" ht="14.25" customHeight="1">
      <c r="A1887" s="212"/>
      <c r="B1887" s="213"/>
      <c r="C1887" s="295"/>
      <c r="D1887" s="226"/>
      <c r="E1887" s="360"/>
      <c r="F1887" s="296"/>
    </row>
    <row r="1888" spans="1:6" ht="14.25" customHeight="1">
      <c r="A1888" s="212"/>
      <c r="B1888" s="213" t="s">
        <v>2748</v>
      </c>
      <c r="C1888" s="295" t="s">
        <v>2749</v>
      </c>
      <c r="D1888" s="226" t="s">
        <v>2750</v>
      </c>
      <c r="E1888" s="360">
        <f>'[5]COSTO CDMX,QRO,GDL '!I1882</f>
        <v>4991.812865497076</v>
      </c>
      <c r="F1888" s="217" t="s">
        <v>284</v>
      </c>
    </row>
    <row r="1889" spans="1:251" ht="14.25" customHeight="1">
      <c r="A1889" s="212"/>
      <c r="B1889" s="213"/>
      <c r="C1889" s="295"/>
      <c r="D1889" s="226"/>
      <c r="E1889" s="360"/>
      <c r="F1889" s="308"/>
    </row>
    <row r="1890" spans="1:251" ht="14.25" customHeight="1">
      <c r="A1890" s="212"/>
      <c r="B1890" s="213"/>
      <c r="C1890" s="295"/>
      <c r="D1890" s="226"/>
      <c r="E1890" s="360"/>
      <c r="F1890" s="308"/>
    </row>
    <row r="1891" spans="1:251" ht="14.25" customHeight="1">
      <c r="A1891" s="212"/>
      <c r="B1891" s="213"/>
      <c r="C1891" s="295"/>
      <c r="D1891" s="226"/>
      <c r="E1891" s="360"/>
      <c r="F1891" s="308"/>
    </row>
    <row r="1892" spans="1:251" ht="14.25" customHeight="1">
      <c r="A1892" s="212"/>
      <c r="B1892" s="213"/>
      <c r="C1892" s="244"/>
      <c r="D1892" s="226"/>
      <c r="E1892" s="360"/>
      <c r="F1892" s="308"/>
    </row>
    <row r="1893" spans="1:251" ht="14.25" customHeight="1">
      <c r="A1893" s="212"/>
      <c r="B1893" s="213"/>
      <c r="C1893" s="244"/>
      <c r="D1893" s="226"/>
      <c r="E1893" s="360"/>
      <c r="F1893" s="308"/>
    </row>
    <row r="1894" spans="1:251" ht="14.25" customHeight="1">
      <c r="A1894" s="212"/>
      <c r="B1894" s="484"/>
      <c r="C1894" s="485"/>
      <c r="D1894" s="486"/>
      <c r="E1894" s="360"/>
      <c r="F1894" s="308"/>
    </row>
    <row r="1895" spans="1:251" ht="14.25" customHeight="1">
      <c r="A1895" s="212"/>
      <c r="B1895" s="487"/>
      <c r="C1895" s="488"/>
      <c r="D1895" s="489"/>
      <c r="E1895" s="360"/>
      <c r="F1895" s="308"/>
    </row>
    <row r="1896" spans="1:251" s="184" customFormat="1" ht="15" customHeight="1">
      <c r="A1896" s="232" t="s">
        <v>2013</v>
      </c>
      <c r="B1896" s="233"/>
      <c r="C1896" s="234" t="s">
        <v>1982</v>
      </c>
      <c r="D1896" s="232"/>
      <c r="E1896" s="235"/>
      <c r="F1896" s="481"/>
      <c r="G1896" s="183"/>
      <c r="H1896" s="183"/>
      <c r="I1896" s="183"/>
      <c r="J1896" s="183"/>
      <c r="K1896" s="183"/>
      <c r="L1896" s="183"/>
      <c r="M1896" s="183"/>
      <c r="N1896" s="190"/>
      <c r="O1896" s="190"/>
      <c r="P1896" s="190"/>
      <c r="Q1896" s="190"/>
      <c r="R1896" s="190"/>
      <c r="S1896" s="190"/>
      <c r="T1896" s="190"/>
      <c r="U1896" s="190"/>
      <c r="V1896" s="190"/>
      <c r="W1896" s="190"/>
      <c r="X1896" s="190"/>
      <c r="Y1896" s="190"/>
      <c r="Z1896" s="190"/>
      <c r="AA1896" s="190"/>
      <c r="AB1896" s="190"/>
      <c r="AC1896" s="190"/>
      <c r="AD1896" s="190"/>
      <c r="AE1896" s="190"/>
      <c r="AF1896" s="190"/>
      <c r="AG1896" s="190"/>
      <c r="AH1896" s="190"/>
      <c r="AI1896" s="190"/>
      <c r="AJ1896" s="190"/>
      <c r="AK1896" s="190"/>
      <c r="AL1896" s="190"/>
      <c r="AM1896" s="190"/>
      <c r="AN1896" s="190"/>
      <c r="AO1896" s="190"/>
      <c r="AP1896" s="190"/>
      <c r="AQ1896" s="190"/>
      <c r="AR1896" s="190"/>
      <c r="AS1896" s="190"/>
      <c r="AT1896" s="190"/>
      <c r="AU1896" s="190"/>
      <c r="AV1896" s="190"/>
      <c r="AW1896" s="190"/>
      <c r="AX1896" s="190"/>
      <c r="AY1896" s="190"/>
      <c r="AZ1896" s="190"/>
      <c r="BA1896" s="190"/>
      <c r="BB1896" s="190"/>
      <c r="BC1896" s="190"/>
      <c r="BD1896" s="190"/>
      <c r="BE1896" s="190"/>
      <c r="BF1896" s="190"/>
      <c r="BG1896" s="190"/>
      <c r="BH1896" s="190"/>
      <c r="BI1896" s="190"/>
      <c r="BJ1896" s="190"/>
      <c r="BK1896" s="190"/>
      <c r="BL1896" s="190"/>
      <c r="BM1896" s="190"/>
      <c r="BN1896" s="190"/>
      <c r="BO1896" s="190"/>
      <c r="BP1896" s="190"/>
      <c r="BQ1896" s="190"/>
      <c r="BR1896" s="190"/>
      <c r="BS1896" s="190"/>
      <c r="BT1896" s="190"/>
      <c r="BU1896" s="190"/>
      <c r="BV1896" s="190"/>
      <c r="BW1896" s="190"/>
      <c r="BX1896" s="190"/>
      <c r="BY1896" s="190"/>
      <c r="BZ1896" s="190"/>
      <c r="CA1896" s="190"/>
      <c r="CB1896" s="190"/>
      <c r="CC1896" s="190"/>
      <c r="CD1896" s="190"/>
      <c r="CE1896" s="190"/>
      <c r="CF1896" s="190"/>
      <c r="CG1896" s="190"/>
      <c r="CH1896" s="190"/>
      <c r="CI1896" s="190"/>
      <c r="CJ1896" s="190"/>
      <c r="CK1896" s="190"/>
      <c r="CL1896" s="190"/>
      <c r="CM1896" s="190"/>
      <c r="CN1896" s="190"/>
      <c r="CO1896" s="190"/>
      <c r="CP1896" s="190"/>
      <c r="CQ1896" s="190"/>
      <c r="CR1896" s="190"/>
      <c r="CS1896" s="190"/>
      <c r="CT1896" s="190"/>
      <c r="CU1896" s="190"/>
      <c r="CV1896" s="190"/>
      <c r="CW1896" s="190"/>
      <c r="CX1896" s="190"/>
      <c r="CY1896" s="190"/>
      <c r="CZ1896" s="190"/>
      <c r="DA1896" s="190"/>
      <c r="DB1896" s="190"/>
      <c r="DC1896" s="190"/>
      <c r="DD1896" s="190"/>
      <c r="DE1896" s="190"/>
      <c r="DF1896" s="190"/>
      <c r="DG1896" s="190"/>
      <c r="DH1896" s="190"/>
      <c r="DI1896" s="190"/>
      <c r="DJ1896" s="190"/>
      <c r="DK1896" s="190"/>
      <c r="DL1896" s="190"/>
      <c r="DM1896" s="190"/>
      <c r="DN1896" s="190"/>
      <c r="DO1896" s="190"/>
      <c r="DP1896" s="190"/>
      <c r="DQ1896" s="190"/>
      <c r="DR1896" s="190"/>
      <c r="DS1896" s="190"/>
      <c r="DT1896" s="190"/>
      <c r="DU1896" s="190"/>
      <c r="DV1896" s="190"/>
      <c r="DW1896" s="190"/>
      <c r="DX1896" s="190"/>
      <c r="DY1896" s="190"/>
      <c r="DZ1896" s="190"/>
      <c r="EA1896" s="190"/>
      <c r="EB1896" s="190"/>
      <c r="EC1896" s="190"/>
      <c r="ED1896" s="190"/>
      <c r="EE1896" s="190"/>
      <c r="EF1896" s="190"/>
      <c r="EG1896" s="190"/>
      <c r="EH1896" s="190"/>
      <c r="EI1896" s="190"/>
      <c r="EJ1896" s="190"/>
      <c r="EK1896" s="190"/>
      <c r="EL1896" s="190"/>
      <c r="EM1896" s="190"/>
      <c r="EN1896" s="190"/>
      <c r="EO1896" s="190"/>
      <c r="EP1896" s="190"/>
      <c r="EQ1896" s="190"/>
      <c r="ER1896" s="190"/>
      <c r="ES1896" s="190"/>
      <c r="ET1896" s="190"/>
      <c r="EU1896" s="190"/>
      <c r="EV1896" s="190"/>
      <c r="EW1896" s="190"/>
      <c r="EX1896" s="190"/>
      <c r="EY1896" s="190"/>
      <c r="EZ1896" s="190"/>
      <c r="FA1896" s="190"/>
      <c r="FB1896" s="190"/>
      <c r="FC1896" s="190"/>
      <c r="FD1896" s="190"/>
      <c r="FE1896" s="190"/>
      <c r="FF1896" s="190"/>
      <c r="FG1896" s="190"/>
      <c r="FH1896" s="190"/>
      <c r="FI1896" s="190"/>
      <c r="FJ1896" s="190"/>
      <c r="FK1896" s="190"/>
      <c r="FL1896" s="190"/>
      <c r="FM1896" s="190"/>
      <c r="FN1896" s="190"/>
      <c r="FO1896" s="190"/>
      <c r="FP1896" s="190"/>
      <c r="FQ1896" s="190"/>
      <c r="FR1896" s="190"/>
      <c r="FS1896" s="190"/>
      <c r="FT1896" s="190"/>
      <c r="FU1896" s="190"/>
      <c r="FV1896" s="190"/>
      <c r="FW1896" s="190"/>
      <c r="FX1896" s="190"/>
      <c r="FY1896" s="190"/>
      <c r="FZ1896" s="190"/>
      <c r="GA1896" s="190"/>
      <c r="GB1896" s="190"/>
      <c r="GC1896" s="190"/>
      <c r="GD1896" s="190"/>
      <c r="GE1896" s="190"/>
      <c r="GF1896" s="190"/>
      <c r="GG1896" s="190"/>
      <c r="GH1896" s="190"/>
      <c r="GI1896" s="190"/>
      <c r="GJ1896" s="190"/>
      <c r="GK1896" s="190"/>
      <c r="GL1896" s="190"/>
      <c r="GM1896" s="190"/>
      <c r="GN1896" s="190"/>
      <c r="GO1896" s="190"/>
      <c r="GP1896" s="190"/>
      <c r="GQ1896" s="190"/>
      <c r="GR1896" s="190"/>
      <c r="GS1896" s="190"/>
      <c r="GT1896" s="190"/>
      <c r="GU1896" s="190"/>
      <c r="GV1896" s="190"/>
      <c r="GW1896" s="190"/>
      <c r="GX1896" s="190"/>
      <c r="GY1896" s="190"/>
      <c r="GZ1896" s="190"/>
      <c r="HA1896" s="190"/>
      <c r="HB1896" s="190"/>
      <c r="HC1896" s="190"/>
      <c r="HD1896" s="190"/>
      <c r="HE1896" s="190"/>
      <c r="HF1896" s="190"/>
      <c r="HG1896" s="190"/>
      <c r="HH1896" s="190"/>
      <c r="HI1896" s="190"/>
      <c r="HJ1896" s="190"/>
      <c r="HK1896" s="190"/>
      <c r="HL1896" s="190"/>
      <c r="HM1896" s="190"/>
      <c r="HN1896" s="190"/>
      <c r="HO1896" s="190"/>
      <c r="HP1896" s="190"/>
      <c r="HQ1896" s="190"/>
      <c r="HR1896" s="190"/>
      <c r="HS1896" s="190"/>
      <c r="HT1896" s="190"/>
      <c r="HU1896" s="190"/>
      <c r="HV1896" s="190"/>
      <c r="HW1896" s="190"/>
      <c r="HX1896" s="190"/>
      <c r="HY1896" s="190"/>
      <c r="HZ1896" s="190"/>
      <c r="IA1896" s="190"/>
      <c r="IB1896" s="190"/>
      <c r="IC1896" s="190"/>
      <c r="ID1896" s="190"/>
      <c r="IE1896" s="190"/>
      <c r="IF1896" s="190"/>
      <c r="IG1896" s="190"/>
      <c r="IH1896" s="190"/>
      <c r="II1896" s="190"/>
      <c r="IJ1896" s="190"/>
      <c r="IK1896" s="190"/>
      <c r="IL1896" s="190"/>
      <c r="IM1896" s="190"/>
      <c r="IN1896" s="190"/>
      <c r="IO1896" s="190"/>
      <c r="IP1896" s="190"/>
      <c r="IQ1896" s="190"/>
    </row>
    <row r="1897" spans="1:251" s="198" customFormat="1" ht="15" customHeight="1">
      <c r="A1897" s="237" t="s">
        <v>1963</v>
      </c>
      <c r="B1897" s="238"/>
      <c r="C1897" s="491"/>
      <c r="D1897" s="285"/>
      <c r="E1897" s="286"/>
      <c r="F1897" s="482"/>
      <c r="G1897" s="196"/>
      <c r="H1897" s="196"/>
      <c r="I1897" s="196"/>
      <c r="J1897" s="196"/>
      <c r="K1897" s="196"/>
      <c r="L1897" s="196"/>
      <c r="M1897" s="196"/>
      <c r="N1897" s="197"/>
      <c r="O1897" s="197"/>
      <c r="P1897" s="197"/>
      <c r="Q1897" s="197"/>
      <c r="R1897" s="197"/>
      <c r="S1897" s="197"/>
      <c r="T1897" s="197"/>
      <c r="U1897" s="197"/>
      <c r="V1897" s="197"/>
      <c r="W1897" s="197"/>
      <c r="X1897" s="197"/>
      <c r="Y1897" s="197"/>
      <c r="Z1897" s="197"/>
      <c r="AA1897" s="197"/>
      <c r="AB1897" s="197"/>
      <c r="AC1897" s="197"/>
      <c r="AD1897" s="197"/>
      <c r="AE1897" s="197"/>
      <c r="AF1897" s="197"/>
      <c r="AG1897" s="197"/>
      <c r="AH1897" s="197"/>
      <c r="AI1897" s="197"/>
      <c r="AJ1897" s="197"/>
      <c r="AK1897" s="197"/>
      <c r="AL1897" s="197"/>
      <c r="AM1897" s="197"/>
      <c r="AN1897" s="197"/>
      <c r="AO1897" s="197"/>
      <c r="AP1897" s="197"/>
      <c r="AQ1897" s="197"/>
      <c r="AR1897" s="197"/>
      <c r="AS1897" s="197"/>
      <c r="AT1897" s="197"/>
      <c r="AU1897" s="197"/>
      <c r="AV1897" s="197"/>
      <c r="AW1897" s="197"/>
      <c r="AX1897" s="197"/>
      <c r="AY1897" s="197"/>
      <c r="AZ1897" s="197"/>
      <c r="BA1897" s="197"/>
      <c r="BB1897" s="197"/>
      <c r="BC1897" s="197"/>
      <c r="BD1897" s="197"/>
      <c r="BE1897" s="197"/>
      <c r="BF1897" s="197"/>
      <c r="BG1897" s="197"/>
      <c r="BH1897" s="197"/>
      <c r="BI1897" s="197"/>
      <c r="BJ1897" s="197"/>
      <c r="BK1897" s="197"/>
      <c r="BL1897" s="197"/>
      <c r="BM1897" s="197"/>
      <c r="BN1897" s="197"/>
      <c r="BO1897" s="197"/>
      <c r="BP1897" s="197"/>
      <c r="BQ1897" s="197"/>
      <c r="BR1897" s="197"/>
      <c r="BS1897" s="197"/>
      <c r="BT1897" s="197"/>
      <c r="BU1897" s="197"/>
      <c r="BV1897" s="197"/>
      <c r="BW1897" s="197"/>
      <c r="BX1897" s="197"/>
      <c r="BY1897" s="197"/>
      <c r="BZ1897" s="197"/>
      <c r="CA1897" s="197"/>
      <c r="CB1897" s="197"/>
      <c r="CC1897" s="197"/>
      <c r="CD1897" s="197"/>
      <c r="CE1897" s="197"/>
      <c r="CF1897" s="197"/>
      <c r="CG1897" s="197"/>
      <c r="CH1897" s="197"/>
      <c r="CI1897" s="197"/>
      <c r="CJ1897" s="197"/>
      <c r="CK1897" s="197"/>
      <c r="CL1897" s="197"/>
      <c r="CM1897" s="197"/>
      <c r="CN1897" s="197"/>
      <c r="CO1897" s="197"/>
      <c r="CP1897" s="197"/>
      <c r="CQ1897" s="197"/>
      <c r="CR1897" s="197"/>
      <c r="CS1897" s="197"/>
      <c r="CT1897" s="197"/>
      <c r="CU1897" s="197"/>
      <c r="CV1897" s="197"/>
      <c r="CW1897" s="197"/>
      <c r="CX1897" s="197"/>
      <c r="CY1897" s="197"/>
      <c r="CZ1897" s="197"/>
      <c r="DA1897" s="197"/>
      <c r="DB1897" s="197"/>
      <c r="DC1897" s="197"/>
      <c r="DD1897" s="197"/>
      <c r="DE1897" s="197"/>
      <c r="DF1897" s="197"/>
      <c r="DG1897" s="197"/>
      <c r="DH1897" s="197"/>
      <c r="DI1897" s="197"/>
      <c r="DJ1897" s="197"/>
      <c r="DK1897" s="197"/>
      <c r="DL1897" s="197"/>
      <c r="DM1897" s="197"/>
      <c r="DN1897" s="197"/>
      <c r="DO1897" s="197"/>
      <c r="DP1897" s="197"/>
      <c r="DQ1897" s="197"/>
      <c r="DR1897" s="197"/>
      <c r="DS1897" s="197"/>
      <c r="DT1897" s="197"/>
      <c r="DU1897" s="197"/>
      <c r="DV1897" s="197"/>
      <c r="DW1897" s="197"/>
      <c r="DX1897" s="197"/>
      <c r="DY1897" s="197"/>
      <c r="DZ1897" s="197"/>
      <c r="EA1897" s="197"/>
      <c r="EB1897" s="197"/>
      <c r="EC1897" s="197"/>
      <c r="ED1897" s="197"/>
      <c r="EE1897" s="197"/>
      <c r="EF1897" s="197"/>
      <c r="EG1897" s="197"/>
      <c r="EH1897" s="197"/>
      <c r="EI1897" s="197"/>
      <c r="EJ1897" s="197"/>
      <c r="EK1897" s="197"/>
      <c r="EL1897" s="197"/>
      <c r="EM1897" s="197"/>
      <c r="EN1897" s="197"/>
      <c r="EO1897" s="197"/>
      <c r="EP1897" s="197"/>
      <c r="EQ1897" s="197"/>
      <c r="ER1897" s="197"/>
      <c r="ES1897" s="197"/>
      <c r="ET1897" s="197"/>
      <c r="EU1897" s="197"/>
      <c r="EV1897" s="197"/>
      <c r="EW1897" s="197"/>
      <c r="EX1897" s="197"/>
      <c r="EY1897" s="197"/>
      <c r="EZ1897" s="197"/>
      <c r="FA1897" s="197"/>
      <c r="FB1897" s="197"/>
      <c r="FC1897" s="197"/>
      <c r="FD1897" s="197"/>
      <c r="FE1897" s="197"/>
      <c r="FF1897" s="197"/>
      <c r="FG1897" s="197"/>
      <c r="FH1897" s="197"/>
      <c r="FI1897" s="197"/>
      <c r="FJ1897" s="197"/>
      <c r="FK1897" s="197"/>
      <c r="FL1897" s="197"/>
      <c r="FM1897" s="197"/>
      <c r="FN1897" s="197"/>
      <c r="FO1897" s="197"/>
      <c r="FP1897" s="197"/>
      <c r="FQ1897" s="197"/>
      <c r="FR1897" s="197"/>
      <c r="FS1897" s="197"/>
      <c r="FT1897" s="197"/>
      <c r="FU1897" s="197"/>
      <c r="FV1897" s="197"/>
      <c r="FW1897" s="197"/>
      <c r="FX1897" s="197"/>
      <c r="FY1897" s="197"/>
      <c r="FZ1897" s="197"/>
      <c r="GA1897" s="197"/>
      <c r="GB1897" s="197"/>
      <c r="GC1897" s="197"/>
      <c r="GD1897" s="197"/>
      <c r="GE1897" s="197"/>
      <c r="GF1897" s="197"/>
      <c r="GG1897" s="197"/>
      <c r="GH1897" s="197"/>
      <c r="GI1897" s="197"/>
      <c r="GJ1897" s="197"/>
      <c r="GK1897" s="197"/>
      <c r="GL1897" s="197"/>
      <c r="GM1897" s="197"/>
      <c r="GN1897" s="197"/>
      <c r="GO1897" s="197"/>
      <c r="GP1897" s="197"/>
      <c r="GQ1897" s="197"/>
      <c r="GR1897" s="197"/>
      <c r="GS1897" s="197"/>
      <c r="GT1897" s="197"/>
      <c r="GU1897" s="197"/>
      <c r="GV1897" s="197"/>
      <c r="GW1897" s="197"/>
      <c r="GX1897" s="197"/>
      <c r="GY1897" s="197"/>
      <c r="GZ1897" s="197"/>
      <c r="HA1897" s="197"/>
      <c r="HB1897" s="197"/>
      <c r="HC1897" s="197"/>
      <c r="HD1897" s="197"/>
      <c r="HE1897" s="197"/>
      <c r="HF1897" s="197"/>
      <c r="HG1897" s="197"/>
      <c r="HH1897" s="197"/>
      <c r="HI1897" s="197"/>
      <c r="HJ1897" s="197"/>
      <c r="HK1897" s="197"/>
      <c r="HL1897" s="197"/>
      <c r="HM1897" s="197"/>
      <c r="HN1897" s="197"/>
      <c r="HO1897" s="197"/>
      <c r="HP1897" s="197"/>
      <c r="HQ1897" s="197"/>
      <c r="HR1897" s="197"/>
      <c r="HS1897" s="197"/>
      <c r="HT1897" s="197"/>
      <c r="HU1897" s="197"/>
      <c r="HV1897" s="197"/>
      <c r="HW1897" s="197"/>
      <c r="HX1897" s="197"/>
      <c r="HY1897" s="197"/>
      <c r="HZ1897" s="197"/>
      <c r="IA1897" s="197"/>
      <c r="IB1897" s="197"/>
      <c r="IC1897" s="197"/>
      <c r="ID1897" s="197"/>
      <c r="IE1897" s="197"/>
      <c r="IF1897" s="197"/>
      <c r="IG1897" s="197"/>
      <c r="IH1897" s="197"/>
      <c r="II1897" s="197"/>
      <c r="IJ1897" s="197"/>
      <c r="IK1897" s="197"/>
      <c r="IL1897" s="197"/>
      <c r="IM1897" s="197"/>
      <c r="IN1897" s="197"/>
      <c r="IO1897" s="197"/>
      <c r="IP1897" s="197"/>
      <c r="IQ1897" s="197"/>
    </row>
    <row r="1898" spans="1:251" s="204" customFormat="1">
      <c r="A1898" s="199" t="s">
        <v>512</v>
      </c>
      <c r="B1898" s="200" t="s">
        <v>513</v>
      </c>
      <c r="C1898" s="201" t="s">
        <v>514</v>
      </c>
      <c r="D1898" s="199" t="s">
        <v>515</v>
      </c>
      <c r="E1898" s="202" t="s">
        <v>516</v>
      </c>
      <c r="F1898" s="203" t="s">
        <v>1670</v>
      </c>
      <c r="G1898" s="184"/>
      <c r="N1898" s="205"/>
      <c r="O1898" s="205"/>
      <c r="P1898" s="205"/>
      <c r="Q1898" s="205"/>
      <c r="R1898" s="205"/>
      <c r="S1898" s="205"/>
      <c r="T1898" s="205"/>
      <c r="U1898" s="205"/>
      <c r="V1898" s="205"/>
      <c r="W1898" s="205"/>
      <c r="X1898" s="205"/>
      <c r="Y1898" s="205"/>
      <c r="Z1898" s="205"/>
      <c r="AA1898" s="205"/>
      <c r="AB1898" s="205"/>
      <c r="AC1898" s="205"/>
      <c r="AD1898" s="205"/>
      <c r="AE1898" s="205"/>
      <c r="AF1898" s="205"/>
      <c r="AG1898" s="205"/>
      <c r="AH1898" s="205"/>
      <c r="AI1898" s="205"/>
      <c r="AJ1898" s="205"/>
      <c r="AK1898" s="205"/>
      <c r="AL1898" s="205"/>
      <c r="AM1898" s="205"/>
      <c r="AN1898" s="205"/>
      <c r="AO1898" s="205"/>
      <c r="AP1898" s="205"/>
      <c r="AQ1898" s="205"/>
      <c r="AR1898" s="205"/>
      <c r="AS1898" s="205"/>
      <c r="AT1898" s="205"/>
      <c r="AU1898" s="205"/>
      <c r="AV1898" s="205"/>
      <c r="AW1898" s="205"/>
      <c r="AX1898" s="205"/>
      <c r="AY1898" s="205"/>
      <c r="AZ1898" s="205"/>
      <c r="BA1898" s="205"/>
      <c r="BB1898" s="205"/>
      <c r="BC1898" s="205"/>
      <c r="BD1898" s="205"/>
      <c r="BE1898" s="205"/>
      <c r="BF1898" s="205"/>
      <c r="BG1898" s="205"/>
      <c r="BH1898" s="205"/>
    </row>
    <row r="1899" spans="1:251" ht="14.25" customHeight="1">
      <c r="A1899" s="245"/>
      <c r="B1899" s="315"/>
      <c r="C1899" s="316" t="s">
        <v>1983</v>
      </c>
      <c r="D1899" s="317"/>
      <c r="E1899" s="450"/>
      <c r="F1899" s="483"/>
      <c r="BI1899" s="171"/>
      <c r="BJ1899" s="171"/>
      <c r="BK1899" s="171"/>
      <c r="BL1899" s="171"/>
      <c r="BM1899" s="171"/>
      <c r="BN1899" s="171"/>
      <c r="BO1899" s="171"/>
      <c r="BP1899" s="171"/>
      <c r="BQ1899" s="171"/>
      <c r="BR1899" s="171"/>
      <c r="BS1899" s="171"/>
      <c r="BT1899" s="171"/>
      <c r="BU1899" s="171"/>
      <c r="BV1899" s="171"/>
      <c r="BW1899" s="171"/>
      <c r="BX1899" s="171"/>
      <c r="BY1899" s="171"/>
      <c r="BZ1899" s="171"/>
      <c r="CA1899" s="171"/>
      <c r="CB1899" s="171"/>
      <c r="CC1899" s="171"/>
      <c r="CD1899" s="171"/>
      <c r="CE1899" s="171"/>
      <c r="CF1899" s="171"/>
      <c r="CG1899" s="171"/>
      <c r="CH1899" s="171"/>
      <c r="CI1899" s="171"/>
      <c r="CJ1899" s="171"/>
      <c r="CK1899" s="171"/>
      <c r="CL1899" s="171"/>
      <c r="CM1899" s="171"/>
      <c r="CN1899" s="171"/>
      <c r="CO1899" s="171"/>
      <c r="CP1899" s="171"/>
      <c r="CQ1899" s="171"/>
      <c r="CR1899" s="171"/>
      <c r="CS1899" s="171"/>
      <c r="CT1899" s="171"/>
      <c r="CU1899" s="171"/>
      <c r="CV1899" s="171"/>
      <c r="CW1899" s="171"/>
      <c r="CX1899" s="171"/>
      <c r="CY1899" s="171"/>
      <c r="CZ1899" s="171"/>
      <c r="DA1899" s="171"/>
      <c r="DB1899" s="171"/>
      <c r="DC1899" s="171"/>
      <c r="DD1899" s="171"/>
      <c r="DE1899" s="171"/>
      <c r="DF1899" s="171"/>
      <c r="DG1899" s="171"/>
      <c r="DH1899" s="171"/>
      <c r="DI1899" s="171"/>
      <c r="DJ1899" s="171"/>
      <c r="DK1899" s="171"/>
      <c r="DL1899" s="171"/>
      <c r="DM1899" s="171"/>
      <c r="DN1899" s="171"/>
      <c r="DO1899" s="171"/>
      <c r="DP1899" s="171"/>
      <c r="DQ1899" s="171"/>
      <c r="DR1899" s="171"/>
      <c r="DS1899" s="171"/>
      <c r="DT1899" s="171"/>
      <c r="DU1899" s="171"/>
      <c r="DV1899" s="171"/>
      <c r="DW1899" s="171"/>
      <c r="DX1899" s="171"/>
      <c r="DY1899" s="171"/>
      <c r="DZ1899" s="171"/>
      <c r="EA1899" s="171"/>
      <c r="EB1899" s="171"/>
      <c r="EC1899" s="171"/>
      <c r="ED1899" s="171"/>
      <c r="EE1899" s="171"/>
      <c r="EF1899" s="171"/>
      <c r="EG1899" s="171"/>
      <c r="EH1899" s="171"/>
      <c r="EI1899" s="171"/>
      <c r="EJ1899" s="171"/>
      <c r="EK1899" s="171"/>
      <c r="EL1899" s="171"/>
      <c r="EM1899" s="171"/>
      <c r="EN1899" s="171"/>
      <c r="EO1899" s="171"/>
      <c r="EP1899" s="171"/>
      <c r="EQ1899" s="171"/>
      <c r="ER1899" s="171"/>
      <c r="ES1899" s="171"/>
      <c r="ET1899" s="171"/>
      <c r="EU1899" s="171"/>
      <c r="EV1899" s="171"/>
      <c r="EW1899" s="171"/>
      <c r="EX1899" s="171"/>
      <c r="EY1899" s="171"/>
      <c r="EZ1899" s="171"/>
      <c r="FA1899" s="171"/>
      <c r="FB1899" s="171"/>
      <c r="FC1899" s="171"/>
      <c r="FD1899" s="171"/>
      <c r="FE1899" s="171"/>
      <c r="FF1899" s="171"/>
      <c r="FG1899" s="171"/>
      <c r="FH1899" s="171"/>
      <c r="FI1899" s="171"/>
      <c r="FJ1899" s="171"/>
      <c r="FK1899" s="171"/>
      <c r="FL1899" s="171"/>
      <c r="FM1899" s="171"/>
      <c r="FN1899" s="171"/>
      <c r="FO1899" s="171"/>
      <c r="FP1899" s="171"/>
      <c r="FQ1899" s="171"/>
      <c r="FR1899" s="171"/>
      <c r="FS1899" s="171"/>
      <c r="FT1899" s="171"/>
      <c r="FU1899" s="171"/>
      <c r="FV1899" s="171"/>
      <c r="FW1899" s="171"/>
      <c r="FX1899" s="171"/>
      <c r="FY1899" s="171"/>
      <c r="FZ1899" s="171"/>
      <c r="GA1899" s="171"/>
      <c r="GB1899" s="171"/>
      <c r="GC1899" s="171"/>
      <c r="GD1899" s="171"/>
      <c r="GE1899" s="171"/>
      <c r="GF1899" s="171"/>
      <c r="GG1899" s="171"/>
      <c r="GH1899" s="171"/>
      <c r="GI1899" s="171"/>
      <c r="GJ1899" s="171"/>
      <c r="GK1899" s="171"/>
      <c r="GL1899" s="171"/>
      <c r="GM1899" s="171"/>
      <c r="GN1899" s="171"/>
      <c r="GO1899" s="171"/>
      <c r="GP1899" s="171"/>
      <c r="GQ1899" s="171"/>
      <c r="GR1899" s="171"/>
      <c r="GS1899" s="171"/>
      <c r="GT1899" s="171"/>
      <c r="GU1899" s="171"/>
      <c r="GV1899" s="171"/>
      <c r="GW1899" s="171"/>
      <c r="GX1899" s="171"/>
      <c r="GY1899" s="171"/>
      <c r="GZ1899" s="171"/>
      <c r="HA1899" s="171"/>
      <c r="HB1899" s="171"/>
      <c r="HC1899" s="171"/>
      <c r="HD1899" s="171"/>
      <c r="HE1899" s="171"/>
      <c r="HF1899" s="171"/>
      <c r="HG1899" s="171"/>
      <c r="HH1899" s="171"/>
      <c r="HI1899" s="171"/>
      <c r="HJ1899" s="171"/>
      <c r="HK1899" s="171"/>
      <c r="HL1899" s="171"/>
      <c r="HM1899" s="171"/>
      <c r="HN1899" s="171"/>
      <c r="HO1899" s="171"/>
      <c r="HP1899" s="171"/>
      <c r="HQ1899" s="171"/>
      <c r="HR1899" s="171"/>
      <c r="HS1899" s="171"/>
      <c r="HT1899" s="171"/>
      <c r="HU1899" s="171"/>
      <c r="HV1899" s="171"/>
      <c r="HW1899" s="171"/>
      <c r="HX1899" s="171"/>
      <c r="HY1899" s="171"/>
      <c r="HZ1899" s="171"/>
      <c r="IA1899" s="171"/>
      <c r="IB1899" s="171"/>
      <c r="IC1899" s="171"/>
      <c r="ID1899" s="171"/>
      <c r="IE1899" s="171"/>
      <c r="IF1899" s="171"/>
      <c r="IG1899" s="171"/>
      <c r="IH1899" s="171"/>
      <c r="II1899" s="171"/>
      <c r="IJ1899" s="171"/>
      <c r="IK1899" s="171"/>
      <c r="IL1899" s="171"/>
      <c r="IM1899" s="171"/>
      <c r="IN1899" s="171"/>
      <c r="IO1899" s="171"/>
      <c r="IP1899" s="171"/>
      <c r="IQ1899" s="171"/>
    </row>
    <row r="1900" spans="1:251" ht="14.25" customHeight="1">
      <c r="A1900" s="212"/>
      <c r="B1900" s="492" t="s">
        <v>1984</v>
      </c>
      <c r="C1900" s="493" t="s">
        <v>1985</v>
      </c>
      <c r="D1900" s="494" t="s">
        <v>1986</v>
      </c>
      <c r="E1900" s="360">
        <f>'[5]COSTO CDMX,QRO,GDL '!I1894</f>
        <v>7873.6842105263158</v>
      </c>
      <c r="F1900" s="217" t="s">
        <v>1968</v>
      </c>
      <c r="H1900" s="461"/>
      <c r="BI1900" s="171"/>
      <c r="BJ1900" s="171"/>
      <c r="BK1900" s="171"/>
      <c r="BL1900" s="171"/>
      <c r="BM1900" s="171"/>
      <c r="BN1900" s="171"/>
      <c r="BO1900" s="171"/>
      <c r="BP1900" s="171"/>
      <c r="BQ1900" s="171"/>
      <c r="BR1900" s="171"/>
      <c r="BS1900" s="171"/>
      <c r="BT1900" s="171"/>
      <c r="BU1900" s="171"/>
      <c r="BV1900" s="171"/>
      <c r="BW1900" s="171"/>
      <c r="BX1900" s="171"/>
      <c r="BY1900" s="171"/>
      <c r="BZ1900" s="171"/>
      <c r="CA1900" s="171"/>
      <c r="CB1900" s="171"/>
      <c r="CC1900" s="171"/>
      <c r="CD1900" s="171"/>
      <c r="CE1900" s="171"/>
      <c r="CF1900" s="171"/>
      <c r="CG1900" s="171"/>
      <c r="CH1900" s="171"/>
      <c r="CI1900" s="171"/>
      <c r="CJ1900" s="171"/>
      <c r="CK1900" s="171"/>
      <c r="CL1900" s="171"/>
      <c r="CM1900" s="171"/>
      <c r="CN1900" s="171"/>
      <c r="CO1900" s="171"/>
      <c r="CP1900" s="171"/>
      <c r="CQ1900" s="171"/>
      <c r="CR1900" s="171"/>
      <c r="CS1900" s="171"/>
      <c r="CT1900" s="171"/>
      <c r="CU1900" s="171"/>
      <c r="CV1900" s="171"/>
      <c r="CW1900" s="171"/>
      <c r="CX1900" s="171"/>
      <c r="CY1900" s="171"/>
      <c r="CZ1900" s="171"/>
      <c r="DA1900" s="171"/>
      <c r="DB1900" s="171"/>
      <c r="DC1900" s="171"/>
      <c r="DD1900" s="171"/>
      <c r="DE1900" s="171"/>
      <c r="DF1900" s="171"/>
      <c r="DG1900" s="171"/>
      <c r="DH1900" s="171"/>
      <c r="DI1900" s="171"/>
      <c r="DJ1900" s="171"/>
      <c r="DK1900" s="171"/>
      <c r="DL1900" s="171"/>
      <c r="DM1900" s="171"/>
      <c r="DN1900" s="171"/>
      <c r="DO1900" s="171"/>
      <c r="DP1900" s="171"/>
      <c r="DQ1900" s="171"/>
      <c r="DR1900" s="171"/>
      <c r="DS1900" s="171"/>
      <c r="DT1900" s="171"/>
      <c r="DU1900" s="171"/>
      <c r="DV1900" s="171"/>
      <c r="DW1900" s="171"/>
      <c r="DX1900" s="171"/>
      <c r="DY1900" s="171"/>
      <c r="DZ1900" s="171"/>
      <c r="EA1900" s="171"/>
      <c r="EB1900" s="171"/>
      <c r="EC1900" s="171"/>
      <c r="ED1900" s="171"/>
      <c r="EE1900" s="171"/>
      <c r="EF1900" s="171"/>
      <c r="EG1900" s="171"/>
      <c r="EH1900" s="171"/>
      <c r="EI1900" s="171"/>
      <c r="EJ1900" s="171"/>
      <c r="EK1900" s="171"/>
      <c r="EL1900" s="171"/>
      <c r="EM1900" s="171"/>
      <c r="EN1900" s="171"/>
      <c r="EO1900" s="171"/>
      <c r="EP1900" s="171"/>
      <c r="EQ1900" s="171"/>
      <c r="ER1900" s="171"/>
      <c r="ES1900" s="171"/>
      <c r="ET1900" s="171"/>
      <c r="EU1900" s="171"/>
      <c r="EV1900" s="171"/>
      <c r="EW1900" s="171"/>
      <c r="EX1900" s="171"/>
      <c r="EY1900" s="171"/>
      <c r="EZ1900" s="171"/>
      <c r="FA1900" s="171"/>
      <c r="FB1900" s="171"/>
      <c r="FC1900" s="171"/>
      <c r="FD1900" s="171"/>
      <c r="FE1900" s="171"/>
      <c r="FF1900" s="171"/>
      <c r="FG1900" s="171"/>
      <c r="FH1900" s="171"/>
      <c r="FI1900" s="171"/>
      <c r="FJ1900" s="171"/>
      <c r="FK1900" s="171"/>
      <c r="FL1900" s="171"/>
      <c r="FM1900" s="171"/>
      <c r="FN1900" s="171"/>
      <c r="FO1900" s="171"/>
      <c r="FP1900" s="171"/>
      <c r="FQ1900" s="171"/>
      <c r="FR1900" s="171"/>
      <c r="FS1900" s="171"/>
      <c r="FT1900" s="171"/>
      <c r="FU1900" s="171"/>
      <c r="FV1900" s="171"/>
      <c r="FW1900" s="171"/>
      <c r="FX1900" s="171"/>
      <c r="FY1900" s="171"/>
      <c r="FZ1900" s="171"/>
      <c r="GA1900" s="171"/>
      <c r="GB1900" s="171"/>
      <c r="GC1900" s="171"/>
      <c r="GD1900" s="171"/>
      <c r="GE1900" s="171"/>
      <c r="GF1900" s="171"/>
      <c r="GG1900" s="171"/>
      <c r="GH1900" s="171"/>
      <c r="GI1900" s="171"/>
      <c r="GJ1900" s="171"/>
      <c r="GK1900" s="171"/>
      <c r="GL1900" s="171"/>
      <c r="GM1900" s="171"/>
      <c r="GN1900" s="171"/>
      <c r="GO1900" s="171"/>
      <c r="GP1900" s="171"/>
      <c r="GQ1900" s="171"/>
      <c r="GR1900" s="171"/>
      <c r="GS1900" s="171"/>
      <c r="GT1900" s="171"/>
      <c r="GU1900" s="171"/>
      <c r="GV1900" s="171"/>
      <c r="GW1900" s="171"/>
      <c r="GX1900" s="171"/>
      <c r="GY1900" s="171"/>
      <c r="GZ1900" s="171"/>
      <c r="HA1900" s="171"/>
      <c r="HB1900" s="171"/>
      <c r="HC1900" s="171"/>
      <c r="HD1900" s="171"/>
      <c r="HE1900" s="171"/>
      <c r="HF1900" s="171"/>
      <c r="HG1900" s="171"/>
      <c r="HH1900" s="171"/>
      <c r="HI1900" s="171"/>
      <c r="HJ1900" s="171"/>
      <c r="HK1900" s="171"/>
      <c r="HL1900" s="171"/>
      <c r="HM1900" s="171"/>
      <c r="HN1900" s="171"/>
      <c r="HO1900" s="171"/>
      <c r="HP1900" s="171"/>
      <c r="HQ1900" s="171"/>
      <c r="HR1900" s="171"/>
      <c r="HS1900" s="171"/>
      <c r="HT1900" s="171"/>
      <c r="HU1900" s="171"/>
      <c r="HV1900" s="171"/>
      <c r="HW1900" s="171"/>
      <c r="HX1900" s="171"/>
      <c r="HY1900" s="171"/>
      <c r="HZ1900" s="171"/>
      <c r="IA1900" s="171"/>
      <c r="IB1900" s="171"/>
      <c r="IC1900" s="171"/>
      <c r="ID1900" s="171"/>
      <c r="IE1900" s="171"/>
      <c r="IF1900" s="171"/>
      <c r="IG1900" s="171"/>
      <c r="IH1900" s="171"/>
      <c r="II1900" s="171"/>
      <c r="IJ1900" s="171"/>
      <c r="IK1900" s="171"/>
      <c r="IL1900" s="171"/>
      <c r="IM1900" s="171"/>
      <c r="IN1900" s="171"/>
      <c r="IO1900" s="171"/>
      <c r="IP1900" s="171"/>
      <c r="IQ1900" s="171"/>
    </row>
    <row r="1901" spans="1:251" ht="14.25" customHeight="1">
      <c r="A1901" s="212"/>
      <c r="B1901" s="495"/>
      <c r="C1901" s="493" t="s">
        <v>1987</v>
      </c>
      <c r="D1901" s="494"/>
      <c r="E1901" s="360"/>
      <c r="F1901" s="308"/>
      <c r="BI1901" s="171"/>
      <c r="BJ1901" s="171"/>
      <c r="BK1901" s="171"/>
      <c r="BL1901" s="171"/>
      <c r="BM1901" s="171"/>
      <c r="BN1901" s="171"/>
      <c r="BO1901" s="171"/>
      <c r="BP1901" s="171"/>
      <c r="BQ1901" s="171"/>
      <c r="BR1901" s="171"/>
      <c r="BS1901" s="171"/>
      <c r="BT1901" s="171"/>
      <c r="BU1901" s="171"/>
      <c r="BV1901" s="171"/>
      <c r="BW1901" s="171"/>
      <c r="BX1901" s="171"/>
      <c r="BY1901" s="171"/>
      <c r="BZ1901" s="171"/>
      <c r="CA1901" s="171"/>
      <c r="CB1901" s="171"/>
      <c r="CC1901" s="171"/>
      <c r="CD1901" s="171"/>
      <c r="CE1901" s="171"/>
      <c r="CF1901" s="171"/>
      <c r="CG1901" s="171"/>
      <c r="CH1901" s="171"/>
      <c r="CI1901" s="171"/>
      <c r="CJ1901" s="171"/>
      <c r="CK1901" s="171"/>
      <c r="CL1901" s="171"/>
      <c r="CM1901" s="171"/>
      <c r="CN1901" s="171"/>
      <c r="CO1901" s="171"/>
      <c r="CP1901" s="171"/>
      <c r="CQ1901" s="171"/>
      <c r="CR1901" s="171"/>
      <c r="CS1901" s="171"/>
      <c r="CT1901" s="171"/>
      <c r="CU1901" s="171"/>
      <c r="CV1901" s="171"/>
      <c r="CW1901" s="171"/>
      <c r="CX1901" s="171"/>
      <c r="CY1901" s="171"/>
      <c r="CZ1901" s="171"/>
      <c r="DA1901" s="171"/>
      <c r="DB1901" s="171"/>
      <c r="DC1901" s="171"/>
      <c r="DD1901" s="171"/>
      <c r="DE1901" s="171"/>
      <c r="DF1901" s="171"/>
      <c r="DG1901" s="171"/>
      <c r="DH1901" s="171"/>
      <c r="DI1901" s="171"/>
      <c r="DJ1901" s="171"/>
      <c r="DK1901" s="171"/>
      <c r="DL1901" s="171"/>
      <c r="DM1901" s="171"/>
      <c r="DN1901" s="171"/>
      <c r="DO1901" s="171"/>
      <c r="DP1901" s="171"/>
      <c r="DQ1901" s="171"/>
      <c r="DR1901" s="171"/>
      <c r="DS1901" s="171"/>
      <c r="DT1901" s="171"/>
      <c r="DU1901" s="171"/>
      <c r="DV1901" s="171"/>
      <c r="DW1901" s="171"/>
      <c r="DX1901" s="171"/>
      <c r="DY1901" s="171"/>
      <c r="DZ1901" s="171"/>
      <c r="EA1901" s="171"/>
      <c r="EB1901" s="171"/>
      <c r="EC1901" s="171"/>
      <c r="ED1901" s="171"/>
      <c r="EE1901" s="171"/>
      <c r="EF1901" s="171"/>
      <c r="EG1901" s="171"/>
      <c r="EH1901" s="171"/>
      <c r="EI1901" s="171"/>
      <c r="EJ1901" s="171"/>
      <c r="EK1901" s="171"/>
      <c r="EL1901" s="171"/>
      <c r="EM1901" s="171"/>
      <c r="EN1901" s="171"/>
      <c r="EO1901" s="171"/>
      <c r="EP1901" s="171"/>
      <c r="EQ1901" s="171"/>
      <c r="ER1901" s="171"/>
      <c r="ES1901" s="171"/>
      <c r="ET1901" s="171"/>
      <c r="EU1901" s="171"/>
      <c r="EV1901" s="171"/>
      <c r="EW1901" s="171"/>
      <c r="EX1901" s="171"/>
      <c r="EY1901" s="171"/>
      <c r="EZ1901" s="171"/>
      <c r="FA1901" s="171"/>
      <c r="FB1901" s="171"/>
      <c r="FC1901" s="171"/>
      <c r="FD1901" s="171"/>
      <c r="FE1901" s="171"/>
      <c r="FF1901" s="171"/>
      <c r="FG1901" s="171"/>
      <c r="FH1901" s="171"/>
      <c r="FI1901" s="171"/>
      <c r="FJ1901" s="171"/>
      <c r="FK1901" s="171"/>
      <c r="FL1901" s="171"/>
      <c r="FM1901" s="171"/>
      <c r="FN1901" s="171"/>
      <c r="FO1901" s="171"/>
      <c r="FP1901" s="171"/>
      <c r="FQ1901" s="171"/>
      <c r="FR1901" s="171"/>
      <c r="FS1901" s="171"/>
      <c r="FT1901" s="171"/>
      <c r="FU1901" s="171"/>
      <c r="FV1901" s="171"/>
      <c r="FW1901" s="171"/>
      <c r="FX1901" s="171"/>
      <c r="FY1901" s="171"/>
      <c r="FZ1901" s="171"/>
      <c r="GA1901" s="171"/>
      <c r="GB1901" s="171"/>
      <c r="GC1901" s="171"/>
      <c r="GD1901" s="171"/>
      <c r="GE1901" s="171"/>
      <c r="GF1901" s="171"/>
      <c r="GG1901" s="171"/>
      <c r="GH1901" s="171"/>
      <c r="GI1901" s="171"/>
      <c r="GJ1901" s="171"/>
      <c r="GK1901" s="171"/>
      <c r="GL1901" s="171"/>
      <c r="GM1901" s="171"/>
      <c r="GN1901" s="171"/>
      <c r="GO1901" s="171"/>
      <c r="GP1901" s="171"/>
      <c r="GQ1901" s="171"/>
      <c r="GR1901" s="171"/>
      <c r="GS1901" s="171"/>
      <c r="GT1901" s="171"/>
      <c r="GU1901" s="171"/>
      <c r="GV1901" s="171"/>
      <c r="GW1901" s="171"/>
      <c r="GX1901" s="171"/>
      <c r="GY1901" s="171"/>
      <c r="GZ1901" s="171"/>
      <c r="HA1901" s="171"/>
      <c r="HB1901" s="171"/>
      <c r="HC1901" s="171"/>
      <c r="HD1901" s="171"/>
      <c r="HE1901" s="171"/>
      <c r="HF1901" s="171"/>
      <c r="HG1901" s="171"/>
      <c r="HH1901" s="171"/>
      <c r="HI1901" s="171"/>
      <c r="HJ1901" s="171"/>
      <c r="HK1901" s="171"/>
      <c r="HL1901" s="171"/>
      <c r="HM1901" s="171"/>
      <c r="HN1901" s="171"/>
      <c r="HO1901" s="171"/>
      <c r="HP1901" s="171"/>
      <c r="HQ1901" s="171"/>
      <c r="HR1901" s="171"/>
      <c r="HS1901" s="171"/>
      <c r="HT1901" s="171"/>
      <c r="HU1901" s="171"/>
      <c r="HV1901" s="171"/>
      <c r="HW1901" s="171"/>
      <c r="HX1901" s="171"/>
      <c r="HY1901" s="171"/>
      <c r="HZ1901" s="171"/>
      <c r="IA1901" s="171"/>
      <c r="IB1901" s="171"/>
      <c r="IC1901" s="171"/>
      <c r="ID1901" s="171"/>
      <c r="IE1901" s="171"/>
      <c r="IF1901" s="171"/>
      <c r="IG1901" s="171"/>
      <c r="IH1901" s="171"/>
      <c r="II1901" s="171"/>
      <c r="IJ1901" s="171"/>
      <c r="IK1901" s="171"/>
      <c r="IL1901" s="171"/>
      <c r="IM1901" s="171"/>
      <c r="IN1901" s="171"/>
      <c r="IO1901" s="171"/>
      <c r="IP1901" s="171"/>
      <c r="IQ1901" s="171"/>
    </row>
    <row r="1902" spans="1:251" ht="14.25" customHeight="1">
      <c r="A1902" s="212"/>
      <c r="B1902" s="495"/>
      <c r="C1902" s="493" t="s">
        <v>1988</v>
      </c>
      <c r="D1902" s="494"/>
      <c r="E1902" s="360"/>
      <c r="F1902" s="308"/>
      <c r="BI1902" s="171"/>
      <c r="BJ1902" s="171"/>
      <c r="BK1902" s="171"/>
      <c r="BL1902" s="171"/>
      <c r="BM1902" s="171"/>
      <c r="BN1902" s="171"/>
      <c r="BO1902" s="171"/>
      <c r="BP1902" s="171"/>
      <c r="BQ1902" s="171"/>
      <c r="BR1902" s="171"/>
      <c r="BS1902" s="171"/>
      <c r="BT1902" s="171"/>
      <c r="BU1902" s="171"/>
      <c r="BV1902" s="171"/>
      <c r="BW1902" s="171"/>
      <c r="BX1902" s="171"/>
      <c r="BY1902" s="171"/>
      <c r="BZ1902" s="171"/>
      <c r="CA1902" s="171"/>
      <c r="CB1902" s="171"/>
      <c r="CC1902" s="171"/>
      <c r="CD1902" s="171"/>
      <c r="CE1902" s="171"/>
      <c r="CF1902" s="171"/>
      <c r="CG1902" s="171"/>
      <c r="CH1902" s="171"/>
      <c r="CI1902" s="171"/>
      <c r="CJ1902" s="171"/>
      <c r="CK1902" s="171"/>
      <c r="CL1902" s="171"/>
      <c r="CM1902" s="171"/>
      <c r="CN1902" s="171"/>
      <c r="CO1902" s="171"/>
      <c r="CP1902" s="171"/>
      <c r="CQ1902" s="171"/>
      <c r="CR1902" s="171"/>
      <c r="CS1902" s="171"/>
      <c r="CT1902" s="171"/>
      <c r="CU1902" s="171"/>
      <c r="CV1902" s="171"/>
      <c r="CW1902" s="171"/>
      <c r="CX1902" s="171"/>
      <c r="CY1902" s="171"/>
      <c r="CZ1902" s="171"/>
      <c r="DA1902" s="171"/>
      <c r="DB1902" s="171"/>
      <c r="DC1902" s="171"/>
      <c r="DD1902" s="171"/>
      <c r="DE1902" s="171"/>
      <c r="DF1902" s="171"/>
      <c r="DG1902" s="171"/>
      <c r="DH1902" s="171"/>
      <c r="DI1902" s="171"/>
      <c r="DJ1902" s="171"/>
      <c r="DK1902" s="171"/>
      <c r="DL1902" s="171"/>
      <c r="DM1902" s="171"/>
      <c r="DN1902" s="171"/>
      <c r="DO1902" s="171"/>
      <c r="DP1902" s="171"/>
      <c r="DQ1902" s="171"/>
      <c r="DR1902" s="171"/>
      <c r="DS1902" s="171"/>
      <c r="DT1902" s="171"/>
      <c r="DU1902" s="171"/>
      <c r="DV1902" s="171"/>
      <c r="DW1902" s="171"/>
      <c r="DX1902" s="171"/>
      <c r="DY1902" s="171"/>
      <c r="DZ1902" s="171"/>
      <c r="EA1902" s="171"/>
      <c r="EB1902" s="171"/>
      <c r="EC1902" s="171"/>
      <c r="ED1902" s="171"/>
      <c r="EE1902" s="171"/>
      <c r="EF1902" s="171"/>
      <c r="EG1902" s="171"/>
      <c r="EH1902" s="171"/>
      <c r="EI1902" s="171"/>
      <c r="EJ1902" s="171"/>
      <c r="EK1902" s="171"/>
      <c r="EL1902" s="171"/>
      <c r="EM1902" s="171"/>
      <c r="EN1902" s="171"/>
      <c r="EO1902" s="171"/>
      <c r="EP1902" s="171"/>
      <c r="EQ1902" s="171"/>
      <c r="ER1902" s="171"/>
      <c r="ES1902" s="171"/>
      <c r="ET1902" s="171"/>
      <c r="EU1902" s="171"/>
      <c r="EV1902" s="171"/>
      <c r="EW1902" s="171"/>
      <c r="EX1902" s="171"/>
      <c r="EY1902" s="171"/>
      <c r="EZ1902" s="171"/>
      <c r="FA1902" s="171"/>
      <c r="FB1902" s="171"/>
      <c r="FC1902" s="171"/>
      <c r="FD1902" s="171"/>
      <c r="FE1902" s="171"/>
      <c r="FF1902" s="171"/>
      <c r="FG1902" s="171"/>
      <c r="FH1902" s="171"/>
      <c r="FI1902" s="171"/>
      <c r="FJ1902" s="171"/>
      <c r="FK1902" s="171"/>
      <c r="FL1902" s="171"/>
      <c r="FM1902" s="171"/>
      <c r="FN1902" s="171"/>
      <c r="FO1902" s="171"/>
      <c r="FP1902" s="171"/>
      <c r="FQ1902" s="171"/>
      <c r="FR1902" s="171"/>
      <c r="FS1902" s="171"/>
      <c r="FT1902" s="171"/>
      <c r="FU1902" s="171"/>
      <c r="FV1902" s="171"/>
      <c r="FW1902" s="171"/>
      <c r="FX1902" s="171"/>
      <c r="FY1902" s="171"/>
      <c r="FZ1902" s="171"/>
      <c r="GA1902" s="171"/>
      <c r="GB1902" s="171"/>
      <c r="GC1902" s="171"/>
      <c r="GD1902" s="171"/>
      <c r="GE1902" s="171"/>
      <c r="GF1902" s="171"/>
      <c r="GG1902" s="171"/>
      <c r="GH1902" s="171"/>
      <c r="GI1902" s="171"/>
      <c r="GJ1902" s="171"/>
      <c r="GK1902" s="171"/>
      <c r="GL1902" s="171"/>
      <c r="GM1902" s="171"/>
      <c r="GN1902" s="171"/>
      <c r="GO1902" s="171"/>
      <c r="GP1902" s="171"/>
      <c r="GQ1902" s="171"/>
      <c r="GR1902" s="171"/>
      <c r="GS1902" s="171"/>
      <c r="GT1902" s="171"/>
      <c r="GU1902" s="171"/>
      <c r="GV1902" s="171"/>
      <c r="GW1902" s="171"/>
      <c r="GX1902" s="171"/>
      <c r="GY1902" s="171"/>
      <c r="GZ1902" s="171"/>
      <c r="HA1902" s="171"/>
      <c r="HB1902" s="171"/>
      <c r="HC1902" s="171"/>
      <c r="HD1902" s="171"/>
      <c r="HE1902" s="171"/>
      <c r="HF1902" s="171"/>
      <c r="HG1902" s="171"/>
      <c r="HH1902" s="171"/>
      <c r="HI1902" s="171"/>
      <c r="HJ1902" s="171"/>
      <c r="HK1902" s="171"/>
      <c r="HL1902" s="171"/>
      <c r="HM1902" s="171"/>
      <c r="HN1902" s="171"/>
      <c r="HO1902" s="171"/>
      <c r="HP1902" s="171"/>
      <c r="HQ1902" s="171"/>
      <c r="HR1902" s="171"/>
      <c r="HS1902" s="171"/>
      <c r="HT1902" s="171"/>
      <c r="HU1902" s="171"/>
      <c r="HV1902" s="171"/>
      <c r="HW1902" s="171"/>
      <c r="HX1902" s="171"/>
      <c r="HY1902" s="171"/>
      <c r="HZ1902" s="171"/>
      <c r="IA1902" s="171"/>
      <c r="IB1902" s="171"/>
      <c r="IC1902" s="171"/>
      <c r="ID1902" s="171"/>
      <c r="IE1902" s="171"/>
      <c r="IF1902" s="171"/>
      <c r="IG1902" s="171"/>
      <c r="IH1902" s="171"/>
      <c r="II1902" s="171"/>
      <c r="IJ1902" s="171"/>
      <c r="IK1902" s="171"/>
      <c r="IL1902" s="171"/>
      <c r="IM1902" s="171"/>
      <c r="IN1902" s="171"/>
      <c r="IO1902" s="171"/>
      <c r="IP1902" s="171"/>
      <c r="IQ1902" s="171"/>
    </row>
    <row r="1903" spans="1:251" ht="14.25" customHeight="1">
      <c r="A1903" s="212"/>
      <c r="B1903" s="495"/>
      <c r="C1903" s="493" t="s">
        <v>1989</v>
      </c>
      <c r="D1903" s="494"/>
      <c r="E1903" s="360"/>
      <c r="F1903" s="308"/>
      <c r="BI1903" s="171"/>
      <c r="BJ1903" s="171"/>
      <c r="BK1903" s="171"/>
      <c r="BL1903" s="171"/>
      <c r="BM1903" s="171"/>
      <c r="BN1903" s="171"/>
      <c r="BO1903" s="171"/>
      <c r="BP1903" s="171"/>
      <c r="BQ1903" s="171"/>
      <c r="BR1903" s="171"/>
      <c r="BS1903" s="171"/>
      <c r="BT1903" s="171"/>
      <c r="BU1903" s="171"/>
      <c r="BV1903" s="171"/>
      <c r="BW1903" s="171"/>
      <c r="BX1903" s="171"/>
      <c r="BY1903" s="171"/>
      <c r="BZ1903" s="171"/>
      <c r="CA1903" s="171"/>
      <c r="CB1903" s="171"/>
      <c r="CC1903" s="171"/>
      <c r="CD1903" s="171"/>
      <c r="CE1903" s="171"/>
      <c r="CF1903" s="171"/>
      <c r="CG1903" s="171"/>
      <c r="CH1903" s="171"/>
      <c r="CI1903" s="171"/>
      <c r="CJ1903" s="171"/>
      <c r="CK1903" s="171"/>
      <c r="CL1903" s="171"/>
      <c r="CM1903" s="171"/>
      <c r="CN1903" s="171"/>
      <c r="CO1903" s="171"/>
      <c r="CP1903" s="171"/>
      <c r="CQ1903" s="171"/>
      <c r="CR1903" s="171"/>
      <c r="CS1903" s="171"/>
      <c r="CT1903" s="171"/>
      <c r="CU1903" s="171"/>
      <c r="CV1903" s="171"/>
      <c r="CW1903" s="171"/>
      <c r="CX1903" s="171"/>
      <c r="CY1903" s="171"/>
      <c r="CZ1903" s="171"/>
      <c r="DA1903" s="171"/>
      <c r="DB1903" s="171"/>
      <c r="DC1903" s="171"/>
      <c r="DD1903" s="171"/>
      <c r="DE1903" s="171"/>
      <c r="DF1903" s="171"/>
      <c r="DG1903" s="171"/>
      <c r="DH1903" s="171"/>
      <c r="DI1903" s="171"/>
      <c r="DJ1903" s="171"/>
      <c r="DK1903" s="171"/>
      <c r="DL1903" s="171"/>
      <c r="DM1903" s="171"/>
      <c r="DN1903" s="171"/>
      <c r="DO1903" s="171"/>
      <c r="DP1903" s="171"/>
      <c r="DQ1903" s="171"/>
      <c r="DR1903" s="171"/>
      <c r="DS1903" s="171"/>
      <c r="DT1903" s="171"/>
      <c r="DU1903" s="171"/>
      <c r="DV1903" s="171"/>
      <c r="DW1903" s="171"/>
      <c r="DX1903" s="171"/>
      <c r="DY1903" s="171"/>
      <c r="DZ1903" s="171"/>
      <c r="EA1903" s="171"/>
      <c r="EB1903" s="171"/>
      <c r="EC1903" s="171"/>
      <c r="ED1903" s="171"/>
      <c r="EE1903" s="171"/>
      <c r="EF1903" s="171"/>
      <c r="EG1903" s="171"/>
      <c r="EH1903" s="171"/>
      <c r="EI1903" s="171"/>
      <c r="EJ1903" s="171"/>
      <c r="EK1903" s="171"/>
      <c r="EL1903" s="171"/>
      <c r="EM1903" s="171"/>
      <c r="EN1903" s="171"/>
      <c r="EO1903" s="171"/>
      <c r="EP1903" s="171"/>
      <c r="EQ1903" s="171"/>
      <c r="ER1903" s="171"/>
      <c r="ES1903" s="171"/>
      <c r="ET1903" s="171"/>
      <c r="EU1903" s="171"/>
      <c r="EV1903" s="171"/>
      <c r="EW1903" s="171"/>
      <c r="EX1903" s="171"/>
      <c r="EY1903" s="171"/>
      <c r="EZ1903" s="171"/>
      <c r="FA1903" s="171"/>
      <c r="FB1903" s="171"/>
      <c r="FC1903" s="171"/>
      <c r="FD1903" s="171"/>
      <c r="FE1903" s="171"/>
      <c r="FF1903" s="171"/>
      <c r="FG1903" s="171"/>
      <c r="FH1903" s="171"/>
      <c r="FI1903" s="171"/>
      <c r="FJ1903" s="171"/>
      <c r="FK1903" s="171"/>
      <c r="FL1903" s="171"/>
      <c r="FM1903" s="171"/>
      <c r="FN1903" s="171"/>
      <c r="FO1903" s="171"/>
      <c r="FP1903" s="171"/>
      <c r="FQ1903" s="171"/>
      <c r="FR1903" s="171"/>
      <c r="FS1903" s="171"/>
      <c r="FT1903" s="171"/>
      <c r="FU1903" s="171"/>
      <c r="FV1903" s="171"/>
      <c r="FW1903" s="171"/>
      <c r="FX1903" s="171"/>
      <c r="FY1903" s="171"/>
      <c r="FZ1903" s="171"/>
      <c r="GA1903" s="171"/>
      <c r="GB1903" s="171"/>
      <c r="GC1903" s="171"/>
      <c r="GD1903" s="171"/>
      <c r="GE1903" s="171"/>
      <c r="GF1903" s="171"/>
      <c r="GG1903" s="171"/>
      <c r="GH1903" s="171"/>
      <c r="GI1903" s="171"/>
      <c r="GJ1903" s="171"/>
      <c r="GK1903" s="171"/>
      <c r="GL1903" s="171"/>
      <c r="GM1903" s="171"/>
      <c r="GN1903" s="171"/>
      <c r="GO1903" s="171"/>
      <c r="GP1903" s="171"/>
      <c r="GQ1903" s="171"/>
      <c r="GR1903" s="171"/>
      <c r="GS1903" s="171"/>
      <c r="GT1903" s="171"/>
      <c r="GU1903" s="171"/>
      <c r="GV1903" s="171"/>
      <c r="GW1903" s="171"/>
      <c r="GX1903" s="171"/>
      <c r="GY1903" s="171"/>
      <c r="GZ1903" s="171"/>
      <c r="HA1903" s="171"/>
      <c r="HB1903" s="171"/>
      <c r="HC1903" s="171"/>
      <c r="HD1903" s="171"/>
      <c r="HE1903" s="171"/>
      <c r="HF1903" s="171"/>
      <c r="HG1903" s="171"/>
      <c r="HH1903" s="171"/>
      <c r="HI1903" s="171"/>
      <c r="HJ1903" s="171"/>
      <c r="HK1903" s="171"/>
      <c r="HL1903" s="171"/>
      <c r="HM1903" s="171"/>
      <c r="HN1903" s="171"/>
      <c r="HO1903" s="171"/>
      <c r="HP1903" s="171"/>
      <c r="HQ1903" s="171"/>
      <c r="HR1903" s="171"/>
      <c r="HS1903" s="171"/>
      <c r="HT1903" s="171"/>
      <c r="HU1903" s="171"/>
      <c r="HV1903" s="171"/>
      <c r="HW1903" s="171"/>
      <c r="HX1903" s="171"/>
      <c r="HY1903" s="171"/>
      <c r="HZ1903" s="171"/>
      <c r="IA1903" s="171"/>
      <c r="IB1903" s="171"/>
      <c r="IC1903" s="171"/>
      <c r="ID1903" s="171"/>
      <c r="IE1903" s="171"/>
      <c r="IF1903" s="171"/>
      <c r="IG1903" s="171"/>
      <c r="IH1903" s="171"/>
      <c r="II1903" s="171"/>
      <c r="IJ1903" s="171"/>
      <c r="IK1903" s="171"/>
      <c r="IL1903" s="171"/>
      <c r="IM1903" s="171"/>
      <c r="IN1903" s="171"/>
      <c r="IO1903" s="171"/>
      <c r="IP1903" s="171"/>
      <c r="IQ1903" s="171"/>
    </row>
    <row r="1904" spans="1:251" ht="14.25" customHeight="1">
      <c r="A1904" s="212"/>
      <c r="B1904" s="221"/>
      <c r="C1904" s="295"/>
      <c r="D1904" s="226"/>
      <c r="E1904" s="360"/>
      <c r="F1904" s="308"/>
      <c r="BI1904" s="171"/>
      <c r="BJ1904" s="171"/>
      <c r="BK1904" s="171"/>
      <c r="BL1904" s="171"/>
      <c r="BM1904" s="171"/>
      <c r="BN1904" s="171"/>
      <c r="BO1904" s="171"/>
      <c r="BP1904" s="171"/>
      <c r="BQ1904" s="171"/>
      <c r="BR1904" s="171"/>
      <c r="BS1904" s="171"/>
      <c r="BT1904" s="171"/>
      <c r="BU1904" s="171"/>
      <c r="BV1904" s="171"/>
      <c r="BW1904" s="171"/>
      <c r="BX1904" s="171"/>
      <c r="BY1904" s="171"/>
      <c r="BZ1904" s="171"/>
      <c r="CA1904" s="171"/>
      <c r="CB1904" s="171"/>
      <c r="CC1904" s="171"/>
      <c r="CD1904" s="171"/>
      <c r="CE1904" s="171"/>
      <c r="CF1904" s="171"/>
      <c r="CG1904" s="171"/>
      <c r="CH1904" s="171"/>
      <c r="CI1904" s="171"/>
      <c r="CJ1904" s="171"/>
      <c r="CK1904" s="171"/>
      <c r="CL1904" s="171"/>
      <c r="CM1904" s="171"/>
      <c r="CN1904" s="171"/>
      <c r="CO1904" s="171"/>
      <c r="CP1904" s="171"/>
      <c r="CQ1904" s="171"/>
      <c r="CR1904" s="171"/>
      <c r="CS1904" s="171"/>
      <c r="CT1904" s="171"/>
      <c r="CU1904" s="171"/>
      <c r="CV1904" s="171"/>
      <c r="CW1904" s="171"/>
      <c r="CX1904" s="171"/>
      <c r="CY1904" s="171"/>
      <c r="CZ1904" s="171"/>
      <c r="DA1904" s="171"/>
      <c r="DB1904" s="171"/>
      <c r="DC1904" s="171"/>
      <c r="DD1904" s="171"/>
      <c r="DE1904" s="171"/>
      <c r="DF1904" s="171"/>
      <c r="DG1904" s="171"/>
      <c r="DH1904" s="171"/>
      <c r="DI1904" s="171"/>
      <c r="DJ1904" s="171"/>
      <c r="DK1904" s="171"/>
      <c r="DL1904" s="171"/>
      <c r="DM1904" s="171"/>
      <c r="DN1904" s="171"/>
      <c r="DO1904" s="171"/>
      <c r="DP1904" s="171"/>
      <c r="DQ1904" s="171"/>
      <c r="DR1904" s="171"/>
      <c r="DS1904" s="171"/>
      <c r="DT1904" s="171"/>
      <c r="DU1904" s="171"/>
      <c r="DV1904" s="171"/>
      <c r="DW1904" s="171"/>
      <c r="DX1904" s="171"/>
      <c r="DY1904" s="171"/>
      <c r="DZ1904" s="171"/>
      <c r="EA1904" s="171"/>
      <c r="EB1904" s="171"/>
      <c r="EC1904" s="171"/>
      <c r="ED1904" s="171"/>
      <c r="EE1904" s="171"/>
      <c r="EF1904" s="171"/>
      <c r="EG1904" s="171"/>
      <c r="EH1904" s="171"/>
      <c r="EI1904" s="171"/>
      <c r="EJ1904" s="171"/>
      <c r="EK1904" s="171"/>
      <c r="EL1904" s="171"/>
      <c r="EM1904" s="171"/>
      <c r="EN1904" s="171"/>
      <c r="EO1904" s="171"/>
      <c r="EP1904" s="171"/>
      <c r="EQ1904" s="171"/>
      <c r="ER1904" s="171"/>
      <c r="ES1904" s="171"/>
      <c r="ET1904" s="171"/>
      <c r="EU1904" s="171"/>
      <c r="EV1904" s="171"/>
      <c r="EW1904" s="171"/>
      <c r="EX1904" s="171"/>
      <c r="EY1904" s="171"/>
      <c r="EZ1904" s="171"/>
      <c r="FA1904" s="171"/>
      <c r="FB1904" s="171"/>
      <c r="FC1904" s="171"/>
      <c r="FD1904" s="171"/>
      <c r="FE1904" s="171"/>
      <c r="FF1904" s="171"/>
      <c r="FG1904" s="171"/>
      <c r="FH1904" s="171"/>
      <c r="FI1904" s="171"/>
      <c r="FJ1904" s="171"/>
      <c r="FK1904" s="171"/>
      <c r="FL1904" s="171"/>
      <c r="FM1904" s="171"/>
      <c r="FN1904" s="171"/>
      <c r="FO1904" s="171"/>
      <c r="FP1904" s="171"/>
      <c r="FQ1904" s="171"/>
      <c r="FR1904" s="171"/>
      <c r="FS1904" s="171"/>
      <c r="FT1904" s="171"/>
      <c r="FU1904" s="171"/>
      <c r="FV1904" s="171"/>
      <c r="FW1904" s="171"/>
      <c r="FX1904" s="171"/>
      <c r="FY1904" s="171"/>
      <c r="FZ1904" s="171"/>
      <c r="GA1904" s="171"/>
      <c r="GB1904" s="171"/>
      <c r="GC1904" s="171"/>
      <c r="GD1904" s="171"/>
      <c r="GE1904" s="171"/>
      <c r="GF1904" s="171"/>
      <c r="GG1904" s="171"/>
      <c r="GH1904" s="171"/>
      <c r="GI1904" s="171"/>
      <c r="GJ1904" s="171"/>
      <c r="GK1904" s="171"/>
      <c r="GL1904" s="171"/>
      <c r="GM1904" s="171"/>
      <c r="GN1904" s="171"/>
      <c r="GO1904" s="171"/>
      <c r="GP1904" s="171"/>
      <c r="GQ1904" s="171"/>
      <c r="GR1904" s="171"/>
      <c r="GS1904" s="171"/>
      <c r="GT1904" s="171"/>
      <c r="GU1904" s="171"/>
      <c r="GV1904" s="171"/>
      <c r="GW1904" s="171"/>
      <c r="GX1904" s="171"/>
      <c r="GY1904" s="171"/>
      <c r="GZ1904" s="171"/>
      <c r="HA1904" s="171"/>
      <c r="HB1904" s="171"/>
      <c r="HC1904" s="171"/>
      <c r="HD1904" s="171"/>
      <c r="HE1904" s="171"/>
      <c r="HF1904" s="171"/>
      <c r="HG1904" s="171"/>
      <c r="HH1904" s="171"/>
      <c r="HI1904" s="171"/>
      <c r="HJ1904" s="171"/>
      <c r="HK1904" s="171"/>
      <c r="HL1904" s="171"/>
      <c r="HM1904" s="171"/>
      <c r="HN1904" s="171"/>
      <c r="HO1904" s="171"/>
      <c r="HP1904" s="171"/>
      <c r="HQ1904" s="171"/>
      <c r="HR1904" s="171"/>
      <c r="HS1904" s="171"/>
      <c r="HT1904" s="171"/>
      <c r="HU1904" s="171"/>
      <c r="HV1904" s="171"/>
      <c r="HW1904" s="171"/>
      <c r="HX1904" s="171"/>
      <c r="HY1904" s="171"/>
      <c r="HZ1904" s="171"/>
      <c r="IA1904" s="171"/>
      <c r="IB1904" s="171"/>
      <c r="IC1904" s="171"/>
      <c r="ID1904" s="171"/>
      <c r="IE1904" s="171"/>
      <c r="IF1904" s="171"/>
      <c r="IG1904" s="171"/>
      <c r="IH1904" s="171"/>
      <c r="II1904" s="171"/>
      <c r="IJ1904" s="171"/>
      <c r="IK1904" s="171"/>
      <c r="IL1904" s="171"/>
      <c r="IM1904" s="171"/>
      <c r="IN1904" s="171"/>
      <c r="IO1904" s="171"/>
      <c r="IP1904" s="171"/>
      <c r="IQ1904" s="171"/>
    </row>
    <row r="1905" spans="1:251" ht="14.25" customHeight="1">
      <c r="A1905" s="212"/>
      <c r="B1905" s="221"/>
      <c r="C1905" s="295"/>
      <c r="D1905" s="226"/>
      <c r="E1905" s="360"/>
      <c r="F1905" s="308"/>
      <c r="BI1905" s="171"/>
      <c r="BJ1905" s="171"/>
      <c r="BK1905" s="171"/>
      <c r="BL1905" s="171"/>
      <c r="BM1905" s="171"/>
      <c r="BN1905" s="171"/>
      <c r="BO1905" s="171"/>
      <c r="BP1905" s="171"/>
      <c r="BQ1905" s="171"/>
      <c r="BR1905" s="171"/>
      <c r="BS1905" s="171"/>
      <c r="BT1905" s="171"/>
      <c r="BU1905" s="171"/>
      <c r="BV1905" s="171"/>
      <c r="BW1905" s="171"/>
      <c r="BX1905" s="171"/>
      <c r="BY1905" s="171"/>
      <c r="BZ1905" s="171"/>
      <c r="CA1905" s="171"/>
      <c r="CB1905" s="171"/>
      <c r="CC1905" s="171"/>
      <c r="CD1905" s="171"/>
      <c r="CE1905" s="171"/>
      <c r="CF1905" s="171"/>
      <c r="CG1905" s="171"/>
      <c r="CH1905" s="171"/>
      <c r="CI1905" s="171"/>
      <c r="CJ1905" s="171"/>
      <c r="CK1905" s="171"/>
      <c r="CL1905" s="171"/>
      <c r="CM1905" s="171"/>
      <c r="CN1905" s="171"/>
      <c r="CO1905" s="171"/>
      <c r="CP1905" s="171"/>
      <c r="CQ1905" s="171"/>
      <c r="CR1905" s="171"/>
      <c r="CS1905" s="171"/>
      <c r="CT1905" s="171"/>
      <c r="CU1905" s="171"/>
      <c r="CV1905" s="171"/>
      <c r="CW1905" s="171"/>
      <c r="CX1905" s="171"/>
      <c r="CY1905" s="171"/>
      <c r="CZ1905" s="171"/>
      <c r="DA1905" s="171"/>
      <c r="DB1905" s="171"/>
      <c r="DC1905" s="171"/>
      <c r="DD1905" s="171"/>
      <c r="DE1905" s="171"/>
      <c r="DF1905" s="171"/>
      <c r="DG1905" s="171"/>
      <c r="DH1905" s="171"/>
      <c r="DI1905" s="171"/>
      <c r="DJ1905" s="171"/>
      <c r="DK1905" s="171"/>
      <c r="DL1905" s="171"/>
      <c r="DM1905" s="171"/>
      <c r="DN1905" s="171"/>
      <c r="DO1905" s="171"/>
      <c r="DP1905" s="171"/>
      <c r="DQ1905" s="171"/>
      <c r="DR1905" s="171"/>
      <c r="DS1905" s="171"/>
      <c r="DT1905" s="171"/>
      <c r="DU1905" s="171"/>
      <c r="DV1905" s="171"/>
      <c r="DW1905" s="171"/>
      <c r="DX1905" s="171"/>
      <c r="DY1905" s="171"/>
      <c r="DZ1905" s="171"/>
      <c r="EA1905" s="171"/>
      <c r="EB1905" s="171"/>
      <c r="EC1905" s="171"/>
      <c r="ED1905" s="171"/>
      <c r="EE1905" s="171"/>
      <c r="EF1905" s="171"/>
      <c r="EG1905" s="171"/>
      <c r="EH1905" s="171"/>
      <c r="EI1905" s="171"/>
      <c r="EJ1905" s="171"/>
      <c r="EK1905" s="171"/>
      <c r="EL1905" s="171"/>
      <c r="EM1905" s="171"/>
      <c r="EN1905" s="171"/>
      <c r="EO1905" s="171"/>
      <c r="EP1905" s="171"/>
      <c r="EQ1905" s="171"/>
      <c r="ER1905" s="171"/>
      <c r="ES1905" s="171"/>
      <c r="ET1905" s="171"/>
      <c r="EU1905" s="171"/>
      <c r="EV1905" s="171"/>
      <c r="EW1905" s="171"/>
      <c r="EX1905" s="171"/>
      <c r="EY1905" s="171"/>
      <c r="EZ1905" s="171"/>
      <c r="FA1905" s="171"/>
      <c r="FB1905" s="171"/>
      <c r="FC1905" s="171"/>
      <c r="FD1905" s="171"/>
      <c r="FE1905" s="171"/>
      <c r="FF1905" s="171"/>
      <c r="FG1905" s="171"/>
      <c r="FH1905" s="171"/>
      <c r="FI1905" s="171"/>
      <c r="FJ1905" s="171"/>
      <c r="FK1905" s="171"/>
      <c r="FL1905" s="171"/>
      <c r="FM1905" s="171"/>
      <c r="FN1905" s="171"/>
      <c r="FO1905" s="171"/>
      <c r="FP1905" s="171"/>
      <c r="FQ1905" s="171"/>
      <c r="FR1905" s="171"/>
      <c r="FS1905" s="171"/>
      <c r="FT1905" s="171"/>
      <c r="FU1905" s="171"/>
      <c r="FV1905" s="171"/>
      <c r="FW1905" s="171"/>
      <c r="FX1905" s="171"/>
      <c r="FY1905" s="171"/>
      <c r="FZ1905" s="171"/>
      <c r="GA1905" s="171"/>
      <c r="GB1905" s="171"/>
      <c r="GC1905" s="171"/>
      <c r="GD1905" s="171"/>
      <c r="GE1905" s="171"/>
      <c r="GF1905" s="171"/>
      <c r="GG1905" s="171"/>
      <c r="GH1905" s="171"/>
      <c r="GI1905" s="171"/>
      <c r="GJ1905" s="171"/>
      <c r="GK1905" s="171"/>
      <c r="GL1905" s="171"/>
      <c r="GM1905" s="171"/>
      <c r="GN1905" s="171"/>
      <c r="GO1905" s="171"/>
      <c r="GP1905" s="171"/>
      <c r="GQ1905" s="171"/>
      <c r="GR1905" s="171"/>
      <c r="GS1905" s="171"/>
      <c r="GT1905" s="171"/>
      <c r="GU1905" s="171"/>
      <c r="GV1905" s="171"/>
      <c r="GW1905" s="171"/>
      <c r="GX1905" s="171"/>
      <c r="GY1905" s="171"/>
      <c r="GZ1905" s="171"/>
      <c r="HA1905" s="171"/>
      <c r="HB1905" s="171"/>
      <c r="HC1905" s="171"/>
      <c r="HD1905" s="171"/>
      <c r="HE1905" s="171"/>
      <c r="HF1905" s="171"/>
      <c r="HG1905" s="171"/>
      <c r="HH1905" s="171"/>
      <c r="HI1905" s="171"/>
      <c r="HJ1905" s="171"/>
      <c r="HK1905" s="171"/>
      <c r="HL1905" s="171"/>
      <c r="HM1905" s="171"/>
      <c r="HN1905" s="171"/>
      <c r="HO1905" s="171"/>
      <c r="HP1905" s="171"/>
      <c r="HQ1905" s="171"/>
      <c r="HR1905" s="171"/>
      <c r="HS1905" s="171"/>
      <c r="HT1905" s="171"/>
      <c r="HU1905" s="171"/>
      <c r="HV1905" s="171"/>
      <c r="HW1905" s="171"/>
      <c r="HX1905" s="171"/>
      <c r="HY1905" s="171"/>
      <c r="HZ1905" s="171"/>
      <c r="IA1905" s="171"/>
      <c r="IB1905" s="171"/>
      <c r="IC1905" s="171"/>
      <c r="ID1905" s="171"/>
      <c r="IE1905" s="171"/>
      <c r="IF1905" s="171"/>
      <c r="IG1905" s="171"/>
      <c r="IH1905" s="171"/>
      <c r="II1905" s="171"/>
      <c r="IJ1905" s="171"/>
      <c r="IK1905" s="171"/>
      <c r="IL1905" s="171"/>
      <c r="IM1905" s="171"/>
      <c r="IN1905" s="171"/>
      <c r="IO1905" s="171"/>
      <c r="IP1905" s="171"/>
      <c r="IQ1905" s="171"/>
    </row>
    <row r="1906" spans="1:251" ht="14.25" customHeight="1">
      <c r="A1906" s="212"/>
      <c r="B1906" s="221"/>
      <c r="C1906" s="295"/>
      <c r="D1906" s="226"/>
      <c r="E1906" s="360"/>
      <c r="F1906" s="308"/>
      <c r="BI1906" s="171"/>
      <c r="BJ1906" s="171"/>
      <c r="BK1906" s="171"/>
      <c r="BL1906" s="171"/>
      <c r="BM1906" s="171"/>
      <c r="BN1906" s="171"/>
      <c r="BO1906" s="171"/>
      <c r="BP1906" s="171"/>
      <c r="BQ1906" s="171"/>
      <c r="BR1906" s="171"/>
      <c r="BS1906" s="171"/>
      <c r="BT1906" s="171"/>
      <c r="BU1906" s="171"/>
      <c r="BV1906" s="171"/>
      <c r="BW1906" s="171"/>
      <c r="BX1906" s="171"/>
      <c r="BY1906" s="171"/>
      <c r="BZ1906" s="171"/>
      <c r="CA1906" s="171"/>
      <c r="CB1906" s="171"/>
      <c r="CC1906" s="171"/>
      <c r="CD1906" s="171"/>
      <c r="CE1906" s="171"/>
      <c r="CF1906" s="171"/>
      <c r="CG1906" s="171"/>
      <c r="CH1906" s="171"/>
      <c r="CI1906" s="171"/>
      <c r="CJ1906" s="171"/>
      <c r="CK1906" s="171"/>
      <c r="CL1906" s="171"/>
      <c r="CM1906" s="171"/>
      <c r="CN1906" s="171"/>
      <c r="CO1906" s="171"/>
      <c r="CP1906" s="171"/>
      <c r="CQ1906" s="171"/>
      <c r="CR1906" s="171"/>
      <c r="CS1906" s="171"/>
      <c r="CT1906" s="171"/>
      <c r="CU1906" s="171"/>
      <c r="CV1906" s="171"/>
      <c r="CW1906" s="171"/>
      <c r="CX1906" s="171"/>
      <c r="CY1906" s="171"/>
      <c r="CZ1906" s="171"/>
      <c r="DA1906" s="171"/>
      <c r="DB1906" s="171"/>
      <c r="DC1906" s="171"/>
      <c r="DD1906" s="171"/>
      <c r="DE1906" s="171"/>
      <c r="DF1906" s="171"/>
      <c r="DG1906" s="171"/>
      <c r="DH1906" s="171"/>
      <c r="DI1906" s="171"/>
      <c r="DJ1906" s="171"/>
      <c r="DK1906" s="171"/>
      <c r="DL1906" s="171"/>
      <c r="DM1906" s="171"/>
      <c r="DN1906" s="171"/>
      <c r="DO1906" s="171"/>
      <c r="DP1906" s="171"/>
      <c r="DQ1906" s="171"/>
      <c r="DR1906" s="171"/>
      <c r="DS1906" s="171"/>
      <c r="DT1906" s="171"/>
      <c r="DU1906" s="171"/>
      <c r="DV1906" s="171"/>
      <c r="DW1906" s="171"/>
      <c r="DX1906" s="171"/>
      <c r="DY1906" s="171"/>
      <c r="DZ1906" s="171"/>
      <c r="EA1906" s="171"/>
      <c r="EB1906" s="171"/>
      <c r="EC1906" s="171"/>
      <c r="ED1906" s="171"/>
      <c r="EE1906" s="171"/>
      <c r="EF1906" s="171"/>
      <c r="EG1906" s="171"/>
      <c r="EH1906" s="171"/>
      <c r="EI1906" s="171"/>
      <c r="EJ1906" s="171"/>
      <c r="EK1906" s="171"/>
      <c r="EL1906" s="171"/>
      <c r="EM1906" s="171"/>
      <c r="EN1906" s="171"/>
      <c r="EO1906" s="171"/>
      <c r="EP1906" s="171"/>
      <c r="EQ1906" s="171"/>
      <c r="ER1906" s="171"/>
      <c r="ES1906" s="171"/>
      <c r="ET1906" s="171"/>
      <c r="EU1906" s="171"/>
      <c r="EV1906" s="171"/>
      <c r="EW1906" s="171"/>
      <c r="EX1906" s="171"/>
      <c r="EY1906" s="171"/>
      <c r="EZ1906" s="171"/>
      <c r="FA1906" s="171"/>
      <c r="FB1906" s="171"/>
      <c r="FC1906" s="171"/>
      <c r="FD1906" s="171"/>
      <c r="FE1906" s="171"/>
      <c r="FF1906" s="171"/>
      <c r="FG1906" s="171"/>
      <c r="FH1906" s="171"/>
      <c r="FI1906" s="171"/>
      <c r="FJ1906" s="171"/>
      <c r="FK1906" s="171"/>
      <c r="FL1906" s="171"/>
      <c r="FM1906" s="171"/>
      <c r="FN1906" s="171"/>
      <c r="FO1906" s="171"/>
      <c r="FP1906" s="171"/>
      <c r="FQ1906" s="171"/>
      <c r="FR1906" s="171"/>
      <c r="FS1906" s="171"/>
      <c r="FT1906" s="171"/>
      <c r="FU1906" s="171"/>
      <c r="FV1906" s="171"/>
      <c r="FW1906" s="171"/>
      <c r="FX1906" s="171"/>
      <c r="FY1906" s="171"/>
      <c r="FZ1906" s="171"/>
      <c r="GA1906" s="171"/>
      <c r="GB1906" s="171"/>
      <c r="GC1906" s="171"/>
      <c r="GD1906" s="171"/>
      <c r="GE1906" s="171"/>
      <c r="GF1906" s="171"/>
      <c r="GG1906" s="171"/>
      <c r="GH1906" s="171"/>
      <c r="GI1906" s="171"/>
      <c r="GJ1906" s="171"/>
      <c r="GK1906" s="171"/>
      <c r="GL1906" s="171"/>
      <c r="GM1906" s="171"/>
      <c r="GN1906" s="171"/>
      <c r="GO1906" s="171"/>
      <c r="GP1906" s="171"/>
      <c r="GQ1906" s="171"/>
      <c r="GR1906" s="171"/>
      <c r="GS1906" s="171"/>
      <c r="GT1906" s="171"/>
      <c r="GU1906" s="171"/>
      <c r="GV1906" s="171"/>
      <c r="GW1906" s="171"/>
      <c r="GX1906" s="171"/>
      <c r="GY1906" s="171"/>
      <c r="GZ1906" s="171"/>
      <c r="HA1906" s="171"/>
      <c r="HB1906" s="171"/>
      <c r="HC1906" s="171"/>
      <c r="HD1906" s="171"/>
      <c r="HE1906" s="171"/>
      <c r="HF1906" s="171"/>
      <c r="HG1906" s="171"/>
      <c r="HH1906" s="171"/>
      <c r="HI1906" s="171"/>
      <c r="HJ1906" s="171"/>
      <c r="HK1906" s="171"/>
      <c r="HL1906" s="171"/>
      <c r="HM1906" s="171"/>
      <c r="HN1906" s="171"/>
      <c r="HO1906" s="171"/>
      <c r="HP1906" s="171"/>
      <c r="HQ1906" s="171"/>
      <c r="HR1906" s="171"/>
      <c r="HS1906" s="171"/>
      <c r="HT1906" s="171"/>
      <c r="HU1906" s="171"/>
      <c r="HV1906" s="171"/>
      <c r="HW1906" s="171"/>
      <c r="HX1906" s="171"/>
      <c r="HY1906" s="171"/>
      <c r="HZ1906" s="171"/>
      <c r="IA1906" s="171"/>
      <c r="IB1906" s="171"/>
      <c r="IC1906" s="171"/>
      <c r="ID1906" s="171"/>
      <c r="IE1906" s="171"/>
      <c r="IF1906" s="171"/>
      <c r="IG1906" s="171"/>
      <c r="IH1906" s="171"/>
      <c r="II1906" s="171"/>
      <c r="IJ1906" s="171"/>
      <c r="IK1906" s="171"/>
      <c r="IL1906" s="171"/>
      <c r="IM1906" s="171"/>
      <c r="IN1906" s="171"/>
      <c r="IO1906" s="171"/>
      <c r="IP1906" s="171"/>
      <c r="IQ1906" s="171"/>
    </row>
    <row r="1907" spans="1:251" ht="14.25" customHeight="1">
      <c r="A1907" s="212"/>
      <c r="B1907" s="221"/>
      <c r="C1907" s="295"/>
      <c r="D1907" s="226"/>
      <c r="E1907" s="360"/>
      <c r="F1907" s="308"/>
      <c r="BI1907" s="171"/>
      <c r="BJ1907" s="171"/>
      <c r="BK1907" s="171"/>
      <c r="BL1907" s="171"/>
      <c r="BM1907" s="171"/>
      <c r="BN1907" s="171"/>
      <c r="BO1907" s="171"/>
      <c r="BP1907" s="171"/>
      <c r="BQ1907" s="171"/>
      <c r="BR1907" s="171"/>
      <c r="BS1907" s="171"/>
      <c r="BT1907" s="171"/>
      <c r="BU1907" s="171"/>
      <c r="BV1907" s="171"/>
      <c r="BW1907" s="171"/>
      <c r="BX1907" s="171"/>
      <c r="BY1907" s="171"/>
      <c r="BZ1907" s="171"/>
      <c r="CA1907" s="171"/>
      <c r="CB1907" s="171"/>
      <c r="CC1907" s="171"/>
      <c r="CD1907" s="171"/>
      <c r="CE1907" s="171"/>
      <c r="CF1907" s="171"/>
      <c r="CG1907" s="171"/>
      <c r="CH1907" s="171"/>
      <c r="CI1907" s="171"/>
      <c r="CJ1907" s="171"/>
      <c r="CK1907" s="171"/>
      <c r="CL1907" s="171"/>
      <c r="CM1907" s="171"/>
      <c r="CN1907" s="171"/>
      <c r="CO1907" s="171"/>
      <c r="CP1907" s="171"/>
      <c r="CQ1907" s="171"/>
      <c r="CR1907" s="171"/>
      <c r="CS1907" s="171"/>
      <c r="CT1907" s="171"/>
      <c r="CU1907" s="171"/>
      <c r="CV1907" s="171"/>
      <c r="CW1907" s="171"/>
      <c r="CX1907" s="171"/>
      <c r="CY1907" s="171"/>
      <c r="CZ1907" s="171"/>
      <c r="DA1907" s="171"/>
      <c r="DB1907" s="171"/>
      <c r="DC1907" s="171"/>
      <c r="DD1907" s="171"/>
      <c r="DE1907" s="171"/>
      <c r="DF1907" s="171"/>
      <c r="DG1907" s="171"/>
      <c r="DH1907" s="171"/>
      <c r="DI1907" s="171"/>
      <c r="DJ1907" s="171"/>
      <c r="DK1907" s="171"/>
      <c r="DL1907" s="171"/>
      <c r="DM1907" s="171"/>
      <c r="DN1907" s="171"/>
      <c r="DO1907" s="171"/>
      <c r="DP1907" s="171"/>
      <c r="DQ1907" s="171"/>
      <c r="DR1907" s="171"/>
      <c r="DS1907" s="171"/>
      <c r="DT1907" s="171"/>
      <c r="DU1907" s="171"/>
      <c r="DV1907" s="171"/>
      <c r="DW1907" s="171"/>
      <c r="DX1907" s="171"/>
      <c r="DY1907" s="171"/>
      <c r="DZ1907" s="171"/>
      <c r="EA1907" s="171"/>
      <c r="EB1907" s="171"/>
      <c r="EC1907" s="171"/>
      <c r="ED1907" s="171"/>
      <c r="EE1907" s="171"/>
      <c r="EF1907" s="171"/>
      <c r="EG1907" s="171"/>
      <c r="EH1907" s="171"/>
      <c r="EI1907" s="171"/>
      <c r="EJ1907" s="171"/>
      <c r="EK1907" s="171"/>
      <c r="EL1907" s="171"/>
      <c r="EM1907" s="171"/>
      <c r="EN1907" s="171"/>
      <c r="EO1907" s="171"/>
      <c r="EP1907" s="171"/>
      <c r="EQ1907" s="171"/>
      <c r="ER1907" s="171"/>
      <c r="ES1907" s="171"/>
      <c r="ET1907" s="171"/>
      <c r="EU1907" s="171"/>
      <c r="EV1907" s="171"/>
      <c r="EW1907" s="171"/>
      <c r="EX1907" s="171"/>
      <c r="EY1907" s="171"/>
      <c r="EZ1907" s="171"/>
      <c r="FA1907" s="171"/>
      <c r="FB1907" s="171"/>
      <c r="FC1907" s="171"/>
      <c r="FD1907" s="171"/>
      <c r="FE1907" s="171"/>
      <c r="FF1907" s="171"/>
      <c r="FG1907" s="171"/>
      <c r="FH1907" s="171"/>
      <c r="FI1907" s="171"/>
      <c r="FJ1907" s="171"/>
      <c r="FK1907" s="171"/>
      <c r="FL1907" s="171"/>
      <c r="FM1907" s="171"/>
      <c r="FN1907" s="171"/>
      <c r="FO1907" s="171"/>
      <c r="FP1907" s="171"/>
      <c r="FQ1907" s="171"/>
      <c r="FR1907" s="171"/>
      <c r="FS1907" s="171"/>
      <c r="FT1907" s="171"/>
      <c r="FU1907" s="171"/>
      <c r="FV1907" s="171"/>
      <c r="FW1907" s="171"/>
      <c r="FX1907" s="171"/>
      <c r="FY1907" s="171"/>
      <c r="FZ1907" s="171"/>
      <c r="GA1907" s="171"/>
      <c r="GB1907" s="171"/>
      <c r="GC1907" s="171"/>
      <c r="GD1907" s="171"/>
      <c r="GE1907" s="171"/>
      <c r="GF1907" s="171"/>
      <c r="GG1907" s="171"/>
      <c r="GH1907" s="171"/>
      <c r="GI1907" s="171"/>
      <c r="GJ1907" s="171"/>
      <c r="GK1907" s="171"/>
      <c r="GL1907" s="171"/>
      <c r="GM1907" s="171"/>
      <c r="GN1907" s="171"/>
      <c r="GO1907" s="171"/>
      <c r="GP1907" s="171"/>
      <c r="GQ1907" s="171"/>
      <c r="GR1907" s="171"/>
      <c r="GS1907" s="171"/>
      <c r="GT1907" s="171"/>
      <c r="GU1907" s="171"/>
      <c r="GV1907" s="171"/>
      <c r="GW1907" s="171"/>
      <c r="GX1907" s="171"/>
      <c r="GY1907" s="171"/>
      <c r="GZ1907" s="171"/>
      <c r="HA1907" s="171"/>
      <c r="HB1907" s="171"/>
      <c r="HC1907" s="171"/>
      <c r="HD1907" s="171"/>
      <c r="HE1907" s="171"/>
      <c r="HF1907" s="171"/>
      <c r="HG1907" s="171"/>
      <c r="HH1907" s="171"/>
      <c r="HI1907" s="171"/>
      <c r="HJ1907" s="171"/>
      <c r="HK1907" s="171"/>
      <c r="HL1907" s="171"/>
      <c r="HM1907" s="171"/>
      <c r="HN1907" s="171"/>
      <c r="HO1907" s="171"/>
      <c r="HP1907" s="171"/>
      <c r="HQ1907" s="171"/>
      <c r="HR1907" s="171"/>
      <c r="HS1907" s="171"/>
      <c r="HT1907" s="171"/>
      <c r="HU1907" s="171"/>
      <c r="HV1907" s="171"/>
      <c r="HW1907" s="171"/>
      <c r="HX1907" s="171"/>
      <c r="HY1907" s="171"/>
      <c r="HZ1907" s="171"/>
      <c r="IA1907" s="171"/>
      <c r="IB1907" s="171"/>
      <c r="IC1907" s="171"/>
      <c r="ID1907" s="171"/>
      <c r="IE1907" s="171"/>
      <c r="IF1907" s="171"/>
      <c r="IG1907" s="171"/>
      <c r="IH1907" s="171"/>
      <c r="II1907" s="171"/>
      <c r="IJ1907" s="171"/>
      <c r="IK1907" s="171"/>
      <c r="IL1907" s="171"/>
      <c r="IM1907" s="171"/>
      <c r="IN1907" s="171"/>
      <c r="IO1907" s="171"/>
      <c r="IP1907" s="171"/>
      <c r="IQ1907" s="171"/>
    </row>
    <row r="1908" spans="1:251" ht="14.25" customHeight="1">
      <c r="A1908" s="212"/>
      <c r="B1908" s="221"/>
      <c r="C1908" s="295"/>
      <c r="D1908" s="226"/>
      <c r="E1908" s="360"/>
      <c r="F1908" s="308"/>
      <c r="BI1908" s="171"/>
      <c r="BJ1908" s="171"/>
      <c r="BK1908" s="171"/>
      <c r="BL1908" s="171"/>
      <c r="BM1908" s="171"/>
      <c r="BN1908" s="171"/>
      <c r="BO1908" s="171"/>
      <c r="BP1908" s="171"/>
      <c r="BQ1908" s="171"/>
      <c r="BR1908" s="171"/>
      <c r="BS1908" s="171"/>
      <c r="BT1908" s="171"/>
      <c r="BU1908" s="171"/>
      <c r="BV1908" s="171"/>
      <c r="BW1908" s="171"/>
      <c r="BX1908" s="171"/>
      <c r="BY1908" s="171"/>
      <c r="BZ1908" s="171"/>
      <c r="CA1908" s="171"/>
      <c r="CB1908" s="171"/>
      <c r="CC1908" s="171"/>
      <c r="CD1908" s="171"/>
      <c r="CE1908" s="171"/>
      <c r="CF1908" s="171"/>
      <c r="CG1908" s="171"/>
      <c r="CH1908" s="171"/>
      <c r="CI1908" s="171"/>
      <c r="CJ1908" s="171"/>
      <c r="CK1908" s="171"/>
      <c r="CL1908" s="171"/>
      <c r="CM1908" s="171"/>
      <c r="CN1908" s="171"/>
      <c r="CO1908" s="171"/>
      <c r="CP1908" s="171"/>
      <c r="CQ1908" s="171"/>
      <c r="CR1908" s="171"/>
      <c r="CS1908" s="171"/>
      <c r="CT1908" s="171"/>
      <c r="CU1908" s="171"/>
      <c r="CV1908" s="171"/>
      <c r="CW1908" s="171"/>
      <c r="CX1908" s="171"/>
      <c r="CY1908" s="171"/>
      <c r="CZ1908" s="171"/>
      <c r="DA1908" s="171"/>
      <c r="DB1908" s="171"/>
      <c r="DC1908" s="171"/>
      <c r="DD1908" s="171"/>
      <c r="DE1908" s="171"/>
      <c r="DF1908" s="171"/>
      <c r="DG1908" s="171"/>
      <c r="DH1908" s="171"/>
      <c r="DI1908" s="171"/>
      <c r="DJ1908" s="171"/>
      <c r="DK1908" s="171"/>
      <c r="DL1908" s="171"/>
      <c r="DM1908" s="171"/>
      <c r="DN1908" s="171"/>
      <c r="DO1908" s="171"/>
      <c r="DP1908" s="171"/>
      <c r="DQ1908" s="171"/>
      <c r="DR1908" s="171"/>
      <c r="DS1908" s="171"/>
      <c r="DT1908" s="171"/>
      <c r="DU1908" s="171"/>
      <c r="DV1908" s="171"/>
      <c r="DW1908" s="171"/>
      <c r="DX1908" s="171"/>
      <c r="DY1908" s="171"/>
      <c r="DZ1908" s="171"/>
      <c r="EA1908" s="171"/>
      <c r="EB1908" s="171"/>
      <c r="EC1908" s="171"/>
      <c r="ED1908" s="171"/>
      <c r="EE1908" s="171"/>
      <c r="EF1908" s="171"/>
      <c r="EG1908" s="171"/>
      <c r="EH1908" s="171"/>
      <c r="EI1908" s="171"/>
      <c r="EJ1908" s="171"/>
      <c r="EK1908" s="171"/>
      <c r="EL1908" s="171"/>
      <c r="EM1908" s="171"/>
      <c r="EN1908" s="171"/>
      <c r="EO1908" s="171"/>
      <c r="EP1908" s="171"/>
      <c r="EQ1908" s="171"/>
      <c r="ER1908" s="171"/>
      <c r="ES1908" s="171"/>
      <c r="ET1908" s="171"/>
      <c r="EU1908" s="171"/>
      <c r="EV1908" s="171"/>
      <c r="EW1908" s="171"/>
      <c r="EX1908" s="171"/>
      <c r="EY1908" s="171"/>
      <c r="EZ1908" s="171"/>
      <c r="FA1908" s="171"/>
      <c r="FB1908" s="171"/>
      <c r="FC1908" s="171"/>
      <c r="FD1908" s="171"/>
      <c r="FE1908" s="171"/>
      <c r="FF1908" s="171"/>
      <c r="FG1908" s="171"/>
      <c r="FH1908" s="171"/>
      <c r="FI1908" s="171"/>
      <c r="FJ1908" s="171"/>
      <c r="FK1908" s="171"/>
      <c r="FL1908" s="171"/>
      <c r="FM1908" s="171"/>
      <c r="FN1908" s="171"/>
      <c r="FO1908" s="171"/>
      <c r="FP1908" s="171"/>
      <c r="FQ1908" s="171"/>
      <c r="FR1908" s="171"/>
      <c r="FS1908" s="171"/>
      <c r="FT1908" s="171"/>
      <c r="FU1908" s="171"/>
      <c r="FV1908" s="171"/>
      <c r="FW1908" s="171"/>
      <c r="FX1908" s="171"/>
      <c r="FY1908" s="171"/>
      <c r="FZ1908" s="171"/>
      <c r="GA1908" s="171"/>
      <c r="GB1908" s="171"/>
      <c r="GC1908" s="171"/>
      <c r="GD1908" s="171"/>
      <c r="GE1908" s="171"/>
      <c r="GF1908" s="171"/>
      <c r="GG1908" s="171"/>
      <c r="GH1908" s="171"/>
      <c r="GI1908" s="171"/>
      <c r="GJ1908" s="171"/>
      <c r="GK1908" s="171"/>
      <c r="GL1908" s="171"/>
      <c r="GM1908" s="171"/>
      <c r="GN1908" s="171"/>
      <c r="GO1908" s="171"/>
      <c r="GP1908" s="171"/>
      <c r="GQ1908" s="171"/>
      <c r="GR1908" s="171"/>
      <c r="GS1908" s="171"/>
      <c r="GT1908" s="171"/>
      <c r="GU1908" s="171"/>
      <c r="GV1908" s="171"/>
      <c r="GW1908" s="171"/>
      <c r="GX1908" s="171"/>
      <c r="GY1908" s="171"/>
      <c r="GZ1908" s="171"/>
      <c r="HA1908" s="171"/>
      <c r="HB1908" s="171"/>
      <c r="HC1908" s="171"/>
      <c r="HD1908" s="171"/>
      <c r="HE1908" s="171"/>
      <c r="HF1908" s="171"/>
      <c r="HG1908" s="171"/>
      <c r="HH1908" s="171"/>
      <c r="HI1908" s="171"/>
      <c r="HJ1908" s="171"/>
      <c r="HK1908" s="171"/>
      <c r="HL1908" s="171"/>
      <c r="HM1908" s="171"/>
      <c r="HN1908" s="171"/>
      <c r="HO1908" s="171"/>
      <c r="HP1908" s="171"/>
      <c r="HQ1908" s="171"/>
      <c r="HR1908" s="171"/>
      <c r="HS1908" s="171"/>
      <c r="HT1908" s="171"/>
      <c r="HU1908" s="171"/>
      <c r="HV1908" s="171"/>
      <c r="HW1908" s="171"/>
      <c r="HX1908" s="171"/>
      <c r="HY1908" s="171"/>
      <c r="HZ1908" s="171"/>
      <c r="IA1908" s="171"/>
      <c r="IB1908" s="171"/>
      <c r="IC1908" s="171"/>
      <c r="ID1908" s="171"/>
      <c r="IE1908" s="171"/>
      <c r="IF1908" s="171"/>
      <c r="IG1908" s="171"/>
      <c r="IH1908" s="171"/>
      <c r="II1908" s="171"/>
      <c r="IJ1908" s="171"/>
      <c r="IK1908" s="171"/>
      <c r="IL1908" s="171"/>
      <c r="IM1908" s="171"/>
      <c r="IN1908" s="171"/>
      <c r="IO1908" s="171"/>
      <c r="IP1908" s="171"/>
      <c r="IQ1908" s="171"/>
    </row>
    <row r="1909" spans="1:251" ht="14.25" customHeight="1">
      <c r="A1909" s="212"/>
      <c r="B1909" s="226"/>
      <c r="C1909" s="243"/>
      <c r="D1909" s="338"/>
      <c r="E1909" s="360"/>
      <c r="F1909" s="308"/>
      <c r="BI1909" s="171"/>
      <c r="BJ1909" s="171"/>
      <c r="BK1909" s="171"/>
      <c r="BL1909" s="171"/>
      <c r="BM1909" s="171"/>
      <c r="BN1909" s="171"/>
      <c r="BO1909" s="171"/>
      <c r="BP1909" s="171"/>
      <c r="BQ1909" s="171"/>
      <c r="BR1909" s="171"/>
      <c r="BS1909" s="171"/>
      <c r="BT1909" s="171"/>
      <c r="BU1909" s="171"/>
      <c r="BV1909" s="171"/>
      <c r="BW1909" s="171"/>
      <c r="BX1909" s="171"/>
      <c r="BY1909" s="171"/>
      <c r="BZ1909" s="171"/>
      <c r="CA1909" s="171"/>
      <c r="CB1909" s="171"/>
      <c r="CC1909" s="171"/>
      <c r="CD1909" s="171"/>
      <c r="CE1909" s="171"/>
      <c r="CF1909" s="171"/>
      <c r="CG1909" s="171"/>
      <c r="CH1909" s="171"/>
      <c r="CI1909" s="171"/>
      <c r="CJ1909" s="171"/>
      <c r="CK1909" s="171"/>
      <c r="CL1909" s="171"/>
      <c r="CM1909" s="171"/>
      <c r="CN1909" s="171"/>
      <c r="CO1909" s="171"/>
      <c r="CP1909" s="171"/>
      <c r="CQ1909" s="171"/>
      <c r="CR1909" s="171"/>
      <c r="CS1909" s="171"/>
      <c r="CT1909" s="171"/>
      <c r="CU1909" s="171"/>
      <c r="CV1909" s="171"/>
      <c r="CW1909" s="171"/>
      <c r="CX1909" s="171"/>
      <c r="CY1909" s="171"/>
      <c r="CZ1909" s="171"/>
      <c r="DA1909" s="171"/>
      <c r="DB1909" s="171"/>
      <c r="DC1909" s="171"/>
      <c r="DD1909" s="171"/>
      <c r="DE1909" s="171"/>
      <c r="DF1909" s="171"/>
      <c r="DG1909" s="171"/>
      <c r="DH1909" s="171"/>
      <c r="DI1909" s="171"/>
      <c r="DJ1909" s="171"/>
      <c r="DK1909" s="171"/>
      <c r="DL1909" s="171"/>
      <c r="DM1909" s="171"/>
      <c r="DN1909" s="171"/>
      <c r="DO1909" s="171"/>
      <c r="DP1909" s="171"/>
      <c r="DQ1909" s="171"/>
      <c r="DR1909" s="171"/>
      <c r="DS1909" s="171"/>
      <c r="DT1909" s="171"/>
      <c r="DU1909" s="171"/>
      <c r="DV1909" s="171"/>
      <c r="DW1909" s="171"/>
      <c r="DX1909" s="171"/>
      <c r="DY1909" s="171"/>
      <c r="DZ1909" s="171"/>
      <c r="EA1909" s="171"/>
      <c r="EB1909" s="171"/>
      <c r="EC1909" s="171"/>
      <c r="ED1909" s="171"/>
      <c r="EE1909" s="171"/>
      <c r="EF1909" s="171"/>
      <c r="EG1909" s="171"/>
      <c r="EH1909" s="171"/>
      <c r="EI1909" s="171"/>
      <c r="EJ1909" s="171"/>
      <c r="EK1909" s="171"/>
      <c r="EL1909" s="171"/>
      <c r="EM1909" s="171"/>
      <c r="EN1909" s="171"/>
      <c r="EO1909" s="171"/>
      <c r="EP1909" s="171"/>
      <c r="EQ1909" s="171"/>
      <c r="ER1909" s="171"/>
      <c r="ES1909" s="171"/>
      <c r="ET1909" s="171"/>
      <c r="EU1909" s="171"/>
      <c r="EV1909" s="171"/>
      <c r="EW1909" s="171"/>
      <c r="EX1909" s="171"/>
      <c r="EY1909" s="171"/>
      <c r="EZ1909" s="171"/>
      <c r="FA1909" s="171"/>
      <c r="FB1909" s="171"/>
      <c r="FC1909" s="171"/>
      <c r="FD1909" s="171"/>
      <c r="FE1909" s="171"/>
      <c r="FF1909" s="171"/>
      <c r="FG1909" s="171"/>
      <c r="FH1909" s="171"/>
      <c r="FI1909" s="171"/>
      <c r="FJ1909" s="171"/>
      <c r="FK1909" s="171"/>
      <c r="FL1909" s="171"/>
      <c r="FM1909" s="171"/>
      <c r="FN1909" s="171"/>
      <c r="FO1909" s="171"/>
      <c r="FP1909" s="171"/>
      <c r="FQ1909" s="171"/>
      <c r="FR1909" s="171"/>
      <c r="FS1909" s="171"/>
      <c r="FT1909" s="171"/>
      <c r="FU1909" s="171"/>
      <c r="FV1909" s="171"/>
      <c r="FW1909" s="171"/>
      <c r="FX1909" s="171"/>
      <c r="FY1909" s="171"/>
      <c r="FZ1909" s="171"/>
      <c r="GA1909" s="171"/>
      <c r="GB1909" s="171"/>
      <c r="GC1909" s="171"/>
      <c r="GD1909" s="171"/>
      <c r="GE1909" s="171"/>
      <c r="GF1909" s="171"/>
      <c r="GG1909" s="171"/>
      <c r="GH1909" s="171"/>
      <c r="GI1909" s="171"/>
      <c r="GJ1909" s="171"/>
      <c r="GK1909" s="171"/>
      <c r="GL1909" s="171"/>
      <c r="GM1909" s="171"/>
      <c r="GN1909" s="171"/>
      <c r="GO1909" s="171"/>
      <c r="GP1909" s="171"/>
      <c r="GQ1909" s="171"/>
      <c r="GR1909" s="171"/>
      <c r="GS1909" s="171"/>
      <c r="GT1909" s="171"/>
      <c r="GU1909" s="171"/>
      <c r="GV1909" s="171"/>
      <c r="GW1909" s="171"/>
      <c r="GX1909" s="171"/>
      <c r="GY1909" s="171"/>
      <c r="GZ1909" s="171"/>
      <c r="HA1909" s="171"/>
      <c r="HB1909" s="171"/>
      <c r="HC1909" s="171"/>
      <c r="HD1909" s="171"/>
      <c r="HE1909" s="171"/>
      <c r="HF1909" s="171"/>
      <c r="HG1909" s="171"/>
      <c r="HH1909" s="171"/>
      <c r="HI1909" s="171"/>
      <c r="HJ1909" s="171"/>
      <c r="HK1909" s="171"/>
      <c r="HL1909" s="171"/>
      <c r="HM1909" s="171"/>
      <c r="HN1909" s="171"/>
      <c r="HO1909" s="171"/>
      <c r="HP1909" s="171"/>
      <c r="HQ1909" s="171"/>
      <c r="HR1909" s="171"/>
      <c r="HS1909" s="171"/>
      <c r="HT1909" s="171"/>
      <c r="HU1909" s="171"/>
      <c r="HV1909" s="171"/>
      <c r="HW1909" s="171"/>
      <c r="HX1909" s="171"/>
      <c r="HY1909" s="171"/>
      <c r="HZ1909" s="171"/>
      <c r="IA1909" s="171"/>
      <c r="IB1909" s="171"/>
      <c r="IC1909" s="171"/>
      <c r="ID1909" s="171"/>
      <c r="IE1909" s="171"/>
      <c r="IF1909" s="171"/>
      <c r="IG1909" s="171"/>
      <c r="IH1909" s="171"/>
      <c r="II1909" s="171"/>
      <c r="IJ1909" s="171"/>
      <c r="IK1909" s="171"/>
      <c r="IL1909" s="171"/>
      <c r="IM1909" s="171"/>
      <c r="IN1909" s="171"/>
      <c r="IO1909" s="171"/>
      <c r="IP1909" s="171"/>
      <c r="IQ1909" s="171"/>
    </row>
    <row r="1910" spans="1:251" ht="14.25" customHeight="1">
      <c r="A1910" s="212"/>
      <c r="B1910" s="495" t="s">
        <v>1990</v>
      </c>
      <c r="C1910" s="496" t="s">
        <v>1991</v>
      </c>
      <c r="D1910" s="497" t="s">
        <v>1992</v>
      </c>
      <c r="E1910" s="360">
        <f>'[5]COSTO CDMX,QRO,GDL '!I1904</f>
        <v>19354.385964912282</v>
      </c>
      <c r="F1910" s="217" t="s">
        <v>284</v>
      </c>
      <c r="BI1910" s="171"/>
      <c r="BJ1910" s="171"/>
      <c r="BK1910" s="171"/>
      <c r="BL1910" s="171"/>
      <c r="BM1910" s="171"/>
      <c r="BN1910" s="171"/>
      <c r="BO1910" s="171"/>
      <c r="BP1910" s="171"/>
      <c r="BQ1910" s="171"/>
      <c r="BR1910" s="171"/>
      <c r="BS1910" s="171"/>
      <c r="BT1910" s="171"/>
      <c r="BU1910" s="171"/>
      <c r="BV1910" s="171"/>
      <c r="BW1910" s="171"/>
      <c r="BX1910" s="171"/>
      <c r="BY1910" s="171"/>
      <c r="BZ1910" s="171"/>
      <c r="CA1910" s="171"/>
      <c r="CB1910" s="171"/>
      <c r="CC1910" s="171"/>
      <c r="CD1910" s="171"/>
      <c r="CE1910" s="171"/>
      <c r="CF1910" s="171"/>
      <c r="CG1910" s="171"/>
      <c r="CH1910" s="171"/>
      <c r="CI1910" s="171"/>
      <c r="CJ1910" s="171"/>
      <c r="CK1910" s="171"/>
      <c r="CL1910" s="171"/>
      <c r="CM1910" s="171"/>
      <c r="CN1910" s="171"/>
      <c r="CO1910" s="171"/>
      <c r="CP1910" s="171"/>
      <c r="CQ1910" s="171"/>
      <c r="CR1910" s="171"/>
      <c r="CS1910" s="171"/>
      <c r="CT1910" s="171"/>
      <c r="CU1910" s="171"/>
      <c r="CV1910" s="171"/>
      <c r="CW1910" s="171"/>
      <c r="CX1910" s="171"/>
      <c r="CY1910" s="171"/>
      <c r="CZ1910" s="171"/>
      <c r="DA1910" s="171"/>
      <c r="DB1910" s="171"/>
      <c r="DC1910" s="171"/>
      <c r="DD1910" s="171"/>
      <c r="DE1910" s="171"/>
      <c r="DF1910" s="171"/>
      <c r="DG1910" s="171"/>
      <c r="DH1910" s="171"/>
      <c r="DI1910" s="171"/>
      <c r="DJ1910" s="171"/>
      <c r="DK1910" s="171"/>
      <c r="DL1910" s="171"/>
      <c r="DM1910" s="171"/>
      <c r="DN1910" s="171"/>
      <c r="DO1910" s="171"/>
      <c r="DP1910" s="171"/>
      <c r="DQ1910" s="171"/>
      <c r="DR1910" s="171"/>
      <c r="DS1910" s="171"/>
      <c r="DT1910" s="171"/>
      <c r="DU1910" s="171"/>
      <c r="DV1910" s="171"/>
      <c r="DW1910" s="171"/>
      <c r="DX1910" s="171"/>
      <c r="DY1910" s="171"/>
      <c r="DZ1910" s="171"/>
      <c r="EA1910" s="171"/>
      <c r="EB1910" s="171"/>
      <c r="EC1910" s="171"/>
      <c r="ED1910" s="171"/>
      <c r="EE1910" s="171"/>
      <c r="EF1910" s="171"/>
      <c r="EG1910" s="171"/>
      <c r="EH1910" s="171"/>
      <c r="EI1910" s="171"/>
      <c r="EJ1910" s="171"/>
      <c r="EK1910" s="171"/>
      <c r="EL1910" s="171"/>
      <c r="EM1910" s="171"/>
      <c r="EN1910" s="171"/>
      <c r="EO1910" s="171"/>
      <c r="EP1910" s="171"/>
      <c r="EQ1910" s="171"/>
      <c r="ER1910" s="171"/>
      <c r="ES1910" s="171"/>
      <c r="ET1910" s="171"/>
      <c r="EU1910" s="171"/>
      <c r="EV1910" s="171"/>
      <c r="EW1910" s="171"/>
      <c r="EX1910" s="171"/>
      <c r="EY1910" s="171"/>
      <c r="EZ1910" s="171"/>
      <c r="FA1910" s="171"/>
      <c r="FB1910" s="171"/>
      <c r="FC1910" s="171"/>
      <c r="FD1910" s="171"/>
      <c r="FE1910" s="171"/>
      <c r="FF1910" s="171"/>
      <c r="FG1910" s="171"/>
      <c r="FH1910" s="171"/>
      <c r="FI1910" s="171"/>
      <c r="FJ1910" s="171"/>
      <c r="FK1910" s="171"/>
      <c r="FL1910" s="171"/>
      <c r="FM1910" s="171"/>
      <c r="FN1910" s="171"/>
      <c r="FO1910" s="171"/>
      <c r="FP1910" s="171"/>
      <c r="FQ1910" s="171"/>
      <c r="FR1910" s="171"/>
      <c r="FS1910" s="171"/>
      <c r="FT1910" s="171"/>
      <c r="FU1910" s="171"/>
      <c r="FV1910" s="171"/>
      <c r="FW1910" s="171"/>
      <c r="FX1910" s="171"/>
      <c r="FY1910" s="171"/>
      <c r="FZ1910" s="171"/>
      <c r="GA1910" s="171"/>
      <c r="GB1910" s="171"/>
      <c r="GC1910" s="171"/>
      <c r="GD1910" s="171"/>
      <c r="GE1910" s="171"/>
      <c r="GF1910" s="171"/>
      <c r="GG1910" s="171"/>
      <c r="GH1910" s="171"/>
      <c r="GI1910" s="171"/>
      <c r="GJ1910" s="171"/>
      <c r="GK1910" s="171"/>
      <c r="GL1910" s="171"/>
      <c r="GM1910" s="171"/>
      <c r="GN1910" s="171"/>
      <c r="GO1910" s="171"/>
      <c r="GP1910" s="171"/>
      <c r="GQ1910" s="171"/>
      <c r="GR1910" s="171"/>
      <c r="GS1910" s="171"/>
      <c r="GT1910" s="171"/>
      <c r="GU1910" s="171"/>
      <c r="GV1910" s="171"/>
      <c r="GW1910" s="171"/>
      <c r="GX1910" s="171"/>
      <c r="GY1910" s="171"/>
      <c r="GZ1910" s="171"/>
      <c r="HA1910" s="171"/>
      <c r="HB1910" s="171"/>
      <c r="HC1910" s="171"/>
      <c r="HD1910" s="171"/>
      <c r="HE1910" s="171"/>
      <c r="HF1910" s="171"/>
      <c r="HG1910" s="171"/>
      <c r="HH1910" s="171"/>
      <c r="HI1910" s="171"/>
      <c r="HJ1910" s="171"/>
      <c r="HK1910" s="171"/>
      <c r="HL1910" s="171"/>
      <c r="HM1910" s="171"/>
      <c r="HN1910" s="171"/>
      <c r="HO1910" s="171"/>
      <c r="HP1910" s="171"/>
      <c r="HQ1910" s="171"/>
      <c r="HR1910" s="171"/>
      <c r="HS1910" s="171"/>
      <c r="HT1910" s="171"/>
      <c r="HU1910" s="171"/>
      <c r="HV1910" s="171"/>
      <c r="HW1910" s="171"/>
      <c r="HX1910" s="171"/>
      <c r="HY1910" s="171"/>
      <c r="HZ1910" s="171"/>
      <c r="IA1910" s="171"/>
      <c r="IB1910" s="171"/>
      <c r="IC1910" s="171"/>
      <c r="ID1910" s="171"/>
      <c r="IE1910" s="171"/>
      <c r="IF1910" s="171"/>
      <c r="IG1910" s="171"/>
      <c r="IH1910" s="171"/>
      <c r="II1910" s="171"/>
      <c r="IJ1910" s="171"/>
      <c r="IK1910" s="171"/>
      <c r="IL1910" s="171"/>
      <c r="IM1910" s="171"/>
      <c r="IN1910" s="171"/>
      <c r="IO1910" s="171"/>
      <c r="IP1910" s="171"/>
      <c r="IQ1910" s="171"/>
    </row>
    <row r="1911" spans="1:251" ht="14.25" customHeight="1">
      <c r="A1911" s="212"/>
      <c r="B1911" s="498"/>
      <c r="C1911" s="496" t="s">
        <v>1993</v>
      </c>
      <c r="D1911" s="497"/>
      <c r="E1911" s="360"/>
      <c r="F1911" s="296"/>
      <c r="H1911" s="499"/>
      <c r="BI1911" s="171"/>
      <c r="BJ1911" s="171"/>
      <c r="BK1911" s="171"/>
      <c r="BL1911" s="171"/>
      <c r="BM1911" s="171"/>
      <c r="BN1911" s="171"/>
      <c r="BO1911" s="171"/>
      <c r="BP1911" s="171"/>
      <c r="BQ1911" s="171"/>
      <c r="BR1911" s="171"/>
      <c r="BS1911" s="171"/>
      <c r="BT1911" s="171"/>
      <c r="BU1911" s="171"/>
      <c r="BV1911" s="171"/>
      <c r="BW1911" s="171"/>
      <c r="BX1911" s="171"/>
      <c r="BY1911" s="171"/>
      <c r="BZ1911" s="171"/>
      <c r="CA1911" s="171"/>
      <c r="CB1911" s="171"/>
      <c r="CC1911" s="171"/>
      <c r="CD1911" s="171"/>
      <c r="CE1911" s="171"/>
      <c r="CF1911" s="171"/>
      <c r="CG1911" s="171"/>
      <c r="CH1911" s="171"/>
      <c r="CI1911" s="171"/>
      <c r="CJ1911" s="171"/>
      <c r="CK1911" s="171"/>
      <c r="CL1911" s="171"/>
      <c r="CM1911" s="171"/>
      <c r="CN1911" s="171"/>
      <c r="CO1911" s="171"/>
      <c r="CP1911" s="171"/>
      <c r="CQ1911" s="171"/>
      <c r="CR1911" s="171"/>
      <c r="CS1911" s="171"/>
      <c r="CT1911" s="171"/>
      <c r="CU1911" s="171"/>
      <c r="CV1911" s="171"/>
      <c r="CW1911" s="171"/>
      <c r="CX1911" s="171"/>
      <c r="CY1911" s="171"/>
      <c r="CZ1911" s="171"/>
      <c r="DA1911" s="171"/>
      <c r="DB1911" s="171"/>
      <c r="DC1911" s="171"/>
      <c r="DD1911" s="171"/>
      <c r="DE1911" s="171"/>
      <c r="DF1911" s="171"/>
      <c r="DG1911" s="171"/>
      <c r="DH1911" s="171"/>
      <c r="DI1911" s="171"/>
      <c r="DJ1911" s="171"/>
      <c r="DK1911" s="171"/>
      <c r="DL1911" s="171"/>
      <c r="DM1911" s="171"/>
      <c r="DN1911" s="171"/>
      <c r="DO1911" s="171"/>
      <c r="DP1911" s="171"/>
      <c r="DQ1911" s="171"/>
      <c r="DR1911" s="171"/>
      <c r="DS1911" s="171"/>
      <c r="DT1911" s="171"/>
      <c r="DU1911" s="171"/>
      <c r="DV1911" s="171"/>
      <c r="DW1911" s="171"/>
      <c r="DX1911" s="171"/>
      <c r="DY1911" s="171"/>
      <c r="DZ1911" s="171"/>
      <c r="EA1911" s="171"/>
      <c r="EB1911" s="171"/>
      <c r="EC1911" s="171"/>
      <c r="ED1911" s="171"/>
      <c r="EE1911" s="171"/>
      <c r="EF1911" s="171"/>
      <c r="EG1911" s="171"/>
      <c r="EH1911" s="171"/>
      <c r="EI1911" s="171"/>
      <c r="EJ1911" s="171"/>
      <c r="EK1911" s="171"/>
      <c r="EL1911" s="171"/>
      <c r="EM1911" s="171"/>
      <c r="EN1911" s="171"/>
      <c r="EO1911" s="171"/>
      <c r="EP1911" s="171"/>
      <c r="EQ1911" s="171"/>
      <c r="ER1911" s="171"/>
      <c r="ES1911" s="171"/>
      <c r="ET1911" s="171"/>
      <c r="EU1911" s="171"/>
      <c r="EV1911" s="171"/>
      <c r="EW1911" s="171"/>
      <c r="EX1911" s="171"/>
      <c r="EY1911" s="171"/>
      <c r="EZ1911" s="171"/>
      <c r="FA1911" s="171"/>
      <c r="FB1911" s="171"/>
      <c r="FC1911" s="171"/>
      <c r="FD1911" s="171"/>
      <c r="FE1911" s="171"/>
      <c r="FF1911" s="171"/>
      <c r="FG1911" s="171"/>
      <c r="FH1911" s="171"/>
      <c r="FI1911" s="171"/>
      <c r="FJ1911" s="171"/>
      <c r="FK1911" s="171"/>
      <c r="FL1911" s="171"/>
      <c r="FM1911" s="171"/>
      <c r="FN1911" s="171"/>
      <c r="FO1911" s="171"/>
      <c r="FP1911" s="171"/>
      <c r="FQ1911" s="171"/>
      <c r="FR1911" s="171"/>
      <c r="FS1911" s="171"/>
      <c r="FT1911" s="171"/>
      <c r="FU1911" s="171"/>
      <c r="FV1911" s="171"/>
      <c r="FW1911" s="171"/>
      <c r="FX1911" s="171"/>
      <c r="FY1911" s="171"/>
      <c r="FZ1911" s="171"/>
      <c r="GA1911" s="171"/>
      <c r="GB1911" s="171"/>
      <c r="GC1911" s="171"/>
      <c r="GD1911" s="171"/>
      <c r="GE1911" s="171"/>
      <c r="GF1911" s="171"/>
      <c r="GG1911" s="171"/>
      <c r="GH1911" s="171"/>
      <c r="GI1911" s="171"/>
      <c r="GJ1911" s="171"/>
      <c r="GK1911" s="171"/>
      <c r="GL1911" s="171"/>
      <c r="GM1911" s="171"/>
      <c r="GN1911" s="171"/>
      <c r="GO1911" s="171"/>
      <c r="GP1911" s="171"/>
      <c r="GQ1911" s="171"/>
      <c r="GR1911" s="171"/>
      <c r="GS1911" s="171"/>
      <c r="GT1911" s="171"/>
      <c r="GU1911" s="171"/>
      <c r="GV1911" s="171"/>
      <c r="GW1911" s="171"/>
      <c r="GX1911" s="171"/>
      <c r="GY1911" s="171"/>
      <c r="GZ1911" s="171"/>
      <c r="HA1911" s="171"/>
      <c r="HB1911" s="171"/>
      <c r="HC1911" s="171"/>
      <c r="HD1911" s="171"/>
      <c r="HE1911" s="171"/>
      <c r="HF1911" s="171"/>
      <c r="HG1911" s="171"/>
      <c r="HH1911" s="171"/>
      <c r="HI1911" s="171"/>
      <c r="HJ1911" s="171"/>
      <c r="HK1911" s="171"/>
      <c r="HL1911" s="171"/>
      <c r="HM1911" s="171"/>
      <c r="HN1911" s="171"/>
      <c r="HO1911" s="171"/>
      <c r="HP1911" s="171"/>
      <c r="HQ1911" s="171"/>
      <c r="HR1911" s="171"/>
      <c r="HS1911" s="171"/>
      <c r="HT1911" s="171"/>
      <c r="HU1911" s="171"/>
      <c r="HV1911" s="171"/>
      <c r="HW1911" s="171"/>
      <c r="HX1911" s="171"/>
      <c r="HY1911" s="171"/>
      <c r="HZ1911" s="171"/>
      <c r="IA1911" s="171"/>
      <c r="IB1911" s="171"/>
      <c r="IC1911" s="171"/>
      <c r="ID1911" s="171"/>
      <c r="IE1911" s="171"/>
      <c r="IF1911" s="171"/>
      <c r="IG1911" s="171"/>
      <c r="IH1911" s="171"/>
      <c r="II1911" s="171"/>
      <c r="IJ1911" s="171"/>
      <c r="IK1911" s="171"/>
      <c r="IL1911" s="171"/>
      <c r="IM1911" s="171"/>
      <c r="IN1911" s="171"/>
      <c r="IO1911" s="171"/>
      <c r="IP1911" s="171"/>
      <c r="IQ1911" s="171"/>
    </row>
    <row r="1912" spans="1:251" ht="14.25" customHeight="1">
      <c r="A1912" s="212"/>
      <c r="B1912" s="498"/>
      <c r="C1912" s="496" t="s">
        <v>1994</v>
      </c>
      <c r="D1912" s="497"/>
      <c r="E1912" s="360"/>
      <c r="F1912" s="296"/>
      <c r="H1912" s="499"/>
      <c r="BI1912" s="171"/>
      <c r="BJ1912" s="171"/>
      <c r="BK1912" s="171"/>
      <c r="BL1912" s="171"/>
      <c r="BM1912" s="171"/>
      <c r="BN1912" s="171"/>
      <c r="BO1912" s="171"/>
      <c r="BP1912" s="171"/>
      <c r="BQ1912" s="171"/>
      <c r="BR1912" s="171"/>
      <c r="BS1912" s="171"/>
      <c r="BT1912" s="171"/>
      <c r="BU1912" s="171"/>
      <c r="BV1912" s="171"/>
      <c r="BW1912" s="171"/>
      <c r="BX1912" s="171"/>
      <c r="BY1912" s="171"/>
      <c r="BZ1912" s="171"/>
      <c r="CA1912" s="171"/>
      <c r="CB1912" s="171"/>
      <c r="CC1912" s="171"/>
      <c r="CD1912" s="171"/>
      <c r="CE1912" s="171"/>
      <c r="CF1912" s="171"/>
      <c r="CG1912" s="171"/>
      <c r="CH1912" s="171"/>
      <c r="CI1912" s="171"/>
      <c r="CJ1912" s="171"/>
      <c r="CK1912" s="171"/>
      <c r="CL1912" s="171"/>
      <c r="CM1912" s="171"/>
      <c r="CN1912" s="171"/>
      <c r="CO1912" s="171"/>
      <c r="CP1912" s="171"/>
      <c r="CQ1912" s="171"/>
      <c r="CR1912" s="171"/>
      <c r="CS1912" s="171"/>
      <c r="CT1912" s="171"/>
      <c r="CU1912" s="171"/>
      <c r="CV1912" s="171"/>
      <c r="CW1912" s="171"/>
      <c r="CX1912" s="171"/>
      <c r="CY1912" s="171"/>
      <c r="CZ1912" s="171"/>
      <c r="DA1912" s="171"/>
      <c r="DB1912" s="171"/>
      <c r="DC1912" s="171"/>
      <c r="DD1912" s="171"/>
      <c r="DE1912" s="171"/>
      <c r="DF1912" s="171"/>
      <c r="DG1912" s="171"/>
      <c r="DH1912" s="171"/>
      <c r="DI1912" s="171"/>
      <c r="DJ1912" s="171"/>
      <c r="DK1912" s="171"/>
      <c r="DL1912" s="171"/>
      <c r="DM1912" s="171"/>
      <c r="DN1912" s="171"/>
      <c r="DO1912" s="171"/>
      <c r="DP1912" s="171"/>
      <c r="DQ1912" s="171"/>
      <c r="DR1912" s="171"/>
      <c r="DS1912" s="171"/>
      <c r="DT1912" s="171"/>
      <c r="DU1912" s="171"/>
      <c r="DV1912" s="171"/>
      <c r="DW1912" s="171"/>
      <c r="DX1912" s="171"/>
      <c r="DY1912" s="171"/>
      <c r="DZ1912" s="171"/>
      <c r="EA1912" s="171"/>
      <c r="EB1912" s="171"/>
      <c r="EC1912" s="171"/>
      <c r="ED1912" s="171"/>
      <c r="EE1912" s="171"/>
      <c r="EF1912" s="171"/>
      <c r="EG1912" s="171"/>
      <c r="EH1912" s="171"/>
      <c r="EI1912" s="171"/>
      <c r="EJ1912" s="171"/>
      <c r="EK1912" s="171"/>
      <c r="EL1912" s="171"/>
      <c r="EM1912" s="171"/>
      <c r="EN1912" s="171"/>
      <c r="EO1912" s="171"/>
      <c r="EP1912" s="171"/>
      <c r="EQ1912" s="171"/>
      <c r="ER1912" s="171"/>
      <c r="ES1912" s="171"/>
      <c r="ET1912" s="171"/>
      <c r="EU1912" s="171"/>
      <c r="EV1912" s="171"/>
      <c r="EW1912" s="171"/>
      <c r="EX1912" s="171"/>
      <c r="EY1912" s="171"/>
      <c r="EZ1912" s="171"/>
      <c r="FA1912" s="171"/>
      <c r="FB1912" s="171"/>
      <c r="FC1912" s="171"/>
      <c r="FD1912" s="171"/>
      <c r="FE1912" s="171"/>
      <c r="FF1912" s="171"/>
      <c r="FG1912" s="171"/>
      <c r="FH1912" s="171"/>
      <c r="FI1912" s="171"/>
      <c r="FJ1912" s="171"/>
      <c r="FK1912" s="171"/>
      <c r="FL1912" s="171"/>
      <c r="FM1912" s="171"/>
      <c r="FN1912" s="171"/>
      <c r="FO1912" s="171"/>
      <c r="FP1912" s="171"/>
      <c r="FQ1912" s="171"/>
      <c r="FR1912" s="171"/>
      <c r="FS1912" s="171"/>
      <c r="FT1912" s="171"/>
      <c r="FU1912" s="171"/>
      <c r="FV1912" s="171"/>
      <c r="FW1912" s="171"/>
      <c r="FX1912" s="171"/>
      <c r="FY1912" s="171"/>
      <c r="FZ1912" s="171"/>
      <c r="GA1912" s="171"/>
      <c r="GB1912" s="171"/>
      <c r="GC1912" s="171"/>
      <c r="GD1912" s="171"/>
      <c r="GE1912" s="171"/>
      <c r="GF1912" s="171"/>
      <c r="GG1912" s="171"/>
      <c r="GH1912" s="171"/>
      <c r="GI1912" s="171"/>
      <c r="GJ1912" s="171"/>
      <c r="GK1912" s="171"/>
      <c r="GL1912" s="171"/>
      <c r="GM1912" s="171"/>
      <c r="GN1912" s="171"/>
      <c r="GO1912" s="171"/>
      <c r="GP1912" s="171"/>
      <c r="GQ1912" s="171"/>
      <c r="GR1912" s="171"/>
      <c r="GS1912" s="171"/>
      <c r="GT1912" s="171"/>
      <c r="GU1912" s="171"/>
      <c r="GV1912" s="171"/>
      <c r="GW1912" s="171"/>
      <c r="GX1912" s="171"/>
      <c r="GY1912" s="171"/>
      <c r="GZ1912" s="171"/>
      <c r="HA1912" s="171"/>
      <c r="HB1912" s="171"/>
      <c r="HC1912" s="171"/>
      <c r="HD1912" s="171"/>
      <c r="HE1912" s="171"/>
      <c r="HF1912" s="171"/>
      <c r="HG1912" s="171"/>
      <c r="HH1912" s="171"/>
      <c r="HI1912" s="171"/>
      <c r="HJ1912" s="171"/>
      <c r="HK1912" s="171"/>
      <c r="HL1912" s="171"/>
      <c r="HM1912" s="171"/>
      <c r="HN1912" s="171"/>
      <c r="HO1912" s="171"/>
      <c r="HP1912" s="171"/>
      <c r="HQ1912" s="171"/>
      <c r="HR1912" s="171"/>
      <c r="HS1912" s="171"/>
      <c r="HT1912" s="171"/>
      <c r="HU1912" s="171"/>
      <c r="HV1912" s="171"/>
      <c r="HW1912" s="171"/>
      <c r="HX1912" s="171"/>
      <c r="HY1912" s="171"/>
      <c r="HZ1912" s="171"/>
      <c r="IA1912" s="171"/>
      <c r="IB1912" s="171"/>
      <c r="IC1912" s="171"/>
      <c r="ID1912" s="171"/>
      <c r="IE1912" s="171"/>
      <c r="IF1912" s="171"/>
      <c r="IG1912" s="171"/>
      <c r="IH1912" s="171"/>
      <c r="II1912" s="171"/>
      <c r="IJ1912" s="171"/>
      <c r="IK1912" s="171"/>
      <c r="IL1912" s="171"/>
      <c r="IM1912" s="171"/>
      <c r="IN1912" s="171"/>
      <c r="IO1912" s="171"/>
      <c r="IP1912" s="171"/>
      <c r="IQ1912" s="171"/>
    </row>
    <row r="1913" spans="1:251" ht="14.25" customHeight="1">
      <c r="A1913" s="212"/>
      <c r="B1913" s="498"/>
      <c r="C1913" s="496" t="s">
        <v>1995</v>
      </c>
      <c r="D1913" s="497"/>
      <c r="E1913" s="360"/>
      <c r="F1913" s="296"/>
      <c r="BI1913" s="171"/>
      <c r="BJ1913" s="171"/>
      <c r="BK1913" s="171"/>
      <c r="BL1913" s="171"/>
      <c r="BM1913" s="171"/>
      <c r="BN1913" s="171"/>
      <c r="BO1913" s="171"/>
      <c r="BP1913" s="171"/>
      <c r="BQ1913" s="171"/>
      <c r="BR1913" s="171"/>
      <c r="BS1913" s="171"/>
      <c r="BT1913" s="171"/>
      <c r="BU1913" s="171"/>
      <c r="BV1913" s="171"/>
      <c r="BW1913" s="171"/>
      <c r="BX1913" s="171"/>
      <c r="BY1913" s="171"/>
      <c r="BZ1913" s="171"/>
      <c r="CA1913" s="171"/>
      <c r="CB1913" s="171"/>
      <c r="CC1913" s="171"/>
      <c r="CD1913" s="171"/>
      <c r="CE1913" s="171"/>
      <c r="CF1913" s="171"/>
      <c r="CG1913" s="171"/>
      <c r="CH1913" s="171"/>
      <c r="CI1913" s="171"/>
      <c r="CJ1913" s="171"/>
      <c r="CK1913" s="171"/>
      <c r="CL1913" s="171"/>
      <c r="CM1913" s="171"/>
      <c r="CN1913" s="171"/>
      <c r="CO1913" s="171"/>
      <c r="CP1913" s="171"/>
      <c r="CQ1913" s="171"/>
      <c r="CR1913" s="171"/>
      <c r="CS1913" s="171"/>
      <c r="CT1913" s="171"/>
      <c r="CU1913" s="171"/>
      <c r="CV1913" s="171"/>
      <c r="CW1913" s="171"/>
      <c r="CX1913" s="171"/>
      <c r="CY1913" s="171"/>
      <c r="CZ1913" s="171"/>
      <c r="DA1913" s="171"/>
      <c r="DB1913" s="171"/>
      <c r="DC1913" s="171"/>
      <c r="DD1913" s="171"/>
      <c r="DE1913" s="171"/>
      <c r="DF1913" s="171"/>
      <c r="DG1913" s="171"/>
      <c r="DH1913" s="171"/>
      <c r="DI1913" s="171"/>
      <c r="DJ1913" s="171"/>
      <c r="DK1913" s="171"/>
      <c r="DL1913" s="171"/>
      <c r="DM1913" s="171"/>
      <c r="DN1913" s="171"/>
      <c r="DO1913" s="171"/>
      <c r="DP1913" s="171"/>
      <c r="DQ1913" s="171"/>
      <c r="DR1913" s="171"/>
      <c r="DS1913" s="171"/>
      <c r="DT1913" s="171"/>
      <c r="DU1913" s="171"/>
      <c r="DV1913" s="171"/>
      <c r="DW1913" s="171"/>
      <c r="DX1913" s="171"/>
      <c r="DY1913" s="171"/>
      <c r="DZ1913" s="171"/>
      <c r="EA1913" s="171"/>
      <c r="EB1913" s="171"/>
      <c r="EC1913" s="171"/>
      <c r="ED1913" s="171"/>
      <c r="EE1913" s="171"/>
      <c r="EF1913" s="171"/>
      <c r="EG1913" s="171"/>
      <c r="EH1913" s="171"/>
      <c r="EI1913" s="171"/>
      <c r="EJ1913" s="171"/>
      <c r="EK1913" s="171"/>
      <c r="EL1913" s="171"/>
      <c r="EM1913" s="171"/>
      <c r="EN1913" s="171"/>
      <c r="EO1913" s="171"/>
      <c r="EP1913" s="171"/>
      <c r="EQ1913" s="171"/>
      <c r="ER1913" s="171"/>
      <c r="ES1913" s="171"/>
      <c r="ET1913" s="171"/>
      <c r="EU1913" s="171"/>
      <c r="EV1913" s="171"/>
      <c r="EW1913" s="171"/>
      <c r="EX1913" s="171"/>
      <c r="EY1913" s="171"/>
      <c r="EZ1913" s="171"/>
      <c r="FA1913" s="171"/>
      <c r="FB1913" s="171"/>
      <c r="FC1913" s="171"/>
      <c r="FD1913" s="171"/>
      <c r="FE1913" s="171"/>
      <c r="FF1913" s="171"/>
      <c r="FG1913" s="171"/>
      <c r="FH1913" s="171"/>
      <c r="FI1913" s="171"/>
      <c r="FJ1913" s="171"/>
      <c r="FK1913" s="171"/>
      <c r="FL1913" s="171"/>
      <c r="FM1913" s="171"/>
      <c r="FN1913" s="171"/>
      <c r="FO1913" s="171"/>
      <c r="FP1913" s="171"/>
      <c r="FQ1913" s="171"/>
      <c r="FR1913" s="171"/>
      <c r="FS1913" s="171"/>
      <c r="FT1913" s="171"/>
      <c r="FU1913" s="171"/>
      <c r="FV1913" s="171"/>
      <c r="FW1913" s="171"/>
      <c r="FX1913" s="171"/>
      <c r="FY1913" s="171"/>
      <c r="FZ1913" s="171"/>
      <c r="GA1913" s="171"/>
      <c r="GB1913" s="171"/>
      <c r="GC1913" s="171"/>
      <c r="GD1913" s="171"/>
      <c r="GE1913" s="171"/>
      <c r="GF1913" s="171"/>
      <c r="GG1913" s="171"/>
      <c r="GH1913" s="171"/>
      <c r="GI1913" s="171"/>
      <c r="GJ1913" s="171"/>
      <c r="GK1913" s="171"/>
      <c r="GL1913" s="171"/>
      <c r="GM1913" s="171"/>
      <c r="GN1913" s="171"/>
      <c r="GO1913" s="171"/>
      <c r="GP1913" s="171"/>
      <c r="GQ1913" s="171"/>
      <c r="GR1913" s="171"/>
      <c r="GS1913" s="171"/>
      <c r="GT1913" s="171"/>
      <c r="GU1913" s="171"/>
      <c r="GV1913" s="171"/>
      <c r="GW1913" s="171"/>
      <c r="GX1913" s="171"/>
      <c r="GY1913" s="171"/>
      <c r="GZ1913" s="171"/>
      <c r="HA1913" s="171"/>
      <c r="HB1913" s="171"/>
      <c r="HC1913" s="171"/>
      <c r="HD1913" s="171"/>
      <c r="HE1913" s="171"/>
      <c r="HF1913" s="171"/>
      <c r="HG1913" s="171"/>
      <c r="HH1913" s="171"/>
      <c r="HI1913" s="171"/>
      <c r="HJ1913" s="171"/>
      <c r="HK1913" s="171"/>
      <c r="HL1913" s="171"/>
      <c r="HM1913" s="171"/>
      <c r="HN1913" s="171"/>
      <c r="HO1913" s="171"/>
      <c r="HP1913" s="171"/>
      <c r="HQ1913" s="171"/>
      <c r="HR1913" s="171"/>
      <c r="HS1913" s="171"/>
      <c r="HT1913" s="171"/>
      <c r="HU1913" s="171"/>
      <c r="HV1913" s="171"/>
      <c r="HW1913" s="171"/>
      <c r="HX1913" s="171"/>
      <c r="HY1913" s="171"/>
      <c r="HZ1913" s="171"/>
      <c r="IA1913" s="171"/>
      <c r="IB1913" s="171"/>
      <c r="IC1913" s="171"/>
      <c r="ID1913" s="171"/>
      <c r="IE1913" s="171"/>
      <c r="IF1913" s="171"/>
      <c r="IG1913" s="171"/>
      <c r="IH1913" s="171"/>
      <c r="II1913" s="171"/>
      <c r="IJ1913" s="171"/>
      <c r="IK1913" s="171"/>
      <c r="IL1913" s="171"/>
      <c r="IM1913" s="171"/>
      <c r="IN1913" s="171"/>
      <c r="IO1913" s="171"/>
      <c r="IP1913" s="171"/>
      <c r="IQ1913" s="171"/>
    </row>
    <row r="1914" spans="1:251" ht="14.25" customHeight="1">
      <c r="A1914" s="212"/>
      <c r="B1914" s="498"/>
      <c r="C1914" s="496"/>
      <c r="D1914" s="497"/>
      <c r="E1914" s="360"/>
      <c r="F1914" s="296"/>
      <c r="BI1914" s="171"/>
      <c r="BJ1914" s="171"/>
      <c r="BK1914" s="171"/>
      <c r="BL1914" s="171"/>
      <c r="BM1914" s="171"/>
      <c r="BN1914" s="171"/>
      <c r="BO1914" s="171"/>
      <c r="BP1914" s="171"/>
      <c r="BQ1914" s="171"/>
      <c r="BR1914" s="171"/>
      <c r="BS1914" s="171"/>
      <c r="BT1914" s="171"/>
      <c r="BU1914" s="171"/>
      <c r="BV1914" s="171"/>
      <c r="BW1914" s="171"/>
      <c r="BX1914" s="171"/>
      <c r="BY1914" s="171"/>
      <c r="BZ1914" s="171"/>
      <c r="CA1914" s="171"/>
      <c r="CB1914" s="171"/>
      <c r="CC1914" s="171"/>
      <c r="CD1914" s="171"/>
      <c r="CE1914" s="171"/>
      <c r="CF1914" s="171"/>
      <c r="CG1914" s="171"/>
      <c r="CH1914" s="171"/>
      <c r="CI1914" s="171"/>
      <c r="CJ1914" s="171"/>
      <c r="CK1914" s="171"/>
      <c r="CL1914" s="171"/>
      <c r="CM1914" s="171"/>
      <c r="CN1914" s="171"/>
      <c r="CO1914" s="171"/>
      <c r="CP1914" s="171"/>
      <c r="CQ1914" s="171"/>
      <c r="CR1914" s="171"/>
      <c r="CS1914" s="171"/>
      <c r="CT1914" s="171"/>
      <c r="CU1914" s="171"/>
      <c r="CV1914" s="171"/>
      <c r="CW1914" s="171"/>
      <c r="CX1914" s="171"/>
      <c r="CY1914" s="171"/>
      <c r="CZ1914" s="171"/>
      <c r="DA1914" s="171"/>
      <c r="DB1914" s="171"/>
      <c r="DC1914" s="171"/>
      <c r="DD1914" s="171"/>
      <c r="DE1914" s="171"/>
      <c r="DF1914" s="171"/>
      <c r="DG1914" s="171"/>
      <c r="DH1914" s="171"/>
      <c r="DI1914" s="171"/>
      <c r="DJ1914" s="171"/>
      <c r="DK1914" s="171"/>
      <c r="DL1914" s="171"/>
      <c r="DM1914" s="171"/>
      <c r="DN1914" s="171"/>
      <c r="DO1914" s="171"/>
      <c r="DP1914" s="171"/>
      <c r="DQ1914" s="171"/>
      <c r="DR1914" s="171"/>
      <c r="DS1914" s="171"/>
      <c r="DT1914" s="171"/>
      <c r="DU1914" s="171"/>
      <c r="DV1914" s="171"/>
      <c r="DW1914" s="171"/>
      <c r="DX1914" s="171"/>
      <c r="DY1914" s="171"/>
      <c r="DZ1914" s="171"/>
      <c r="EA1914" s="171"/>
      <c r="EB1914" s="171"/>
      <c r="EC1914" s="171"/>
      <c r="ED1914" s="171"/>
      <c r="EE1914" s="171"/>
      <c r="EF1914" s="171"/>
      <c r="EG1914" s="171"/>
      <c r="EH1914" s="171"/>
      <c r="EI1914" s="171"/>
      <c r="EJ1914" s="171"/>
      <c r="EK1914" s="171"/>
      <c r="EL1914" s="171"/>
      <c r="EM1914" s="171"/>
      <c r="EN1914" s="171"/>
      <c r="EO1914" s="171"/>
      <c r="EP1914" s="171"/>
      <c r="EQ1914" s="171"/>
      <c r="ER1914" s="171"/>
      <c r="ES1914" s="171"/>
      <c r="ET1914" s="171"/>
      <c r="EU1914" s="171"/>
      <c r="EV1914" s="171"/>
      <c r="EW1914" s="171"/>
      <c r="EX1914" s="171"/>
      <c r="EY1914" s="171"/>
      <c r="EZ1914" s="171"/>
      <c r="FA1914" s="171"/>
      <c r="FB1914" s="171"/>
      <c r="FC1914" s="171"/>
      <c r="FD1914" s="171"/>
      <c r="FE1914" s="171"/>
      <c r="FF1914" s="171"/>
      <c r="FG1914" s="171"/>
      <c r="FH1914" s="171"/>
      <c r="FI1914" s="171"/>
      <c r="FJ1914" s="171"/>
      <c r="FK1914" s="171"/>
      <c r="FL1914" s="171"/>
      <c r="FM1914" s="171"/>
      <c r="FN1914" s="171"/>
      <c r="FO1914" s="171"/>
      <c r="FP1914" s="171"/>
      <c r="FQ1914" s="171"/>
      <c r="FR1914" s="171"/>
      <c r="FS1914" s="171"/>
      <c r="FT1914" s="171"/>
      <c r="FU1914" s="171"/>
      <c r="FV1914" s="171"/>
      <c r="FW1914" s="171"/>
      <c r="FX1914" s="171"/>
      <c r="FY1914" s="171"/>
      <c r="FZ1914" s="171"/>
      <c r="GA1914" s="171"/>
      <c r="GB1914" s="171"/>
      <c r="GC1914" s="171"/>
      <c r="GD1914" s="171"/>
      <c r="GE1914" s="171"/>
      <c r="GF1914" s="171"/>
      <c r="GG1914" s="171"/>
      <c r="GH1914" s="171"/>
      <c r="GI1914" s="171"/>
      <c r="GJ1914" s="171"/>
      <c r="GK1914" s="171"/>
      <c r="GL1914" s="171"/>
      <c r="GM1914" s="171"/>
      <c r="GN1914" s="171"/>
      <c r="GO1914" s="171"/>
      <c r="GP1914" s="171"/>
      <c r="GQ1914" s="171"/>
      <c r="GR1914" s="171"/>
      <c r="GS1914" s="171"/>
      <c r="GT1914" s="171"/>
      <c r="GU1914" s="171"/>
      <c r="GV1914" s="171"/>
      <c r="GW1914" s="171"/>
      <c r="GX1914" s="171"/>
      <c r="GY1914" s="171"/>
      <c r="GZ1914" s="171"/>
      <c r="HA1914" s="171"/>
      <c r="HB1914" s="171"/>
      <c r="HC1914" s="171"/>
      <c r="HD1914" s="171"/>
      <c r="HE1914" s="171"/>
      <c r="HF1914" s="171"/>
      <c r="HG1914" s="171"/>
      <c r="HH1914" s="171"/>
      <c r="HI1914" s="171"/>
      <c r="HJ1914" s="171"/>
      <c r="HK1914" s="171"/>
      <c r="HL1914" s="171"/>
      <c r="HM1914" s="171"/>
      <c r="HN1914" s="171"/>
      <c r="HO1914" s="171"/>
      <c r="HP1914" s="171"/>
      <c r="HQ1914" s="171"/>
      <c r="HR1914" s="171"/>
      <c r="HS1914" s="171"/>
      <c r="HT1914" s="171"/>
      <c r="HU1914" s="171"/>
      <c r="HV1914" s="171"/>
      <c r="HW1914" s="171"/>
      <c r="HX1914" s="171"/>
      <c r="HY1914" s="171"/>
      <c r="HZ1914" s="171"/>
      <c r="IA1914" s="171"/>
      <c r="IB1914" s="171"/>
      <c r="IC1914" s="171"/>
      <c r="ID1914" s="171"/>
      <c r="IE1914" s="171"/>
      <c r="IF1914" s="171"/>
      <c r="IG1914" s="171"/>
      <c r="IH1914" s="171"/>
      <c r="II1914" s="171"/>
      <c r="IJ1914" s="171"/>
      <c r="IK1914" s="171"/>
      <c r="IL1914" s="171"/>
      <c r="IM1914" s="171"/>
      <c r="IN1914" s="171"/>
      <c r="IO1914" s="171"/>
      <c r="IP1914" s="171"/>
      <c r="IQ1914" s="171"/>
    </row>
    <row r="1915" spans="1:251" ht="14.25" customHeight="1">
      <c r="A1915" s="212"/>
      <c r="B1915" s="498"/>
      <c r="C1915" s="496"/>
      <c r="D1915" s="497"/>
      <c r="E1915" s="360"/>
      <c r="F1915" s="296"/>
      <c r="BI1915" s="171"/>
      <c r="BJ1915" s="171"/>
      <c r="BK1915" s="171"/>
      <c r="BL1915" s="171"/>
      <c r="BM1915" s="171"/>
      <c r="BN1915" s="171"/>
      <c r="BO1915" s="171"/>
      <c r="BP1915" s="171"/>
      <c r="BQ1915" s="171"/>
      <c r="BR1915" s="171"/>
      <c r="BS1915" s="171"/>
      <c r="BT1915" s="171"/>
      <c r="BU1915" s="171"/>
      <c r="BV1915" s="171"/>
      <c r="BW1915" s="171"/>
      <c r="BX1915" s="171"/>
      <c r="BY1915" s="171"/>
      <c r="BZ1915" s="171"/>
      <c r="CA1915" s="171"/>
      <c r="CB1915" s="171"/>
      <c r="CC1915" s="171"/>
      <c r="CD1915" s="171"/>
      <c r="CE1915" s="171"/>
      <c r="CF1915" s="171"/>
      <c r="CG1915" s="171"/>
      <c r="CH1915" s="171"/>
      <c r="CI1915" s="171"/>
      <c r="CJ1915" s="171"/>
      <c r="CK1915" s="171"/>
      <c r="CL1915" s="171"/>
      <c r="CM1915" s="171"/>
      <c r="CN1915" s="171"/>
      <c r="CO1915" s="171"/>
      <c r="CP1915" s="171"/>
      <c r="CQ1915" s="171"/>
      <c r="CR1915" s="171"/>
      <c r="CS1915" s="171"/>
      <c r="CT1915" s="171"/>
      <c r="CU1915" s="171"/>
      <c r="CV1915" s="171"/>
      <c r="CW1915" s="171"/>
      <c r="CX1915" s="171"/>
      <c r="CY1915" s="171"/>
      <c r="CZ1915" s="171"/>
      <c r="DA1915" s="171"/>
      <c r="DB1915" s="171"/>
      <c r="DC1915" s="171"/>
      <c r="DD1915" s="171"/>
      <c r="DE1915" s="171"/>
      <c r="DF1915" s="171"/>
      <c r="DG1915" s="171"/>
      <c r="DH1915" s="171"/>
      <c r="DI1915" s="171"/>
      <c r="DJ1915" s="171"/>
      <c r="DK1915" s="171"/>
      <c r="DL1915" s="171"/>
      <c r="DM1915" s="171"/>
      <c r="DN1915" s="171"/>
      <c r="DO1915" s="171"/>
      <c r="DP1915" s="171"/>
      <c r="DQ1915" s="171"/>
      <c r="DR1915" s="171"/>
      <c r="DS1915" s="171"/>
      <c r="DT1915" s="171"/>
      <c r="DU1915" s="171"/>
      <c r="DV1915" s="171"/>
      <c r="DW1915" s="171"/>
      <c r="DX1915" s="171"/>
      <c r="DY1915" s="171"/>
      <c r="DZ1915" s="171"/>
      <c r="EA1915" s="171"/>
      <c r="EB1915" s="171"/>
      <c r="EC1915" s="171"/>
      <c r="ED1915" s="171"/>
      <c r="EE1915" s="171"/>
      <c r="EF1915" s="171"/>
      <c r="EG1915" s="171"/>
      <c r="EH1915" s="171"/>
      <c r="EI1915" s="171"/>
      <c r="EJ1915" s="171"/>
      <c r="EK1915" s="171"/>
      <c r="EL1915" s="171"/>
      <c r="EM1915" s="171"/>
      <c r="EN1915" s="171"/>
      <c r="EO1915" s="171"/>
      <c r="EP1915" s="171"/>
      <c r="EQ1915" s="171"/>
      <c r="ER1915" s="171"/>
      <c r="ES1915" s="171"/>
      <c r="ET1915" s="171"/>
      <c r="EU1915" s="171"/>
      <c r="EV1915" s="171"/>
      <c r="EW1915" s="171"/>
      <c r="EX1915" s="171"/>
      <c r="EY1915" s="171"/>
      <c r="EZ1915" s="171"/>
      <c r="FA1915" s="171"/>
      <c r="FB1915" s="171"/>
      <c r="FC1915" s="171"/>
      <c r="FD1915" s="171"/>
      <c r="FE1915" s="171"/>
      <c r="FF1915" s="171"/>
      <c r="FG1915" s="171"/>
      <c r="FH1915" s="171"/>
      <c r="FI1915" s="171"/>
      <c r="FJ1915" s="171"/>
      <c r="FK1915" s="171"/>
      <c r="FL1915" s="171"/>
      <c r="FM1915" s="171"/>
      <c r="FN1915" s="171"/>
      <c r="FO1915" s="171"/>
      <c r="FP1915" s="171"/>
      <c r="FQ1915" s="171"/>
      <c r="FR1915" s="171"/>
      <c r="FS1915" s="171"/>
      <c r="FT1915" s="171"/>
      <c r="FU1915" s="171"/>
      <c r="FV1915" s="171"/>
      <c r="FW1915" s="171"/>
      <c r="FX1915" s="171"/>
      <c r="FY1915" s="171"/>
      <c r="FZ1915" s="171"/>
      <c r="GA1915" s="171"/>
      <c r="GB1915" s="171"/>
      <c r="GC1915" s="171"/>
      <c r="GD1915" s="171"/>
      <c r="GE1915" s="171"/>
      <c r="GF1915" s="171"/>
      <c r="GG1915" s="171"/>
      <c r="GH1915" s="171"/>
      <c r="GI1915" s="171"/>
      <c r="GJ1915" s="171"/>
      <c r="GK1915" s="171"/>
      <c r="GL1915" s="171"/>
      <c r="GM1915" s="171"/>
      <c r="GN1915" s="171"/>
      <c r="GO1915" s="171"/>
      <c r="GP1915" s="171"/>
      <c r="GQ1915" s="171"/>
      <c r="GR1915" s="171"/>
      <c r="GS1915" s="171"/>
      <c r="GT1915" s="171"/>
      <c r="GU1915" s="171"/>
      <c r="GV1915" s="171"/>
      <c r="GW1915" s="171"/>
      <c r="GX1915" s="171"/>
      <c r="GY1915" s="171"/>
      <c r="GZ1915" s="171"/>
      <c r="HA1915" s="171"/>
      <c r="HB1915" s="171"/>
      <c r="HC1915" s="171"/>
      <c r="HD1915" s="171"/>
      <c r="HE1915" s="171"/>
      <c r="HF1915" s="171"/>
      <c r="HG1915" s="171"/>
      <c r="HH1915" s="171"/>
      <c r="HI1915" s="171"/>
      <c r="HJ1915" s="171"/>
      <c r="HK1915" s="171"/>
      <c r="HL1915" s="171"/>
      <c r="HM1915" s="171"/>
      <c r="HN1915" s="171"/>
      <c r="HO1915" s="171"/>
      <c r="HP1915" s="171"/>
      <c r="HQ1915" s="171"/>
      <c r="HR1915" s="171"/>
      <c r="HS1915" s="171"/>
      <c r="HT1915" s="171"/>
      <c r="HU1915" s="171"/>
      <c r="HV1915" s="171"/>
      <c r="HW1915" s="171"/>
      <c r="HX1915" s="171"/>
      <c r="HY1915" s="171"/>
      <c r="HZ1915" s="171"/>
      <c r="IA1915" s="171"/>
      <c r="IB1915" s="171"/>
      <c r="IC1915" s="171"/>
      <c r="ID1915" s="171"/>
      <c r="IE1915" s="171"/>
      <c r="IF1915" s="171"/>
      <c r="IG1915" s="171"/>
      <c r="IH1915" s="171"/>
      <c r="II1915" s="171"/>
      <c r="IJ1915" s="171"/>
      <c r="IK1915" s="171"/>
      <c r="IL1915" s="171"/>
      <c r="IM1915" s="171"/>
      <c r="IN1915" s="171"/>
      <c r="IO1915" s="171"/>
      <c r="IP1915" s="171"/>
      <c r="IQ1915" s="171"/>
    </row>
    <row r="1916" spans="1:251" ht="14.25" customHeight="1">
      <c r="A1916" s="212"/>
      <c r="B1916" s="498"/>
      <c r="C1916" s="496"/>
      <c r="D1916" s="497"/>
      <c r="E1916" s="360"/>
      <c r="F1916" s="296"/>
      <c r="BI1916" s="171"/>
      <c r="BJ1916" s="171"/>
      <c r="BK1916" s="171"/>
      <c r="BL1916" s="171"/>
      <c r="BM1916" s="171"/>
      <c r="BN1916" s="171"/>
      <c r="BO1916" s="171"/>
      <c r="BP1916" s="171"/>
      <c r="BQ1916" s="171"/>
      <c r="BR1916" s="171"/>
      <c r="BS1916" s="171"/>
      <c r="BT1916" s="171"/>
      <c r="BU1916" s="171"/>
      <c r="BV1916" s="171"/>
      <c r="BW1916" s="171"/>
      <c r="BX1916" s="171"/>
      <c r="BY1916" s="171"/>
      <c r="BZ1916" s="171"/>
      <c r="CA1916" s="171"/>
      <c r="CB1916" s="171"/>
      <c r="CC1916" s="171"/>
      <c r="CD1916" s="171"/>
      <c r="CE1916" s="171"/>
      <c r="CF1916" s="171"/>
      <c r="CG1916" s="171"/>
      <c r="CH1916" s="171"/>
      <c r="CI1916" s="171"/>
      <c r="CJ1916" s="171"/>
      <c r="CK1916" s="171"/>
      <c r="CL1916" s="171"/>
      <c r="CM1916" s="171"/>
      <c r="CN1916" s="171"/>
      <c r="CO1916" s="171"/>
      <c r="CP1916" s="171"/>
      <c r="CQ1916" s="171"/>
      <c r="CR1916" s="171"/>
      <c r="CS1916" s="171"/>
      <c r="CT1916" s="171"/>
      <c r="CU1916" s="171"/>
      <c r="CV1916" s="171"/>
      <c r="CW1916" s="171"/>
      <c r="CX1916" s="171"/>
      <c r="CY1916" s="171"/>
      <c r="CZ1916" s="171"/>
      <c r="DA1916" s="171"/>
      <c r="DB1916" s="171"/>
      <c r="DC1916" s="171"/>
      <c r="DD1916" s="171"/>
      <c r="DE1916" s="171"/>
      <c r="DF1916" s="171"/>
      <c r="DG1916" s="171"/>
      <c r="DH1916" s="171"/>
      <c r="DI1916" s="171"/>
      <c r="DJ1916" s="171"/>
      <c r="DK1916" s="171"/>
      <c r="DL1916" s="171"/>
      <c r="DM1916" s="171"/>
      <c r="DN1916" s="171"/>
      <c r="DO1916" s="171"/>
      <c r="DP1916" s="171"/>
      <c r="DQ1916" s="171"/>
      <c r="DR1916" s="171"/>
      <c r="DS1916" s="171"/>
      <c r="DT1916" s="171"/>
      <c r="DU1916" s="171"/>
      <c r="DV1916" s="171"/>
      <c r="DW1916" s="171"/>
      <c r="DX1916" s="171"/>
      <c r="DY1916" s="171"/>
      <c r="DZ1916" s="171"/>
      <c r="EA1916" s="171"/>
      <c r="EB1916" s="171"/>
      <c r="EC1916" s="171"/>
      <c r="ED1916" s="171"/>
      <c r="EE1916" s="171"/>
      <c r="EF1916" s="171"/>
      <c r="EG1916" s="171"/>
      <c r="EH1916" s="171"/>
      <c r="EI1916" s="171"/>
      <c r="EJ1916" s="171"/>
      <c r="EK1916" s="171"/>
      <c r="EL1916" s="171"/>
      <c r="EM1916" s="171"/>
      <c r="EN1916" s="171"/>
      <c r="EO1916" s="171"/>
      <c r="EP1916" s="171"/>
      <c r="EQ1916" s="171"/>
      <c r="ER1916" s="171"/>
      <c r="ES1916" s="171"/>
      <c r="ET1916" s="171"/>
      <c r="EU1916" s="171"/>
      <c r="EV1916" s="171"/>
      <c r="EW1916" s="171"/>
      <c r="EX1916" s="171"/>
      <c r="EY1916" s="171"/>
      <c r="EZ1916" s="171"/>
      <c r="FA1916" s="171"/>
      <c r="FB1916" s="171"/>
      <c r="FC1916" s="171"/>
      <c r="FD1916" s="171"/>
      <c r="FE1916" s="171"/>
      <c r="FF1916" s="171"/>
      <c r="FG1916" s="171"/>
      <c r="FH1916" s="171"/>
      <c r="FI1916" s="171"/>
      <c r="FJ1916" s="171"/>
      <c r="FK1916" s="171"/>
      <c r="FL1916" s="171"/>
      <c r="FM1916" s="171"/>
      <c r="FN1916" s="171"/>
      <c r="FO1916" s="171"/>
      <c r="FP1916" s="171"/>
      <c r="FQ1916" s="171"/>
      <c r="FR1916" s="171"/>
      <c r="FS1916" s="171"/>
      <c r="FT1916" s="171"/>
      <c r="FU1916" s="171"/>
      <c r="FV1916" s="171"/>
      <c r="FW1916" s="171"/>
      <c r="FX1916" s="171"/>
      <c r="FY1916" s="171"/>
      <c r="FZ1916" s="171"/>
      <c r="GA1916" s="171"/>
      <c r="GB1916" s="171"/>
      <c r="GC1916" s="171"/>
      <c r="GD1916" s="171"/>
      <c r="GE1916" s="171"/>
      <c r="GF1916" s="171"/>
      <c r="GG1916" s="171"/>
      <c r="GH1916" s="171"/>
      <c r="GI1916" s="171"/>
      <c r="GJ1916" s="171"/>
      <c r="GK1916" s="171"/>
      <c r="GL1916" s="171"/>
      <c r="GM1916" s="171"/>
      <c r="GN1916" s="171"/>
      <c r="GO1916" s="171"/>
      <c r="GP1916" s="171"/>
      <c r="GQ1916" s="171"/>
      <c r="GR1916" s="171"/>
      <c r="GS1916" s="171"/>
      <c r="GT1916" s="171"/>
      <c r="GU1916" s="171"/>
      <c r="GV1916" s="171"/>
      <c r="GW1916" s="171"/>
      <c r="GX1916" s="171"/>
      <c r="GY1916" s="171"/>
      <c r="GZ1916" s="171"/>
      <c r="HA1916" s="171"/>
      <c r="HB1916" s="171"/>
      <c r="HC1916" s="171"/>
      <c r="HD1916" s="171"/>
      <c r="HE1916" s="171"/>
      <c r="HF1916" s="171"/>
      <c r="HG1916" s="171"/>
      <c r="HH1916" s="171"/>
      <c r="HI1916" s="171"/>
      <c r="HJ1916" s="171"/>
      <c r="HK1916" s="171"/>
      <c r="HL1916" s="171"/>
      <c r="HM1916" s="171"/>
      <c r="HN1916" s="171"/>
      <c r="HO1916" s="171"/>
      <c r="HP1916" s="171"/>
      <c r="HQ1916" s="171"/>
      <c r="HR1916" s="171"/>
      <c r="HS1916" s="171"/>
      <c r="HT1916" s="171"/>
      <c r="HU1916" s="171"/>
      <c r="HV1916" s="171"/>
      <c r="HW1916" s="171"/>
      <c r="HX1916" s="171"/>
      <c r="HY1916" s="171"/>
      <c r="HZ1916" s="171"/>
      <c r="IA1916" s="171"/>
      <c r="IB1916" s="171"/>
      <c r="IC1916" s="171"/>
      <c r="ID1916" s="171"/>
      <c r="IE1916" s="171"/>
      <c r="IF1916" s="171"/>
      <c r="IG1916" s="171"/>
      <c r="IH1916" s="171"/>
      <c r="II1916" s="171"/>
      <c r="IJ1916" s="171"/>
      <c r="IK1916" s="171"/>
      <c r="IL1916" s="171"/>
      <c r="IM1916" s="171"/>
      <c r="IN1916" s="171"/>
      <c r="IO1916" s="171"/>
      <c r="IP1916" s="171"/>
      <c r="IQ1916" s="171"/>
    </row>
    <row r="1917" spans="1:251" ht="14.25" customHeight="1">
      <c r="A1917" s="212"/>
      <c r="B1917" s="498"/>
      <c r="C1917" s="496"/>
      <c r="D1917" s="497"/>
      <c r="E1917" s="360"/>
      <c r="F1917" s="296"/>
      <c r="BI1917" s="171"/>
      <c r="BJ1917" s="171"/>
      <c r="BK1917" s="171"/>
      <c r="BL1917" s="171"/>
      <c r="BM1917" s="171"/>
      <c r="BN1917" s="171"/>
      <c r="BO1917" s="171"/>
      <c r="BP1917" s="171"/>
      <c r="BQ1917" s="171"/>
      <c r="BR1917" s="171"/>
      <c r="BS1917" s="171"/>
      <c r="BT1917" s="171"/>
      <c r="BU1917" s="171"/>
      <c r="BV1917" s="171"/>
      <c r="BW1917" s="171"/>
      <c r="BX1917" s="171"/>
      <c r="BY1917" s="171"/>
      <c r="BZ1917" s="171"/>
      <c r="CA1917" s="171"/>
      <c r="CB1917" s="171"/>
      <c r="CC1917" s="171"/>
      <c r="CD1917" s="171"/>
      <c r="CE1917" s="171"/>
      <c r="CF1917" s="171"/>
      <c r="CG1917" s="171"/>
      <c r="CH1917" s="171"/>
      <c r="CI1917" s="171"/>
      <c r="CJ1917" s="171"/>
      <c r="CK1917" s="171"/>
      <c r="CL1917" s="171"/>
      <c r="CM1917" s="171"/>
      <c r="CN1917" s="171"/>
      <c r="CO1917" s="171"/>
      <c r="CP1917" s="171"/>
      <c r="CQ1917" s="171"/>
      <c r="CR1917" s="171"/>
      <c r="CS1917" s="171"/>
      <c r="CT1917" s="171"/>
      <c r="CU1917" s="171"/>
      <c r="CV1917" s="171"/>
      <c r="CW1917" s="171"/>
      <c r="CX1917" s="171"/>
      <c r="CY1917" s="171"/>
      <c r="CZ1917" s="171"/>
      <c r="DA1917" s="171"/>
      <c r="DB1917" s="171"/>
      <c r="DC1917" s="171"/>
      <c r="DD1917" s="171"/>
      <c r="DE1917" s="171"/>
      <c r="DF1917" s="171"/>
      <c r="DG1917" s="171"/>
      <c r="DH1917" s="171"/>
      <c r="DI1917" s="171"/>
      <c r="DJ1917" s="171"/>
      <c r="DK1917" s="171"/>
      <c r="DL1917" s="171"/>
      <c r="DM1917" s="171"/>
      <c r="DN1917" s="171"/>
      <c r="DO1917" s="171"/>
      <c r="DP1917" s="171"/>
      <c r="DQ1917" s="171"/>
      <c r="DR1917" s="171"/>
      <c r="DS1917" s="171"/>
      <c r="DT1917" s="171"/>
      <c r="DU1917" s="171"/>
      <c r="DV1917" s="171"/>
      <c r="DW1917" s="171"/>
      <c r="DX1917" s="171"/>
      <c r="DY1917" s="171"/>
      <c r="DZ1917" s="171"/>
      <c r="EA1917" s="171"/>
      <c r="EB1917" s="171"/>
      <c r="EC1917" s="171"/>
      <c r="ED1917" s="171"/>
      <c r="EE1917" s="171"/>
      <c r="EF1917" s="171"/>
      <c r="EG1917" s="171"/>
      <c r="EH1917" s="171"/>
      <c r="EI1917" s="171"/>
      <c r="EJ1917" s="171"/>
      <c r="EK1917" s="171"/>
      <c r="EL1917" s="171"/>
      <c r="EM1917" s="171"/>
      <c r="EN1917" s="171"/>
      <c r="EO1917" s="171"/>
      <c r="EP1917" s="171"/>
      <c r="EQ1917" s="171"/>
      <c r="ER1917" s="171"/>
      <c r="ES1917" s="171"/>
      <c r="ET1917" s="171"/>
      <c r="EU1917" s="171"/>
      <c r="EV1917" s="171"/>
      <c r="EW1917" s="171"/>
      <c r="EX1917" s="171"/>
      <c r="EY1917" s="171"/>
      <c r="EZ1917" s="171"/>
      <c r="FA1917" s="171"/>
      <c r="FB1917" s="171"/>
      <c r="FC1917" s="171"/>
      <c r="FD1917" s="171"/>
      <c r="FE1917" s="171"/>
      <c r="FF1917" s="171"/>
      <c r="FG1917" s="171"/>
      <c r="FH1917" s="171"/>
      <c r="FI1917" s="171"/>
      <c r="FJ1917" s="171"/>
      <c r="FK1917" s="171"/>
      <c r="FL1917" s="171"/>
      <c r="FM1917" s="171"/>
      <c r="FN1917" s="171"/>
      <c r="FO1917" s="171"/>
      <c r="FP1917" s="171"/>
      <c r="FQ1917" s="171"/>
      <c r="FR1917" s="171"/>
      <c r="FS1917" s="171"/>
      <c r="FT1917" s="171"/>
      <c r="FU1917" s="171"/>
      <c r="FV1917" s="171"/>
      <c r="FW1917" s="171"/>
      <c r="FX1917" s="171"/>
      <c r="FY1917" s="171"/>
      <c r="FZ1917" s="171"/>
      <c r="GA1917" s="171"/>
      <c r="GB1917" s="171"/>
      <c r="GC1917" s="171"/>
      <c r="GD1917" s="171"/>
      <c r="GE1917" s="171"/>
      <c r="GF1917" s="171"/>
      <c r="GG1917" s="171"/>
      <c r="GH1917" s="171"/>
      <c r="GI1917" s="171"/>
      <c r="GJ1917" s="171"/>
      <c r="GK1917" s="171"/>
      <c r="GL1917" s="171"/>
      <c r="GM1917" s="171"/>
      <c r="GN1917" s="171"/>
      <c r="GO1917" s="171"/>
      <c r="GP1917" s="171"/>
      <c r="GQ1917" s="171"/>
      <c r="GR1917" s="171"/>
      <c r="GS1917" s="171"/>
      <c r="GT1917" s="171"/>
      <c r="GU1917" s="171"/>
      <c r="GV1917" s="171"/>
      <c r="GW1917" s="171"/>
      <c r="GX1917" s="171"/>
      <c r="GY1917" s="171"/>
      <c r="GZ1917" s="171"/>
      <c r="HA1917" s="171"/>
      <c r="HB1917" s="171"/>
      <c r="HC1917" s="171"/>
      <c r="HD1917" s="171"/>
      <c r="HE1917" s="171"/>
      <c r="HF1917" s="171"/>
      <c r="HG1917" s="171"/>
      <c r="HH1917" s="171"/>
      <c r="HI1917" s="171"/>
      <c r="HJ1917" s="171"/>
      <c r="HK1917" s="171"/>
      <c r="HL1917" s="171"/>
      <c r="HM1917" s="171"/>
      <c r="HN1917" s="171"/>
      <c r="HO1917" s="171"/>
      <c r="HP1917" s="171"/>
      <c r="HQ1917" s="171"/>
      <c r="HR1917" s="171"/>
      <c r="HS1917" s="171"/>
      <c r="HT1917" s="171"/>
      <c r="HU1917" s="171"/>
      <c r="HV1917" s="171"/>
      <c r="HW1917" s="171"/>
      <c r="HX1917" s="171"/>
      <c r="HY1917" s="171"/>
      <c r="HZ1917" s="171"/>
      <c r="IA1917" s="171"/>
      <c r="IB1917" s="171"/>
      <c r="IC1917" s="171"/>
      <c r="ID1917" s="171"/>
      <c r="IE1917" s="171"/>
      <c r="IF1917" s="171"/>
      <c r="IG1917" s="171"/>
      <c r="IH1917" s="171"/>
      <c r="II1917" s="171"/>
      <c r="IJ1917" s="171"/>
      <c r="IK1917" s="171"/>
      <c r="IL1917" s="171"/>
      <c r="IM1917" s="171"/>
      <c r="IN1917" s="171"/>
      <c r="IO1917" s="171"/>
      <c r="IP1917" s="171"/>
      <c r="IQ1917" s="171"/>
    </row>
    <row r="1918" spans="1:251" ht="14.25" customHeight="1">
      <c r="A1918" s="212"/>
      <c r="B1918" s="495" t="s">
        <v>1996</v>
      </c>
      <c r="C1918" s="496" t="s">
        <v>1997</v>
      </c>
      <c r="D1918" s="497" t="s">
        <v>1998</v>
      </c>
      <c r="E1918" s="360">
        <f>'[5]COSTO CDMX,QRO,GDL '!I1912</f>
        <v>24954.385964912282</v>
      </c>
      <c r="F1918" s="217" t="s">
        <v>284</v>
      </c>
      <c r="BI1918" s="171"/>
      <c r="BJ1918" s="171"/>
      <c r="BK1918" s="171"/>
      <c r="BL1918" s="171"/>
      <c r="BM1918" s="171"/>
      <c r="BN1918" s="171"/>
      <c r="BO1918" s="171"/>
      <c r="BP1918" s="171"/>
      <c r="BQ1918" s="171"/>
      <c r="BR1918" s="171"/>
      <c r="BS1918" s="171"/>
      <c r="BT1918" s="171"/>
      <c r="BU1918" s="171"/>
      <c r="BV1918" s="171"/>
      <c r="BW1918" s="171"/>
      <c r="BX1918" s="171"/>
      <c r="BY1918" s="171"/>
      <c r="BZ1918" s="171"/>
      <c r="CA1918" s="171"/>
      <c r="CB1918" s="171"/>
      <c r="CC1918" s="171"/>
      <c r="CD1918" s="171"/>
      <c r="CE1918" s="171"/>
      <c r="CF1918" s="171"/>
      <c r="CG1918" s="171"/>
      <c r="CH1918" s="171"/>
      <c r="CI1918" s="171"/>
      <c r="CJ1918" s="171"/>
      <c r="CK1918" s="171"/>
      <c r="CL1918" s="171"/>
      <c r="CM1918" s="171"/>
      <c r="CN1918" s="171"/>
      <c r="CO1918" s="171"/>
      <c r="CP1918" s="171"/>
      <c r="CQ1918" s="171"/>
      <c r="CR1918" s="171"/>
      <c r="CS1918" s="171"/>
      <c r="CT1918" s="171"/>
      <c r="CU1918" s="171"/>
      <c r="CV1918" s="171"/>
      <c r="CW1918" s="171"/>
      <c r="CX1918" s="171"/>
      <c r="CY1918" s="171"/>
      <c r="CZ1918" s="171"/>
      <c r="DA1918" s="171"/>
      <c r="DB1918" s="171"/>
      <c r="DC1918" s="171"/>
      <c r="DD1918" s="171"/>
      <c r="DE1918" s="171"/>
      <c r="DF1918" s="171"/>
      <c r="DG1918" s="171"/>
      <c r="DH1918" s="171"/>
      <c r="DI1918" s="171"/>
      <c r="DJ1918" s="171"/>
      <c r="DK1918" s="171"/>
      <c r="DL1918" s="171"/>
      <c r="DM1918" s="171"/>
      <c r="DN1918" s="171"/>
      <c r="DO1918" s="171"/>
      <c r="DP1918" s="171"/>
      <c r="DQ1918" s="171"/>
      <c r="DR1918" s="171"/>
      <c r="DS1918" s="171"/>
      <c r="DT1918" s="171"/>
      <c r="DU1918" s="171"/>
      <c r="DV1918" s="171"/>
      <c r="DW1918" s="171"/>
      <c r="DX1918" s="171"/>
      <c r="DY1918" s="171"/>
      <c r="DZ1918" s="171"/>
      <c r="EA1918" s="171"/>
      <c r="EB1918" s="171"/>
      <c r="EC1918" s="171"/>
      <c r="ED1918" s="171"/>
      <c r="EE1918" s="171"/>
      <c r="EF1918" s="171"/>
      <c r="EG1918" s="171"/>
      <c r="EH1918" s="171"/>
      <c r="EI1918" s="171"/>
      <c r="EJ1918" s="171"/>
      <c r="EK1918" s="171"/>
      <c r="EL1918" s="171"/>
      <c r="EM1918" s="171"/>
      <c r="EN1918" s="171"/>
      <c r="EO1918" s="171"/>
      <c r="EP1918" s="171"/>
      <c r="EQ1918" s="171"/>
      <c r="ER1918" s="171"/>
      <c r="ES1918" s="171"/>
      <c r="ET1918" s="171"/>
      <c r="EU1918" s="171"/>
      <c r="EV1918" s="171"/>
      <c r="EW1918" s="171"/>
      <c r="EX1918" s="171"/>
      <c r="EY1918" s="171"/>
      <c r="EZ1918" s="171"/>
      <c r="FA1918" s="171"/>
      <c r="FB1918" s="171"/>
      <c r="FC1918" s="171"/>
      <c r="FD1918" s="171"/>
      <c r="FE1918" s="171"/>
      <c r="FF1918" s="171"/>
      <c r="FG1918" s="171"/>
      <c r="FH1918" s="171"/>
      <c r="FI1918" s="171"/>
      <c r="FJ1918" s="171"/>
      <c r="FK1918" s="171"/>
      <c r="FL1918" s="171"/>
      <c r="FM1918" s="171"/>
      <c r="FN1918" s="171"/>
      <c r="FO1918" s="171"/>
      <c r="FP1918" s="171"/>
      <c r="FQ1918" s="171"/>
      <c r="FR1918" s="171"/>
      <c r="FS1918" s="171"/>
      <c r="FT1918" s="171"/>
      <c r="FU1918" s="171"/>
      <c r="FV1918" s="171"/>
      <c r="FW1918" s="171"/>
      <c r="FX1918" s="171"/>
      <c r="FY1918" s="171"/>
      <c r="FZ1918" s="171"/>
      <c r="GA1918" s="171"/>
      <c r="GB1918" s="171"/>
      <c r="GC1918" s="171"/>
      <c r="GD1918" s="171"/>
      <c r="GE1918" s="171"/>
      <c r="GF1918" s="171"/>
      <c r="GG1918" s="171"/>
      <c r="GH1918" s="171"/>
      <c r="GI1918" s="171"/>
      <c r="GJ1918" s="171"/>
      <c r="GK1918" s="171"/>
      <c r="GL1918" s="171"/>
      <c r="GM1918" s="171"/>
      <c r="GN1918" s="171"/>
      <c r="GO1918" s="171"/>
      <c r="GP1918" s="171"/>
      <c r="GQ1918" s="171"/>
      <c r="GR1918" s="171"/>
      <c r="GS1918" s="171"/>
      <c r="GT1918" s="171"/>
      <c r="GU1918" s="171"/>
      <c r="GV1918" s="171"/>
      <c r="GW1918" s="171"/>
      <c r="GX1918" s="171"/>
      <c r="GY1918" s="171"/>
      <c r="GZ1918" s="171"/>
      <c r="HA1918" s="171"/>
      <c r="HB1918" s="171"/>
      <c r="HC1918" s="171"/>
      <c r="HD1918" s="171"/>
      <c r="HE1918" s="171"/>
      <c r="HF1918" s="171"/>
      <c r="HG1918" s="171"/>
      <c r="HH1918" s="171"/>
      <c r="HI1918" s="171"/>
      <c r="HJ1918" s="171"/>
      <c r="HK1918" s="171"/>
      <c r="HL1918" s="171"/>
      <c r="HM1918" s="171"/>
      <c r="HN1918" s="171"/>
      <c r="HO1918" s="171"/>
      <c r="HP1918" s="171"/>
      <c r="HQ1918" s="171"/>
      <c r="HR1918" s="171"/>
      <c r="HS1918" s="171"/>
      <c r="HT1918" s="171"/>
      <c r="HU1918" s="171"/>
      <c r="HV1918" s="171"/>
      <c r="HW1918" s="171"/>
      <c r="HX1918" s="171"/>
      <c r="HY1918" s="171"/>
      <c r="HZ1918" s="171"/>
      <c r="IA1918" s="171"/>
      <c r="IB1918" s="171"/>
      <c r="IC1918" s="171"/>
      <c r="ID1918" s="171"/>
      <c r="IE1918" s="171"/>
      <c r="IF1918" s="171"/>
      <c r="IG1918" s="171"/>
      <c r="IH1918" s="171"/>
      <c r="II1918" s="171"/>
      <c r="IJ1918" s="171"/>
      <c r="IK1918" s="171"/>
      <c r="IL1918" s="171"/>
      <c r="IM1918" s="171"/>
      <c r="IN1918" s="171"/>
      <c r="IO1918" s="171"/>
      <c r="IP1918" s="171"/>
      <c r="IQ1918" s="171"/>
    </row>
    <row r="1919" spans="1:251" ht="14.25" customHeight="1">
      <c r="A1919" s="212"/>
      <c r="B1919" s="498"/>
      <c r="C1919" s="496" t="s">
        <v>1993</v>
      </c>
      <c r="D1919" s="497"/>
      <c r="E1919" s="360"/>
      <c r="F1919" s="296"/>
      <c r="BI1919" s="171"/>
      <c r="BJ1919" s="171"/>
      <c r="BK1919" s="171"/>
      <c r="BL1919" s="171"/>
      <c r="BM1919" s="171"/>
      <c r="BN1919" s="171"/>
      <c r="BO1919" s="171"/>
      <c r="BP1919" s="171"/>
      <c r="BQ1919" s="171"/>
      <c r="BR1919" s="171"/>
      <c r="BS1919" s="171"/>
      <c r="BT1919" s="171"/>
      <c r="BU1919" s="171"/>
      <c r="BV1919" s="171"/>
      <c r="BW1919" s="171"/>
      <c r="BX1919" s="171"/>
      <c r="BY1919" s="171"/>
      <c r="BZ1919" s="171"/>
      <c r="CA1919" s="171"/>
      <c r="CB1919" s="171"/>
      <c r="CC1919" s="171"/>
      <c r="CD1919" s="171"/>
      <c r="CE1919" s="171"/>
      <c r="CF1919" s="171"/>
      <c r="CG1919" s="171"/>
      <c r="CH1919" s="171"/>
      <c r="CI1919" s="171"/>
      <c r="CJ1919" s="171"/>
      <c r="CK1919" s="171"/>
      <c r="CL1919" s="171"/>
      <c r="CM1919" s="171"/>
      <c r="CN1919" s="171"/>
      <c r="CO1919" s="171"/>
      <c r="CP1919" s="171"/>
      <c r="CQ1919" s="171"/>
      <c r="CR1919" s="171"/>
      <c r="CS1919" s="171"/>
      <c r="CT1919" s="171"/>
      <c r="CU1919" s="171"/>
      <c r="CV1919" s="171"/>
      <c r="CW1919" s="171"/>
      <c r="CX1919" s="171"/>
      <c r="CY1919" s="171"/>
      <c r="CZ1919" s="171"/>
      <c r="DA1919" s="171"/>
      <c r="DB1919" s="171"/>
      <c r="DC1919" s="171"/>
      <c r="DD1919" s="171"/>
      <c r="DE1919" s="171"/>
      <c r="DF1919" s="171"/>
      <c r="DG1919" s="171"/>
      <c r="DH1919" s="171"/>
      <c r="DI1919" s="171"/>
      <c r="DJ1919" s="171"/>
      <c r="DK1919" s="171"/>
      <c r="DL1919" s="171"/>
      <c r="DM1919" s="171"/>
      <c r="DN1919" s="171"/>
      <c r="DO1919" s="171"/>
      <c r="DP1919" s="171"/>
      <c r="DQ1919" s="171"/>
      <c r="DR1919" s="171"/>
      <c r="DS1919" s="171"/>
      <c r="DT1919" s="171"/>
      <c r="DU1919" s="171"/>
      <c r="DV1919" s="171"/>
      <c r="DW1919" s="171"/>
      <c r="DX1919" s="171"/>
      <c r="DY1919" s="171"/>
      <c r="DZ1919" s="171"/>
      <c r="EA1919" s="171"/>
      <c r="EB1919" s="171"/>
      <c r="EC1919" s="171"/>
      <c r="ED1919" s="171"/>
      <c r="EE1919" s="171"/>
      <c r="EF1919" s="171"/>
      <c r="EG1919" s="171"/>
      <c r="EH1919" s="171"/>
      <c r="EI1919" s="171"/>
      <c r="EJ1919" s="171"/>
      <c r="EK1919" s="171"/>
      <c r="EL1919" s="171"/>
      <c r="EM1919" s="171"/>
      <c r="EN1919" s="171"/>
      <c r="EO1919" s="171"/>
      <c r="EP1919" s="171"/>
      <c r="EQ1919" s="171"/>
      <c r="ER1919" s="171"/>
      <c r="ES1919" s="171"/>
      <c r="ET1919" s="171"/>
      <c r="EU1919" s="171"/>
      <c r="EV1919" s="171"/>
      <c r="EW1919" s="171"/>
      <c r="EX1919" s="171"/>
      <c r="EY1919" s="171"/>
      <c r="EZ1919" s="171"/>
      <c r="FA1919" s="171"/>
      <c r="FB1919" s="171"/>
      <c r="FC1919" s="171"/>
      <c r="FD1919" s="171"/>
      <c r="FE1919" s="171"/>
      <c r="FF1919" s="171"/>
      <c r="FG1919" s="171"/>
      <c r="FH1919" s="171"/>
      <c r="FI1919" s="171"/>
      <c r="FJ1919" s="171"/>
      <c r="FK1919" s="171"/>
      <c r="FL1919" s="171"/>
      <c r="FM1919" s="171"/>
      <c r="FN1919" s="171"/>
      <c r="FO1919" s="171"/>
      <c r="FP1919" s="171"/>
      <c r="FQ1919" s="171"/>
      <c r="FR1919" s="171"/>
      <c r="FS1919" s="171"/>
      <c r="FT1919" s="171"/>
      <c r="FU1919" s="171"/>
      <c r="FV1919" s="171"/>
      <c r="FW1919" s="171"/>
      <c r="FX1919" s="171"/>
      <c r="FY1919" s="171"/>
      <c r="FZ1919" s="171"/>
      <c r="GA1919" s="171"/>
      <c r="GB1919" s="171"/>
      <c r="GC1919" s="171"/>
      <c r="GD1919" s="171"/>
      <c r="GE1919" s="171"/>
      <c r="GF1919" s="171"/>
      <c r="GG1919" s="171"/>
      <c r="GH1919" s="171"/>
      <c r="GI1919" s="171"/>
      <c r="GJ1919" s="171"/>
      <c r="GK1919" s="171"/>
      <c r="GL1919" s="171"/>
      <c r="GM1919" s="171"/>
      <c r="GN1919" s="171"/>
      <c r="GO1919" s="171"/>
      <c r="GP1919" s="171"/>
      <c r="GQ1919" s="171"/>
      <c r="GR1919" s="171"/>
      <c r="GS1919" s="171"/>
      <c r="GT1919" s="171"/>
      <c r="GU1919" s="171"/>
      <c r="GV1919" s="171"/>
      <c r="GW1919" s="171"/>
      <c r="GX1919" s="171"/>
      <c r="GY1919" s="171"/>
      <c r="GZ1919" s="171"/>
      <c r="HA1919" s="171"/>
      <c r="HB1919" s="171"/>
      <c r="HC1919" s="171"/>
      <c r="HD1919" s="171"/>
      <c r="HE1919" s="171"/>
      <c r="HF1919" s="171"/>
      <c r="HG1919" s="171"/>
      <c r="HH1919" s="171"/>
      <c r="HI1919" s="171"/>
      <c r="HJ1919" s="171"/>
      <c r="HK1919" s="171"/>
      <c r="HL1919" s="171"/>
      <c r="HM1919" s="171"/>
      <c r="HN1919" s="171"/>
      <c r="HO1919" s="171"/>
      <c r="HP1919" s="171"/>
      <c r="HQ1919" s="171"/>
      <c r="HR1919" s="171"/>
      <c r="HS1919" s="171"/>
      <c r="HT1919" s="171"/>
      <c r="HU1919" s="171"/>
      <c r="HV1919" s="171"/>
      <c r="HW1919" s="171"/>
      <c r="HX1919" s="171"/>
      <c r="HY1919" s="171"/>
      <c r="HZ1919" s="171"/>
      <c r="IA1919" s="171"/>
      <c r="IB1919" s="171"/>
      <c r="IC1919" s="171"/>
      <c r="ID1919" s="171"/>
      <c r="IE1919" s="171"/>
      <c r="IF1919" s="171"/>
      <c r="IG1919" s="171"/>
      <c r="IH1919" s="171"/>
      <c r="II1919" s="171"/>
      <c r="IJ1919" s="171"/>
      <c r="IK1919" s="171"/>
      <c r="IL1919" s="171"/>
      <c r="IM1919" s="171"/>
      <c r="IN1919" s="171"/>
      <c r="IO1919" s="171"/>
      <c r="IP1919" s="171"/>
      <c r="IQ1919" s="171"/>
    </row>
    <row r="1920" spans="1:251" ht="14.25" customHeight="1">
      <c r="A1920" s="212"/>
      <c r="B1920" s="498"/>
      <c r="C1920" s="496" t="s">
        <v>1994</v>
      </c>
      <c r="D1920" s="497"/>
      <c r="E1920" s="360"/>
      <c r="F1920" s="296"/>
      <c r="BI1920" s="171"/>
      <c r="BJ1920" s="171"/>
      <c r="BK1920" s="171"/>
      <c r="BL1920" s="171"/>
      <c r="BM1920" s="171"/>
      <c r="BN1920" s="171"/>
      <c r="BO1920" s="171"/>
      <c r="BP1920" s="171"/>
      <c r="BQ1920" s="171"/>
      <c r="BR1920" s="171"/>
      <c r="BS1920" s="171"/>
      <c r="BT1920" s="171"/>
      <c r="BU1920" s="171"/>
      <c r="BV1920" s="171"/>
      <c r="BW1920" s="171"/>
      <c r="BX1920" s="171"/>
      <c r="BY1920" s="171"/>
      <c r="BZ1920" s="171"/>
      <c r="CA1920" s="171"/>
      <c r="CB1920" s="171"/>
      <c r="CC1920" s="171"/>
      <c r="CD1920" s="171"/>
      <c r="CE1920" s="171"/>
      <c r="CF1920" s="171"/>
      <c r="CG1920" s="171"/>
      <c r="CH1920" s="171"/>
      <c r="CI1920" s="171"/>
      <c r="CJ1920" s="171"/>
      <c r="CK1920" s="171"/>
      <c r="CL1920" s="171"/>
      <c r="CM1920" s="171"/>
      <c r="CN1920" s="171"/>
      <c r="CO1920" s="171"/>
      <c r="CP1920" s="171"/>
      <c r="CQ1920" s="171"/>
      <c r="CR1920" s="171"/>
      <c r="CS1920" s="171"/>
      <c r="CT1920" s="171"/>
      <c r="CU1920" s="171"/>
      <c r="CV1920" s="171"/>
      <c r="CW1920" s="171"/>
      <c r="CX1920" s="171"/>
      <c r="CY1920" s="171"/>
      <c r="CZ1920" s="171"/>
      <c r="DA1920" s="171"/>
      <c r="DB1920" s="171"/>
      <c r="DC1920" s="171"/>
      <c r="DD1920" s="171"/>
      <c r="DE1920" s="171"/>
      <c r="DF1920" s="171"/>
      <c r="DG1920" s="171"/>
      <c r="DH1920" s="171"/>
      <c r="DI1920" s="171"/>
      <c r="DJ1920" s="171"/>
      <c r="DK1920" s="171"/>
      <c r="DL1920" s="171"/>
      <c r="DM1920" s="171"/>
      <c r="DN1920" s="171"/>
      <c r="DO1920" s="171"/>
      <c r="DP1920" s="171"/>
      <c r="DQ1920" s="171"/>
      <c r="DR1920" s="171"/>
      <c r="DS1920" s="171"/>
      <c r="DT1920" s="171"/>
      <c r="DU1920" s="171"/>
      <c r="DV1920" s="171"/>
      <c r="DW1920" s="171"/>
      <c r="DX1920" s="171"/>
      <c r="DY1920" s="171"/>
      <c r="DZ1920" s="171"/>
      <c r="EA1920" s="171"/>
      <c r="EB1920" s="171"/>
      <c r="EC1920" s="171"/>
      <c r="ED1920" s="171"/>
      <c r="EE1920" s="171"/>
      <c r="EF1920" s="171"/>
      <c r="EG1920" s="171"/>
      <c r="EH1920" s="171"/>
      <c r="EI1920" s="171"/>
      <c r="EJ1920" s="171"/>
      <c r="EK1920" s="171"/>
      <c r="EL1920" s="171"/>
      <c r="EM1920" s="171"/>
      <c r="EN1920" s="171"/>
      <c r="EO1920" s="171"/>
      <c r="EP1920" s="171"/>
      <c r="EQ1920" s="171"/>
      <c r="ER1920" s="171"/>
      <c r="ES1920" s="171"/>
      <c r="ET1920" s="171"/>
      <c r="EU1920" s="171"/>
      <c r="EV1920" s="171"/>
      <c r="EW1920" s="171"/>
      <c r="EX1920" s="171"/>
      <c r="EY1920" s="171"/>
      <c r="EZ1920" s="171"/>
      <c r="FA1920" s="171"/>
      <c r="FB1920" s="171"/>
      <c r="FC1920" s="171"/>
      <c r="FD1920" s="171"/>
      <c r="FE1920" s="171"/>
      <c r="FF1920" s="171"/>
      <c r="FG1920" s="171"/>
      <c r="FH1920" s="171"/>
      <c r="FI1920" s="171"/>
      <c r="FJ1920" s="171"/>
      <c r="FK1920" s="171"/>
      <c r="FL1920" s="171"/>
      <c r="FM1920" s="171"/>
      <c r="FN1920" s="171"/>
      <c r="FO1920" s="171"/>
      <c r="FP1920" s="171"/>
      <c r="FQ1920" s="171"/>
      <c r="FR1920" s="171"/>
      <c r="FS1920" s="171"/>
      <c r="FT1920" s="171"/>
      <c r="FU1920" s="171"/>
      <c r="FV1920" s="171"/>
      <c r="FW1920" s="171"/>
      <c r="FX1920" s="171"/>
      <c r="FY1920" s="171"/>
      <c r="FZ1920" s="171"/>
      <c r="GA1920" s="171"/>
      <c r="GB1920" s="171"/>
      <c r="GC1920" s="171"/>
      <c r="GD1920" s="171"/>
      <c r="GE1920" s="171"/>
      <c r="GF1920" s="171"/>
      <c r="GG1920" s="171"/>
      <c r="GH1920" s="171"/>
      <c r="GI1920" s="171"/>
      <c r="GJ1920" s="171"/>
      <c r="GK1920" s="171"/>
      <c r="GL1920" s="171"/>
      <c r="GM1920" s="171"/>
      <c r="GN1920" s="171"/>
      <c r="GO1920" s="171"/>
      <c r="GP1920" s="171"/>
      <c r="GQ1920" s="171"/>
      <c r="GR1920" s="171"/>
      <c r="GS1920" s="171"/>
      <c r="GT1920" s="171"/>
      <c r="GU1920" s="171"/>
      <c r="GV1920" s="171"/>
      <c r="GW1920" s="171"/>
      <c r="GX1920" s="171"/>
      <c r="GY1920" s="171"/>
      <c r="GZ1920" s="171"/>
      <c r="HA1920" s="171"/>
      <c r="HB1920" s="171"/>
      <c r="HC1920" s="171"/>
      <c r="HD1920" s="171"/>
      <c r="HE1920" s="171"/>
      <c r="HF1920" s="171"/>
      <c r="HG1920" s="171"/>
      <c r="HH1920" s="171"/>
      <c r="HI1920" s="171"/>
      <c r="HJ1920" s="171"/>
      <c r="HK1920" s="171"/>
      <c r="HL1920" s="171"/>
      <c r="HM1920" s="171"/>
      <c r="HN1920" s="171"/>
      <c r="HO1920" s="171"/>
      <c r="HP1920" s="171"/>
      <c r="HQ1920" s="171"/>
      <c r="HR1920" s="171"/>
      <c r="HS1920" s="171"/>
      <c r="HT1920" s="171"/>
      <c r="HU1920" s="171"/>
      <c r="HV1920" s="171"/>
      <c r="HW1920" s="171"/>
      <c r="HX1920" s="171"/>
      <c r="HY1920" s="171"/>
      <c r="HZ1920" s="171"/>
      <c r="IA1920" s="171"/>
      <c r="IB1920" s="171"/>
      <c r="IC1920" s="171"/>
      <c r="ID1920" s="171"/>
      <c r="IE1920" s="171"/>
      <c r="IF1920" s="171"/>
      <c r="IG1920" s="171"/>
      <c r="IH1920" s="171"/>
      <c r="II1920" s="171"/>
      <c r="IJ1920" s="171"/>
      <c r="IK1920" s="171"/>
      <c r="IL1920" s="171"/>
      <c r="IM1920" s="171"/>
      <c r="IN1920" s="171"/>
      <c r="IO1920" s="171"/>
      <c r="IP1920" s="171"/>
      <c r="IQ1920" s="171"/>
    </row>
    <row r="1921" spans="1:251" ht="14.25" customHeight="1">
      <c r="A1921" s="212"/>
      <c r="B1921" s="498"/>
      <c r="C1921" s="496" t="s">
        <v>1995</v>
      </c>
      <c r="D1921" s="497"/>
      <c r="E1921" s="360"/>
      <c r="F1921" s="500"/>
      <c r="BI1921" s="171"/>
      <c r="BJ1921" s="171"/>
      <c r="BK1921" s="171"/>
      <c r="BL1921" s="171"/>
      <c r="BM1921" s="171"/>
      <c r="BN1921" s="171"/>
      <c r="BO1921" s="171"/>
      <c r="BP1921" s="171"/>
      <c r="BQ1921" s="171"/>
      <c r="BR1921" s="171"/>
      <c r="BS1921" s="171"/>
      <c r="BT1921" s="171"/>
      <c r="BU1921" s="171"/>
      <c r="BV1921" s="171"/>
      <c r="BW1921" s="171"/>
      <c r="BX1921" s="171"/>
      <c r="BY1921" s="171"/>
      <c r="BZ1921" s="171"/>
      <c r="CA1921" s="171"/>
      <c r="CB1921" s="171"/>
      <c r="CC1921" s="171"/>
      <c r="CD1921" s="171"/>
      <c r="CE1921" s="171"/>
      <c r="CF1921" s="171"/>
      <c r="CG1921" s="171"/>
      <c r="CH1921" s="171"/>
      <c r="CI1921" s="171"/>
      <c r="CJ1921" s="171"/>
      <c r="CK1921" s="171"/>
      <c r="CL1921" s="171"/>
      <c r="CM1921" s="171"/>
      <c r="CN1921" s="171"/>
      <c r="CO1921" s="171"/>
      <c r="CP1921" s="171"/>
      <c r="CQ1921" s="171"/>
      <c r="CR1921" s="171"/>
      <c r="CS1921" s="171"/>
      <c r="CT1921" s="171"/>
      <c r="CU1921" s="171"/>
      <c r="CV1921" s="171"/>
      <c r="CW1921" s="171"/>
      <c r="CX1921" s="171"/>
      <c r="CY1921" s="171"/>
      <c r="CZ1921" s="171"/>
      <c r="DA1921" s="171"/>
      <c r="DB1921" s="171"/>
      <c r="DC1921" s="171"/>
      <c r="DD1921" s="171"/>
      <c r="DE1921" s="171"/>
      <c r="DF1921" s="171"/>
      <c r="DG1921" s="171"/>
      <c r="DH1921" s="171"/>
      <c r="DI1921" s="171"/>
      <c r="DJ1921" s="171"/>
      <c r="DK1921" s="171"/>
      <c r="DL1921" s="171"/>
      <c r="DM1921" s="171"/>
      <c r="DN1921" s="171"/>
      <c r="DO1921" s="171"/>
      <c r="DP1921" s="171"/>
      <c r="DQ1921" s="171"/>
      <c r="DR1921" s="171"/>
      <c r="DS1921" s="171"/>
      <c r="DT1921" s="171"/>
      <c r="DU1921" s="171"/>
      <c r="DV1921" s="171"/>
      <c r="DW1921" s="171"/>
      <c r="DX1921" s="171"/>
      <c r="DY1921" s="171"/>
      <c r="DZ1921" s="171"/>
      <c r="EA1921" s="171"/>
      <c r="EB1921" s="171"/>
      <c r="EC1921" s="171"/>
      <c r="ED1921" s="171"/>
      <c r="EE1921" s="171"/>
      <c r="EF1921" s="171"/>
      <c r="EG1921" s="171"/>
      <c r="EH1921" s="171"/>
      <c r="EI1921" s="171"/>
      <c r="EJ1921" s="171"/>
      <c r="EK1921" s="171"/>
      <c r="EL1921" s="171"/>
      <c r="EM1921" s="171"/>
      <c r="EN1921" s="171"/>
      <c r="EO1921" s="171"/>
      <c r="EP1921" s="171"/>
      <c r="EQ1921" s="171"/>
      <c r="ER1921" s="171"/>
      <c r="ES1921" s="171"/>
      <c r="ET1921" s="171"/>
      <c r="EU1921" s="171"/>
      <c r="EV1921" s="171"/>
      <c r="EW1921" s="171"/>
      <c r="EX1921" s="171"/>
      <c r="EY1921" s="171"/>
      <c r="EZ1921" s="171"/>
      <c r="FA1921" s="171"/>
      <c r="FB1921" s="171"/>
      <c r="FC1921" s="171"/>
      <c r="FD1921" s="171"/>
      <c r="FE1921" s="171"/>
      <c r="FF1921" s="171"/>
      <c r="FG1921" s="171"/>
      <c r="FH1921" s="171"/>
      <c r="FI1921" s="171"/>
      <c r="FJ1921" s="171"/>
      <c r="FK1921" s="171"/>
      <c r="FL1921" s="171"/>
      <c r="FM1921" s="171"/>
      <c r="FN1921" s="171"/>
      <c r="FO1921" s="171"/>
      <c r="FP1921" s="171"/>
      <c r="FQ1921" s="171"/>
      <c r="FR1921" s="171"/>
      <c r="FS1921" s="171"/>
      <c r="FT1921" s="171"/>
      <c r="FU1921" s="171"/>
      <c r="FV1921" s="171"/>
      <c r="FW1921" s="171"/>
      <c r="FX1921" s="171"/>
      <c r="FY1921" s="171"/>
      <c r="FZ1921" s="171"/>
      <c r="GA1921" s="171"/>
      <c r="GB1921" s="171"/>
      <c r="GC1921" s="171"/>
      <c r="GD1921" s="171"/>
      <c r="GE1921" s="171"/>
      <c r="GF1921" s="171"/>
      <c r="GG1921" s="171"/>
      <c r="GH1921" s="171"/>
      <c r="GI1921" s="171"/>
      <c r="GJ1921" s="171"/>
      <c r="GK1921" s="171"/>
      <c r="GL1921" s="171"/>
      <c r="GM1921" s="171"/>
      <c r="GN1921" s="171"/>
      <c r="GO1921" s="171"/>
      <c r="GP1921" s="171"/>
      <c r="GQ1921" s="171"/>
      <c r="GR1921" s="171"/>
      <c r="GS1921" s="171"/>
      <c r="GT1921" s="171"/>
      <c r="GU1921" s="171"/>
      <c r="GV1921" s="171"/>
      <c r="GW1921" s="171"/>
      <c r="GX1921" s="171"/>
      <c r="GY1921" s="171"/>
      <c r="GZ1921" s="171"/>
      <c r="HA1921" s="171"/>
      <c r="HB1921" s="171"/>
      <c r="HC1921" s="171"/>
      <c r="HD1921" s="171"/>
      <c r="HE1921" s="171"/>
      <c r="HF1921" s="171"/>
      <c r="HG1921" s="171"/>
      <c r="HH1921" s="171"/>
      <c r="HI1921" s="171"/>
      <c r="HJ1921" s="171"/>
      <c r="HK1921" s="171"/>
      <c r="HL1921" s="171"/>
      <c r="HM1921" s="171"/>
      <c r="HN1921" s="171"/>
      <c r="HO1921" s="171"/>
      <c r="HP1921" s="171"/>
      <c r="HQ1921" s="171"/>
      <c r="HR1921" s="171"/>
      <c r="HS1921" s="171"/>
      <c r="HT1921" s="171"/>
      <c r="HU1921" s="171"/>
      <c r="HV1921" s="171"/>
      <c r="HW1921" s="171"/>
      <c r="HX1921" s="171"/>
      <c r="HY1921" s="171"/>
      <c r="HZ1921" s="171"/>
      <c r="IA1921" s="171"/>
      <c r="IB1921" s="171"/>
      <c r="IC1921" s="171"/>
      <c r="ID1921" s="171"/>
      <c r="IE1921" s="171"/>
      <c r="IF1921" s="171"/>
      <c r="IG1921" s="171"/>
      <c r="IH1921" s="171"/>
      <c r="II1921" s="171"/>
      <c r="IJ1921" s="171"/>
      <c r="IK1921" s="171"/>
      <c r="IL1921" s="171"/>
      <c r="IM1921" s="171"/>
      <c r="IN1921" s="171"/>
      <c r="IO1921" s="171"/>
      <c r="IP1921" s="171"/>
      <c r="IQ1921" s="171"/>
    </row>
    <row r="1922" spans="1:251" ht="14.25" customHeight="1">
      <c r="A1922" s="212"/>
      <c r="B1922" s="221"/>
      <c r="C1922" s="295"/>
      <c r="D1922" s="226"/>
      <c r="E1922" s="360"/>
      <c r="F1922" s="296"/>
      <c r="BI1922" s="171"/>
      <c r="BJ1922" s="171"/>
      <c r="BK1922" s="171"/>
      <c r="BL1922" s="171"/>
      <c r="BM1922" s="171"/>
      <c r="BN1922" s="171"/>
      <c r="BO1922" s="171"/>
      <c r="BP1922" s="171"/>
      <c r="BQ1922" s="171"/>
      <c r="BR1922" s="171"/>
      <c r="BS1922" s="171"/>
      <c r="BT1922" s="171"/>
      <c r="BU1922" s="171"/>
      <c r="BV1922" s="171"/>
      <c r="BW1922" s="171"/>
      <c r="BX1922" s="171"/>
      <c r="BY1922" s="171"/>
      <c r="BZ1922" s="171"/>
      <c r="CA1922" s="171"/>
      <c r="CB1922" s="171"/>
      <c r="CC1922" s="171"/>
      <c r="CD1922" s="171"/>
      <c r="CE1922" s="171"/>
      <c r="CF1922" s="171"/>
      <c r="CG1922" s="171"/>
      <c r="CH1922" s="171"/>
      <c r="CI1922" s="171"/>
      <c r="CJ1922" s="171"/>
      <c r="CK1922" s="171"/>
      <c r="CL1922" s="171"/>
      <c r="CM1922" s="171"/>
      <c r="CN1922" s="171"/>
      <c r="CO1922" s="171"/>
      <c r="CP1922" s="171"/>
      <c r="CQ1922" s="171"/>
      <c r="CR1922" s="171"/>
      <c r="CS1922" s="171"/>
      <c r="CT1922" s="171"/>
      <c r="CU1922" s="171"/>
      <c r="CV1922" s="171"/>
      <c r="CW1922" s="171"/>
      <c r="CX1922" s="171"/>
      <c r="CY1922" s="171"/>
      <c r="CZ1922" s="171"/>
      <c r="DA1922" s="171"/>
      <c r="DB1922" s="171"/>
      <c r="DC1922" s="171"/>
      <c r="DD1922" s="171"/>
      <c r="DE1922" s="171"/>
      <c r="DF1922" s="171"/>
      <c r="DG1922" s="171"/>
      <c r="DH1922" s="171"/>
      <c r="DI1922" s="171"/>
      <c r="DJ1922" s="171"/>
      <c r="DK1922" s="171"/>
      <c r="DL1922" s="171"/>
      <c r="DM1922" s="171"/>
      <c r="DN1922" s="171"/>
      <c r="DO1922" s="171"/>
      <c r="DP1922" s="171"/>
      <c r="DQ1922" s="171"/>
      <c r="DR1922" s="171"/>
      <c r="DS1922" s="171"/>
      <c r="DT1922" s="171"/>
      <c r="DU1922" s="171"/>
      <c r="DV1922" s="171"/>
      <c r="DW1922" s="171"/>
      <c r="DX1922" s="171"/>
      <c r="DY1922" s="171"/>
      <c r="DZ1922" s="171"/>
      <c r="EA1922" s="171"/>
      <c r="EB1922" s="171"/>
      <c r="EC1922" s="171"/>
      <c r="ED1922" s="171"/>
      <c r="EE1922" s="171"/>
      <c r="EF1922" s="171"/>
      <c r="EG1922" s="171"/>
      <c r="EH1922" s="171"/>
      <c r="EI1922" s="171"/>
      <c r="EJ1922" s="171"/>
      <c r="EK1922" s="171"/>
      <c r="EL1922" s="171"/>
      <c r="EM1922" s="171"/>
      <c r="EN1922" s="171"/>
      <c r="EO1922" s="171"/>
      <c r="EP1922" s="171"/>
      <c r="EQ1922" s="171"/>
      <c r="ER1922" s="171"/>
      <c r="ES1922" s="171"/>
      <c r="ET1922" s="171"/>
      <c r="EU1922" s="171"/>
      <c r="EV1922" s="171"/>
      <c r="EW1922" s="171"/>
      <c r="EX1922" s="171"/>
      <c r="EY1922" s="171"/>
      <c r="EZ1922" s="171"/>
      <c r="FA1922" s="171"/>
      <c r="FB1922" s="171"/>
      <c r="FC1922" s="171"/>
      <c r="FD1922" s="171"/>
      <c r="FE1922" s="171"/>
      <c r="FF1922" s="171"/>
      <c r="FG1922" s="171"/>
      <c r="FH1922" s="171"/>
      <c r="FI1922" s="171"/>
      <c r="FJ1922" s="171"/>
      <c r="FK1922" s="171"/>
      <c r="FL1922" s="171"/>
      <c r="FM1922" s="171"/>
      <c r="FN1922" s="171"/>
      <c r="FO1922" s="171"/>
      <c r="FP1922" s="171"/>
      <c r="FQ1922" s="171"/>
      <c r="FR1922" s="171"/>
      <c r="FS1922" s="171"/>
      <c r="FT1922" s="171"/>
      <c r="FU1922" s="171"/>
      <c r="FV1922" s="171"/>
      <c r="FW1922" s="171"/>
      <c r="FX1922" s="171"/>
      <c r="FY1922" s="171"/>
      <c r="FZ1922" s="171"/>
      <c r="GA1922" s="171"/>
      <c r="GB1922" s="171"/>
      <c r="GC1922" s="171"/>
      <c r="GD1922" s="171"/>
      <c r="GE1922" s="171"/>
      <c r="GF1922" s="171"/>
      <c r="GG1922" s="171"/>
      <c r="GH1922" s="171"/>
      <c r="GI1922" s="171"/>
      <c r="GJ1922" s="171"/>
      <c r="GK1922" s="171"/>
      <c r="GL1922" s="171"/>
      <c r="GM1922" s="171"/>
      <c r="GN1922" s="171"/>
      <c r="GO1922" s="171"/>
      <c r="GP1922" s="171"/>
      <c r="GQ1922" s="171"/>
      <c r="GR1922" s="171"/>
      <c r="GS1922" s="171"/>
      <c r="GT1922" s="171"/>
      <c r="GU1922" s="171"/>
      <c r="GV1922" s="171"/>
      <c r="GW1922" s="171"/>
      <c r="GX1922" s="171"/>
      <c r="GY1922" s="171"/>
      <c r="GZ1922" s="171"/>
      <c r="HA1922" s="171"/>
      <c r="HB1922" s="171"/>
      <c r="HC1922" s="171"/>
      <c r="HD1922" s="171"/>
      <c r="HE1922" s="171"/>
      <c r="HF1922" s="171"/>
      <c r="HG1922" s="171"/>
      <c r="HH1922" s="171"/>
      <c r="HI1922" s="171"/>
      <c r="HJ1922" s="171"/>
      <c r="HK1922" s="171"/>
      <c r="HL1922" s="171"/>
      <c r="HM1922" s="171"/>
      <c r="HN1922" s="171"/>
      <c r="HO1922" s="171"/>
      <c r="HP1922" s="171"/>
      <c r="HQ1922" s="171"/>
      <c r="HR1922" s="171"/>
      <c r="HS1922" s="171"/>
      <c r="HT1922" s="171"/>
      <c r="HU1922" s="171"/>
      <c r="HV1922" s="171"/>
      <c r="HW1922" s="171"/>
      <c r="HX1922" s="171"/>
      <c r="HY1922" s="171"/>
      <c r="HZ1922" s="171"/>
      <c r="IA1922" s="171"/>
      <c r="IB1922" s="171"/>
      <c r="IC1922" s="171"/>
      <c r="ID1922" s="171"/>
      <c r="IE1922" s="171"/>
      <c r="IF1922" s="171"/>
      <c r="IG1922" s="171"/>
      <c r="IH1922" s="171"/>
      <c r="II1922" s="171"/>
      <c r="IJ1922" s="171"/>
      <c r="IK1922" s="171"/>
      <c r="IL1922" s="171"/>
      <c r="IM1922" s="171"/>
      <c r="IN1922" s="171"/>
      <c r="IO1922" s="171"/>
      <c r="IP1922" s="171"/>
      <c r="IQ1922" s="171"/>
    </row>
    <row r="1923" spans="1:251" ht="14.25" customHeight="1">
      <c r="A1923" s="212"/>
      <c r="B1923" s="221"/>
      <c r="C1923" s="295"/>
      <c r="D1923" s="226"/>
      <c r="E1923" s="360"/>
      <c r="F1923" s="296"/>
      <c r="BI1923" s="171"/>
      <c r="BJ1923" s="171"/>
      <c r="BK1923" s="171"/>
      <c r="BL1923" s="171"/>
      <c r="BM1923" s="171"/>
      <c r="BN1923" s="171"/>
      <c r="BO1923" s="171"/>
      <c r="BP1923" s="171"/>
      <c r="BQ1923" s="171"/>
      <c r="BR1923" s="171"/>
      <c r="BS1923" s="171"/>
      <c r="BT1923" s="171"/>
      <c r="BU1923" s="171"/>
      <c r="BV1923" s="171"/>
      <c r="BW1923" s="171"/>
      <c r="BX1923" s="171"/>
      <c r="BY1923" s="171"/>
      <c r="BZ1923" s="171"/>
      <c r="CA1923" s="171"/>
      <c r="CB1923" s="171"/>
      <c r="CC1923" s="171"/>
      <c r="CD1923" s="171"/>
      <c r="CE1923" s="171"/>
      <c r="CF1923" s="171"/>
      <c r="CG1923" s="171"/>
      <c r="CH1923" s="171"/>
      <c r="CI1923" s="171"/>
      <c r="CJ1923" s="171"/>
      <c r="CK1923" s="171"/>
      <c r="CL1923" s="171"/>
      <c r="CM1923" s="171"/>
      <c r="CN1923" s="171"/>
      <c r="CO1923" s="171"/>
      <c r="CP1923" s="171"/>
      <c r="CQ1923" s="171"/>
      <c r="CR1923" s="171"/>
      <c r="CS1923" s="171"/>
      <c r="CT1923" s="171"/>
      <c r="CU1923" s="171"/>
      <c r="CV1923" s="171"/>
      <c r="CW1923" s="171"/>
      <c r="CX1923" s="171"/>
      <c r="CY1923" s="171"/>
      <c r="CZ1923" s="171"/>
      <c r="DA1923" s="171"/>
      <c r="DB1923" s="171"/>
      <c r="DC1923" s="171"/>
      <c r="DD1923" s="171"/>
      <c r="DE1923" s="171"/>
      <c r="DF1923" s="171"/>
      <c r="DG1923" s="171"/>
      <c r="DH1923" s="171"/>
      <c r="DI1923" s="171"/>
      <c r="DJ1923" s="171"/>
      <c r="DK1923" s="171"/>
      <c r="DL1923" s="171"/>
      <c r="DM1923" s="171"/>
      <c r="DN1923" s="171"/>
      <c r="DO1923" s="171"/>
      <c r="DP1923" s="171"/>
      <c r="DQ1923" s="171"/>
      <c r="DR1923" s="171"/>
      <c r="DS1923" s="171"/>
      <c r="DT1923" s="171"/>
      <c r="DU1923" s="171"/>
      <c r="DV1923" s="171"/>
      <c r="DW1923" s="171"/>
      <c r="DX1923" s="171"/>
      <c r="DY1923" s="171"/>
      <c r="DZ1923" s="171"/>
      <c r="EA1923" s="171"/>
      <c r="EB1923" s="171"/>
      <c r="EC1923" s="171"/>
      <c r="ED1923" s="171"/>
      <c r="EE1923" s="171"/>
      <c r="EF1923" s="171"/>
      <c r="EG1923" s="171"/>
      <c r="EH1923" s="171"/>
      <c r="EI1923" s="171"/>
      <c r="EJ1923" s="171"/>
      <c r="EK1923" s="171"/>
      <c r="EL1923" s="171"/>
      <c r="EM1923" s="171"/>
      <c r="EN1923" s="171"/>
      <c r="EO1923" s="171"/>
      <c r="EP1923" s="171"/>
      <c r="EQ1923" s="171"/>
      <c r="ER1923" s="171"/>
      <c r="ES1923" s="171"/>
      <c r="ET1923" s="171"/>
      <c r="EU1923" s="171"/>
      <c r="EV1923" s="171"/>
      <c r="EW1923" s="171"/>
      <c r="EX1923" s="171"/>
      <c r="EY1923" s="171"/>
      <c r="EZ1923" s="171"/>
      <c r="FA1923" s="171"/>
      <c r="FB1923" s="171"/>
      <c r="FC1923" s="171"/>
      <c r="FD1923" s="171"/>
      <c r="FE1923" s="171"/>
      <c r="FF1923" s="171"/>
      <c r="FG1923" s="171"/>
      <c r="FH1923" s="171"/>
      <c r="FI1923" s="171"/>
      <c r="FJ1923" s="171"/>
      <c r="FK1923" s="171"/>
      <c r="FL1923" s="171"/>
      <c r="FM1923" s="171"/>
      <c r="FN1923" s="171"/>
      <c r="FO1923" s="171"/>
      <c r="FP1923" s="171"/>
      <c r="FQ1923" s="171"/>
      <c r="FR1923" s="171"/>
      <c r="FS1923" s="171"/>
      <c r="FT1923" s="171"/>
      <c r="FU1923" s="171"/>
      <c r="FV1923" s="171"/>
      <c r="FW1923" s="171"/>
      <c r="FX1923" s="171"/>
      <c r="FY1923" s="171"/>
      <c r="FZ1923" s="171"/>
      <c r="GA1923" s="171"/>
      <c r="GB1923" s="171"/>
      <c r="GC1923" s="171"/>
      <c r="GD1923" s="171"/>
      <c r="GE1923" s="171"/>
      <c r="GF1923" s="171"/>
      <c r="GG1923" s="171"/>
      <c r="GH1923" s="171"/>
      <c r="GI1923" s="171"/>
      <c r="GJ1923" s="171"/>
      <c r="GK1923" s="171"/>
      <c r="GL1923" s="171"/>
      <c r="GM1923" s="171"/>
      <c r="GN1923" s="171"/>
      <c r="GO1923" s="171"/>
      <c r="GP1923" s="171"/>
      <c r="GQ1923" s="171"/>
      <c r="GR1923" s="171"/>
      <c r="GS1923" s="171"/>
      <c r="GT1923" s="171"/>
      <c r="GU1923" s="171"/>
      <c r="GV1923" s="171"/>
      <c r="GW1923" s="171"/>
      <c r="GX1923" s="171"/>
      <c r="GY1923" s="171"/>
      <c r="GZ1923" s="171"/>
      <c r="HA1923" s="171"/>
      <c r="HB1923" s="171"/>
      <c r="HC1923" s="171"/>
      <c r="HD1923" s="171"/>
      <c r="HE1923" s="171"/>
      <c r="HF1923" s="171"/>
      <c r="HG1923" s="171"/>
      <c r="HH1923" s="171"/>
      <c r="HI1923" s="171"/>
      <c r="HJ1923" s="171"/>
      <c r="HK1923" s="171"/>
      <c r="HL1923" s="171"/>
      <c r="HM1923" s="171"/>
      <c r="HN1923" s="171"/>
      <c r="HO1923" s="171"/>
      <c r="HP1923" s="171"/>
      <c r="HQ1923" s="171"/>
      <c r="HR1923" s="171"/>
      <c r="HS1923" s="171"/>
      <c r="HT1923" s="171"/>
      <c r="HU1923" s="171"/>
      <c r="HV1923" s="171"/>
      <c r="HW1923" s="171"/>
      <c r="HX1923" s="171"/>
      <c r="HY1923" s="171"/>
      <c r="HZ1923" s="171"/>
      <c r="IA1923" s="171"/>
      <c r="IB1923" s="171"/>
      <c r="IC1923" s="171"/>
      <c r="ID1923" s="171"/>
      <c r="IE1923" s="171"/>
      <c r="IF1923" s="171"/>
      <c r="IG1923" s="171"/>
      <c r="IH1923" s="171"/>
      <c r="II1923" s="171"/>
      <c r="IJ1923" s="171"/>
      <c r="IK1923" s="171"/>
      <c r="IL1923" s="171"/>
      <c r="IM1923" s="171"/>
      <c r="IN1923" s="171"/>
      <c r="IO1923" s="171"/>
      <c r="IP1923" s="171"/>
      <c r="IQ1923" s="171"/>
    </row>
    <row r="1924" spans="1:251" ht="14.25" customHeight="1">
      <c r="A1924" s="212"/>
      <c r="B1924" s="221"/>
      <c r="C1924" s="295"/>
      <c r="D1924" s="226"/>
      <c r="E1924" s="360"/>
      <c r="F1924" s="296"/>
      <c r="BI1924" s="171"/>
      <c r="BJ1924" s="171"/>
      <c r="BK1924" s="171"/>
      <c r="BL1924" s="171"/>
      <c r="BM1924" s="171"/>
      <c r="BN1924" s="171"/>
      <c r="BO1924" s="171"/>
      <c r="BP1924" s="171"/>
      <c r="BQ1924" s="171"/>
      <c r="BR1924" s="171"/>
      <c r="BS1924" s="171"/>
      <c r="BT1924" s="171"/>
      <c r="BU1924" s="171"/>
      <c r="BV1924" s="171"/>
      <c r="BW1924" s="171"/>
      <c r="BX1924" s="171"/>
      <c r="BY1924" s="171"/>
      <c r="BZ1924" s="171"/>
      <c r="CA1924" s="171"/>
      <c r="CB1924" s="171"/>
      <c r="CC1924" s="171"/>
      <c r="CD1924" s="171"/>
      <c r="CE1924" s="171"/>
      <c r="CF1924" s="171"/>
      <c r="CG1924" s="171"/>
      <c r="CH1924" s="171"/>
      <c r="CI1924" s="171"/>
      <c r="CJ1924" s="171"/>
      <c r="CK1924" s="171"/>
      <c r="CL1924" s="171"/>
      <c r="CM1924" s="171"/>
      <c r="CN1924" s="171"/>
      <c r="CO1924" s="171"/>
      <c r="CP1924" s="171"/>
      <c r="CQ1924" s="171"/>
      <c r="CR1924" s="171"/>
      <c r="CS1924" s="171"/>
      <c r="CT1924" s="171"/>
      <c r="CU1924" s="171"/>
      <c r="CV1924" s="171"/>
      <c r="CW1924" s="171"/>
      <c r="CX1924" s="171"/>
      <c r="CY1924" s="171"/>
      <c r="CZ1924" s="171"/>
      <c r="DA1924" s="171"/>
      <c r="DB1924" s="171"/>
      <c r="DC1924" s="171"/>
      <c r="DD1924" s="171"/>
      <c r="DE1924" s="171"/>
      <c r="DF1924" s="171"/>
      <c r="DG1924" s="171"/>
      <c r="DH1924" s="171"/>
      <c r="DI1924" s="171"/>
      <c r="DJ1924" s="171"/>
      <c r="DK1924" s="171"/>
      <c r="DL1924" s="171"/>
      <c r="DM1924" s="171"/>
      <c r="DN1924" s="171"/>
      <c r="DO1924" s="171"/>
      <c r="DP1924" s="171"/>
      <c r="DQ1924" s="171"/>
      <c r="DR1924" s="171"/>
      <c r="DS1924" s="171"/>
      <c r="DT1924" s="171"/>
      <c r="DU1924" s="171"/>
      <c r="DV1924" s="171"/>
      <c r="DW1924" s="171"/>
      <c r="DX1924" s="171"/>
      <c r="DY1924" s="171"/>
      <c r="DZ1924" s="171"/>
      <c r="EA1924" s="171"/>
      <c r="EB1924" s="171"/>
      <c r="EC1924" s="171"/>
      <c r="ED1924" s="171"/>
      <c r="EE1924" s="171"/>
      <c r="EF1924" s="171"/>
      <c r="EG1924" s="171"/>
      <c r="EH1924" s="171"/>
      <c r="EI1924" s="171"/>
      <c r="EJ1924" s="171"/>
      <c r="EK1924" s="171"/>
      <c r="EL1924" s="171"/>
      <c r="EM1924" s="171"/>
      <c r="EN1924" s="171"/>
      <c r="EO1924" s="171"/>
      <c r="EP1924" s="171"/>
      <c r="EQ1924" s="171"/>
      <c r="ER1924" s="171"/>
      <c r="ES1924" s="171"/>
      <c r="ET1924" s="171"/>
      <c r="EU1924" s="171"/>
      <c r="EV1924" s="171"/>
      <c r="EW1924" s="171"/>
      <c r="EX1924" s="171"/>
      <c r="EY1924" s="171"/>
      <c r="EZ1924" s="171"/>
      <c r="FA1924" s="171"/>
      <c r="FB1924" s="171"/>
      <c r="FC1924" s="171"/>
      <c r="FD1924" s="171"/>
      <c r="FE1924" s="171"/>
      <c r="FF1924" s="171"/>
      <c r="FG1924" s="171"/>
      <c r="FH1924" s="171"/>
      <c r="FI1924" s="171"/>
      <c r="FJ1924" s="171"/>
      <c r="FK1924" s="171"/>
      <c r="FL1924" s="171"/>
      <c r="FM1924" s="171"/>
      <c r="FN1924" s="171"/>
      <c r="FO1924" s="171"/>
      <c r="FP1924" s="171"/>
      <c r="FQ1924" s="171"/>
      <c r="FR1924" s="171"/>
      <c r="FS1924" s="171"/>
      <c r="FT1924" s="171"/>
      <c r="FU1924" s="171"/>
      <c r="FV1924" s="171"/>
      <c r="FW1924" s="171"/>
      <c r="FX1924" s="171"/>
      <c r="FY1924" s="171"/>
      <c r="FZ1924" s="171"/>
      <c r="GA1924" s="171"/>
      <c r="GB1924" s="171"/>
      <c r="GC1924" s="171"/>
      <c r="GD1924" s="171"/>
      <c r="GE1924" s="171"/>
      <c r="GF1924" s="171"/>
      <c r="GG1924" s="171"/>
      <c r="GH1924" s="171"/>
      <c r="GI1924" s="171"/>
      <c r="GJ1924" s="171"/>
      <c r="GK1924" s="171"/>
      <c r="GL1924" s="171"/>
      <c r="GM1924" s="171"/>
      <c r="GN1924" s="171"/>
      <c r="GO1924" s="171"/>
      <c r="GP1924" s="171"/>
      <c r="GQ1924" s="171"/>
      <c r="GR1924" s="171"/>
      <c r="GS1924" s="171"/>
      <c r="GT1924" s="171"/>
      <c r="GU1924" s="171"/>
      <c r="GV1924" s="171"/>
      <c r="GW1924" s="171"/>
      <c r="GX1924" s="171"/>
      <c r="GY1924" s="171"/>
      <c r="GZ1924" s="171"/>
      <c r="HA1924" s="171"/>
      <c r="HB1924" s="171"/>
      <c r="HC1924" s="171"/>
      <c r="HD1924" s="171"/>
      <c r="HE1924" s="171"/>
      <c r="HF1924" s="171"/>
      <c r="HG1924" s="171"/>
      <c r="HH1924" s="171"/>
      <c r="HI1924" s="171"/>
      <c r="HJ1924" s="171"/>
      <c r="HK1924" s="171"/>
      <c r="HL1924" s="171"/>
      <c r="HM1924" s="171"/>
      <c r="HN1924" s="171"/>
      <c r="HO1924" s="171"/>
      <c r="HP1924" s="171"/>
      <c r="HQ1924" s="171"/>
      <c r="HR1924" s="171"/>
      <c r="HS1924" s="171"/>
      <c r="HT1924" s="171"/>
      <c r="HU1924" s="171"/>
      <c r="HV1924" s="171"/>
      <c r="HW1924" s="171"/>
      <c r="HX1924" s="171"/>
      <c r="HY1924" s="171"/>
      <c r="HZ1924" s="171"/>
      <c r="IA1924" s="171"/>
      <c r="IB1924" s="171"/>
      <c r="IC1924" s="171"/>
      <c r="ID1924" s="171"/>
      <c r="IE1924" s="171"/>
      <c r="IF1924" s="171"/>
      <c r="IG1924" s="171"/>
      <c r="IH1924" s="171"/>
      <c r="II1924" s="171"/>
      <c r="IJ1924" s="171"/>
      <c r="IK1924" s="171"/>
      <c r="IL1924" s="171"/>
      <c r="IM1924" s="171"/>
      <c r="IN1924" s="171"/>
      <c r="IO1924" s="171"/>
      <c r="IP1924" s="171"/>
      <c r="IQ1924" s="171"/>
    </row>
    <row r="1925" spans="1:251" ht="14.25" customHeight="1">
      <c r="A1925" s="212"/>
      <c r="B1925" s="221"/>
      <c r="C1925" s="295"/>
      <c r="D1925" s="226"/>
      <c r="E1925" s="360"/>
      <c r="F1925" s="296"/>
      <c r="BI1925" s="171"/>
      <c r="BJ1925" s="171"/>
      <c r="BK1925" s="171"/>
      <c r="BL1925" s="171"/>
      <c r="BM1925" s="171"/>
      <c r="BN1925" s="171"/>
      <c r="BO1925" s="171"/>
      <c r="BP1925" s="171"/>
      <c r="BQ1925" s="171"/>
      <c r="BR1925" s="171"/>
      <c r="BS1925" s="171"/>
      <c r="BT1925" s="171"/>
      <c r="BU1925" s="171"/>
      <c r="BV1925" s="171"/>
      <c r="BW1925" s="171"/>
      <c r="BX1925" s="171"/>
      <c r="BY1925" s="171"/>
      <c r="BZ1925" s="171"/>
      <c r="CA1925" s="171"/>
      <c r="CB1925" s="171"/>
      <c r="CC1925" s="171"/>
      <c r="CD1925" s="171"/>
      <c r="CE1925" s="171"/>
      <c r="CF1925" s="171"/>
      <c r="CG1925" s="171"/>
      <c r="CH1925" s="171"/>
      <c r="CI1925" s="171"/>
      <c r="CJ1925" s="171"/>
      <c r="CK1925" s="171"/>
      <c r="CL1925" s="171"/>
      <c r="CM1925" s="171"/>
      <c r="CN1925" s="171"/>
      <c r="CO1925" s="171"/>
      <c r="CP1925" s="171"/>
      <c r="CQ1925" s="171"/>
      <c r="CR1925" s="171"/>
      <c r="CS1925" s="171"/>
      <c r="CT1925" s="171"/>
      <c r="CU1925" s="171"/>
      <c r="CV1925" s="171"/>
      <c r="CW1925" s="171"/>
      <c r="CX1925" s="171"/>
      <c r="CY1925" s="171"/>
      <c r="CZ1925" s="171"/>
      <c r="DA1925" s="171"/>
      <c r="DB1925" s="171"/>
      <c r="DC1925" s="171"/>
      <c r="DD1925" s="171"/>
      <c r="DE1925" s="171"/>
      <c r="DF1925" s="171"/>
      <c r="DG1925" s="171"/>
      <c r="DH1925" s="171"/>
      <c r="DI1925" s="171"/>
      <c r="DJ1925" s="171"/>
      <c r="DK1925" s="171"/>
      <c r="DL1925" s="171"/>
      <c r="DM1925" s="171"/>
      <c r="DN1925" s="171"/>
      <c r="DO1925" s="171"/>
      <c r="DP1925" s="171"/>
      <c r="DQ1925" s="171"/>
      <c r="DR1925" s="171"/>
      <c r="DS1925" s="171"/>
      <c r="DT1925" s="171"/>
      <c r="DU1925" s="171"/>
      <c r="DV1925" s="171"/>
      <c r="DW1925" s="171"/>
      <c r="DX1925" s="171"/>
      <c r="DY1925" s="171"/>
      <c r="DZ1925" s="171"/>
      <c r="EA1925" s="171"/>
      <c r="EB1925" s="171"/>
      <c r="EC1925" s="171"/>
      <c r="ED1925" s="171"/>
      <c r="EE1925" s="171"/>
      <c r="EF1925" s="171"/>
      <c r="EG1925" s="171"/>
      <c r="EH1925" s="171"/>
      <c r="EI1925" s="171"/>
      <c r="EJ1925" s="171"/>
      <c r="EK1925" s="171"/>
      <c r="EL1925" s="171"/>
      <c r="EM1925" s="171"/>
      <c r="EN1925" s="171"/>
      <c r="EO1925" s="171"/>
      <c r="EP1925" s="171"/>
      <c r="EQ1925" s="171"/>
      <c r="ER1925" s="171"/>
      <c r="ES1925" s="171"/>
      <c r="ET1925" s="171"/>
      <c r="EU1925" s="171"/>
      <c r="EV1925" s="171"/>
      <c r="EW1925" s="171"/>
      <c r="EX1925" s="171"/>
      <c r="EY1925" s="171"/>
      <c r="EZ1925" s="171"/>
      <c r="FA1925" s="171"/>
      <c r="FB1925" s="171"/>
      <c r="FC1925" s="171"/>
      <c r="FD1925" s="171"/>
      <c r="FE1925" s="171"/>
      <c r="FF1925" s="171"/>
      <c r="FG1925" s="171"/>
      <c r="FH1925" s="171"/>
      <c r="FI1925" s="171"/>
      <c r="FJ1925" s="171"/>
      <c r="FK1925" s="171"/>
      <c r="FL1925" s="171"/>
      <c r="FM1925" s="171"/>
      <c r="FN1925" s="171"/>
      <c r="FO1925" s="171"/>
      <c r="FP1925" s="171"/>
      <c r="FQ1925" s="171"/>
      <c r="FR1925" s="171"/>
      <c r="FS1925" s="171"/>
      <c r="FT1925" s="171"/>
      <c r="FU1925" s="171"/>
      <c r="FV1925" s="171"/>
      <c r="FW1925" s="171"/>
      <c r="FX1925" s="171"/>
      <c r="FY1925" s="171"/>
      <c r="FZ1925" s="171"/>
      <c r="GA1925" s="171"/>
      <c r="GB1925" s="171"/>
      <c r="GC1925" s="171"/>
      <c r="GD1925" s="171"/>
      <c r="GE1925" s="171"/>
      <c r="GF1925" s="171"/>
      <c r="GG1925" s="171"/>
      <c r="GH1925" s="171"/>
      <c r="GI1925" s="171"/>
      <c r="GJ1925" s="171"/>
      <c r="GK1925" s="171"/>
      <c r="GL1925" s="171"/>
      <c r="GM1925" s="171"/>
      <c r="GN1925" s="171"/>
      <c r="GO1925" s="171"/>
      <c r="GP1925" s="171"/>
      <c r="GQ1925" s="171"/>
      <c r="GR1925" s="171"/>
      <c r="GS1925" s="171"/>
      <c r="GT1925" s="171"/>
      <c r="GU1925" s="171"/>
      <c r="GV1925" s="171"/>
      <c r="GW1925" s="171"/>
      <c r="GX1925" s="171"/>
      <c r="GY1925" s="171"/>
      <c r="GZ1925" s="171"/>
      <c r="HA1925" s="171"/>
      <c r="HB1925" s="171"/>
      <c r="HC1925" s="171"/>
      <c r="HD1925" s="171"/>
      <c r="HE1925" s="171"/>
      <c r="HF1925" s="171"/>
      <c r="HG1925" s="171"/>
      <c r="HH1925" s="171"/>
      <c r="HI1925" s="171"/>
      <c r="HJ1925" s="171"/>
      <c r="HK1925" s="171"/>
      <c r="HL1925" s="171"/>
      <c r="HM1925" s="171"/>
      <c r="HN1925" s="171"/>
      <c r="HO1925" s="171"/>
      <c r="HP1925" s="171"/>
      <c r="HQ1925" s="171"/>
      <c r="HR1925" s="171"/>
      <c r="HS1925" s="171"/>
      <c r="HT1925" s="171"/>
      <c r="HU1925" s="171"/>
      <c r="HV1925" s="171"/>
      <c r="HW1925" s="171"/>
      <c r="HX1925" s="171"/>
      <c r="HY1925" s="171"/>
      <c r="HZ1925" s="171"/>
      <c r="IA1925" s="171"/>
      <c r="IB1925" s="171"/>
      <c r="IC1925" s="171"/>
      <c r="ID1925" s="171"/>
      <c r="IE1925" s="171"/>
      <c r="IF1925" s="171"/>
      <c r="IG1925" s="171"/>
      <c r="IH1925" s="171"/>
      <c r="II1925" s="171"/>
      <c r="IJ1925" s="171"/>
      <c r="IK1925" s="171"/>
      <c r="IL1925" s="171"/>
      <c r="IM1925" s="171"/>
      <c r="IN1925" s="171"/>
      <c r="IO1925" s="171"/>
      <c r="IP1925" s="171"/>
      <c r="IQ1925" s="171"/>
    </row>
    <row r="1926" spans="1:251" ht="14.25" customHeight="1">
      <c r="A1926" s="212"/>
      <c r="B1926" s="221"/>
      <c r="C1926" s="295"/>
      <c r="D1926" s="226"/>
      <c r="E1926" s="360"/>
      <c r="F1926" s="296"/>
      <c r="BI1926" s="171"/>
      <c r="BJ1926" s="171"/>
      <c r="BK1926" s="171"/>
      <c r="BL1926" s="171"/>
      <c r="BM1926" s="171"/>
      <c r="BN1926" s="171"/>
      <c r="BO1926" s="171"/>
      <c r="BP1926" s="171"/>
      <c r="BQ1926" s="171"/>
      <c r="BR1926" s="171"/>
      <c r="BS1926" s="171"/>
      <c r="BT1926" s="171"/>
      <c r="BU1926" s="171"/>
      <c r="BV1926" s="171"/>
      <c r="BW1926" s="171"/>
      <c r="BX1926" s="171"/>
      <c r="BY1926" s="171"/>
      <c r="BZ1926" s="171"/>
      <c r="CA1926" s="171"/>
      <c r="CB1926" s="171"/>
      <c r="CC1926" s="171"/>
      <c r="CD1926" s="171"/>
      <c r="CE1926" s="171"/>
      <c r="CF1926" s="171"/>
      <c r="CG1926" s="171"/>
      <c r="CH1926" s="171"/>
      <c r="CI1926" s="171"/>
      <c r="CJ1926" s="171"/>
      <c r="CK1926" s="171"/>
      <c r="CL1926" s="171"/>
      <c r="CM1926" s="171"/>
      <c r="CN1926" s="171"/>
      <c r="CO1926" s="171"/>
      <c r="CP1926" s="171"/>
      <c r="CQ1926" s="171"/>
      <c r="CR1926" s="171"/>
      <c r="CS1926" s="171"/>
      <c r="CT1926" s="171"/>
      <c r="CU1926" s="171"/>
      <c r="CV1926" s="171"/>
      <c r="CW1926" s="171"/>
      <c r="CX1926" s="171"/>
      <c r="CY1926" s="171"/>
      <c r="CZ1926" s="171"/>
      <c r="DA1926" s="171"/>
      <c r="DB1926" s="171"/>
      <c r="DC1926" s="171"/>
      <c r="DD1926" s="171"/>
      <c r="DE1926" s="171"/>
      <c r="DF1926" s="171"/>
      <c r="DG1926" s="171"/>
      <c r="DH1926" s="171"/>
      <c r="DI1926" s="171"/>
      <c r="DJ1926" s="171"/>
      <c r="DK1926" s="171"/>
      <c r="DL1926" s="171"/>
      <c r="DM1926" s="171"/>
      <c r="DN1926" s="171"/>
      <c r="DO1926" s="171"/>
      <c r="DP1926" s="171"/>
      <c r="DQ1926" s="171"/>
      <c r="DR1926" s="171"/>
      <c r="DS1926" s="171"/>
      <c r="DT1926" s="171"/>
      <c r="DU1926" s="171"/>
      <c r="DV1926" s="171"/>
      <c r="DW1926" s="171"/>
      <c r="DX1926" s="171"/>
      <c r="DY1926" s="171"/>
      <c r="DZ1926" s="171"/>
      <c r="EA1926" s="171"/>
      <c r="EB1926" s="171"/>
      <c r="EC1926" s="171"/>
      <c r="ED1926" s="171"/>
      <c r="EE1926" s="171"/>
      <c r="EF1926" s="171"/>
      <c r="EG1926" s="171"/>
      <c r="EH1926" s="171"/>
      <c r="EI1926" s="171"/>
      <c r="EJ1926" s="171"/>
      <c r="EK1926" s="171"/>
      <c r="EL1926" s="171"/>
      <c r="EM1926" s="171"/>
      <c r="EN1926" s="171"/>
      <c r="EO1926" s="171"/>
      <c r="EP1926" s="171"/>
      <c r="EQ1926" s="171"/>
      <c r="ER1926" s="171"/>
      <c r="ES1926" s="171"/>
      <c r="ET1926" s="171"/>
      <c r="EU1926" s="171"/>
      <c r="EV1926" s="171"/>
      <c r="EW1926" s="171"/>
      <c r="EX1926" s="171"/>
      <c r="EY1926" s="171"/>
      <c r="EZ1926" s="171"/>
      <c r="FA1926" s="171"/>
      <c r="FB1926" s="171"/>
      <c r="FC1926" s="171"/>
      <c r="FD1926" s="171"/>
      <c r="FE1926" s="171"/>
      <c r="FF1926" s="171"/>
      <c r="FG1926" s="171"/>
      <c r="FH1926" s="171"/>
      <c r="FI1926" s="171"/>
      <c r="FJ1926" s="171"/>
      <c r="FK1926" s="171"/>
      <c r="FL1926" s="171"/>
      <c r="FM1926" s="171"/>
      <c r="FN1926" s="171"/>
      <c r="FO1926" s="171"/>
      <c r="FP1926" s="171"/>
      <c r="FQ1926" s="171"/>
      <c r="FR1926" s="171"/>
      <c r="FS1926" s="171"/>
      <c r="FT1926" s="171"/>
      <c r="FU1926" s="171"/>
      <c r="FV1926" s="171"/>
      <c r="FW1926" s="171"/>
      <c r="FX1926" s="171"/>
      <c r="FY1926" s="171"/>
      <c r="FZ1926" s="171"/>
      <c r="GA1926" s="171"/>
      <c r="GB1926" s="171"/>
      <c r="GC1926" s="171"/>
      <c r="GD1926" s="171"/>
      <c r="GE1926" s="171"/>
      <c r="GF1926" s="171"/>
      <c r="GG1926" s="171"/>
      <c r="GH1926" s="171"/>
      <c r="GI1926" s="171"/>
      <c r="GJ1926" s="171"/>
      <c r="GK1926" s="171"/>
      <c r="GL1926" s="171"/>
      <c r="GM1926" s="171"/>
      <c r="GN1926" s="171"/>
      <c r="GO1926" s="171"/>
      <c r="GP1926" s="171"/>
      <c r="GQ1926" s="171"/>
      <c r="GR1926" s="171"/>
      <c r="GS1926" s="171"/>
      <c r="GT1926" s="171"/>
      <c r="GU1926" s="171"/>
      <c r="GV1926" s="171"/>
      <c r="GW1926" s="171"/>
      <c r="GX1926" s="171"/>
      <c r="GY1926" s="171"/>
      <c r="GZ1926" s="171"/>
      <c r="HA1926" s="171"/>
      <c r="HB1926" s="171"/>
      <c r="HC1926" s="171"/>
      <c r="HD1926" s="171"/>
      <c r="HE1926" s="171"/>
      <c r="HF1926" s="171"/>
      <c r="HG1926" s="171"/>
      <c r="HH1926" s="171"/>
      <c r="HI1926" s="171"/>
      <c r="HJ1926" s="171"/>
      <c r="HK1926" s="171"/>
      <c r="HL1926" s="171"/>
      <c r="HM1926" s="171"/>
      <c r="HN1926" s="171"/>
      <c r="HO1926" s="171"/>
      <c r="HP1926" s="171"/>
      <c r="HQ1926" s="171"/>
      <c r="HR1926" s="171"/>
      <c r="HS1926" s="171"/>
      <c r="HT1926" s="171"/>
      <c r="HU1926" s="171"/>
      <c r="HV1926" s="171"/>
      <c r="HW1926" s="171"/>
      <c r="HX1926" s="171"/>
      <c r="HY1926" s="171"/>
      <c r="HZ1926" s="171"/>
      <c r="IA1926" s="171"/>
      <c r="IB1926" s="171"/>
      <c r="IC1926" s="171"/>
      <c r="ID1926" s="171"/>
      <c r="IE1926" s="171"/>
      <c r="IF1926" s="171"/>
      <c r="IG1926" s="171"/>
      <c r="IH1926" s="171"/>
      <c r="II1926" s="171"/>
      <c r="IJ1926" s="171"/>
      <c r="IK1926" s="171"/>
      <c r="IL1926" s="171"/>
      <c r="IM1926" s="171"/>
      <c r="IN1926" s="171"/>
      <c r="IO1926" s="171"/>
      <c r="IP1926" s="171"/>
      <c r="IQ1926" s="171"/>
    </row>
    <row r="1927" spans="1:251" ht="14.25" customHeight="1">
      <c r="A1927" s="212"/>
      <c r="B1927" s="495" t="s">
        <v>1999</v>
      </c>
      <c r="C1927" s="496" t="s">
        <v>2000</v>
      </c>
      <c r="D1927" s="497" t="s">
        <v>2001</v>
      </c>
      <c r="E1927" s="360">
        <f>'[5]COSTO CDMX,QRO,GDL '!I1921</f>
        <v>30328.998968008254</v>
      </c>
      <c r="F1927" s="217" t="s">
        <v>284</v>
      </c>
      <c r="BI1927" s="171"/>
      <c r="BJ1927" s="171"/>
      <c r="BK1927" s="171"/>
      <c r="BL1927" s="171"/>
      <c r="BM1927" s="171"/>
      <c r="BN1927" s="171"/>
      <c r="BO1927" s="171"/>
      <c r="BP1927" s="171"/>
      <c r="BQ1927" s="171"/>
      <c r="BR1927" s="171"/>
      <c r="BS1927" s="171"/>
      <c r="BT1927" s="171"/>
      <c r="BU1927" s="171"/>
      <c r="BV1927" s="171"/>
      <c r="BW1927" s="171"/>
      <c r="BX1927" s="171"/>
      <c r="BY1927" s="171"/>
      <c r="BZ1927" s="171"/>
      <c r="CA1927" s="171"/>
      <c r="CB1927" s="171"/>
      <c r="CC1927" s="171"/>
      <c r="CD1927" s="171"/>
      <c r="CE1927" s="171"/>
      <c r="CF1927" s="171"/>
      <c r="CG1927" s="171"/>
      <c r="CH1927" s="171"/>
      <c r="CI1927" s="171"/>
      <c r="CJ1927" s="171"/>
      <c r="CK1927" s="171"/>
      <c r="CL1927" s="171"/>
      <c r="CM1927" s="171"/>
      <c r="CN1927" s="171"/>
      <c r="CO1927" s="171"/>
      <c r="CP1927" s="171"/>
      <c r="CQ1927" s="171"/>
      <c r="CR1927" s="171"/>
      <c r="CS1927" s="171"/>
      <c r="CT1927" s="171"/>
      <c r="CU1927" s="171"/>
      <c r="CV1927" s="171"/>
      <c r="CW1927" s="171"/>
      <c r="CX1927" s="171"/>
      <c r="CY1927" s="171"/>
      <c r="CZ1927" s="171"/>
      <c r="DA1927" s="171"/>
      <c r="DB1927" s="171"/>
      <c r="DC1927" s="171"/>
      <c r="DD1927" s="171"/>
      <c r="DE1927" s="171"/>
      <c r="DF1927" s="171"/>
      <c r="DG1927" s="171"/>
      <c r="DH1927" s="171"/>
      <c r="DI1927" s="171"/>
      <c r="DJ1927" s="171"/>
      <c r="DK1927" s="171"/>
      <c r="DL1927" s="171"/>
      <c r="DM1927" s="171"/>
      <c r="DN1927" s="171"/>
      <c r="DO1927" s="171"/>
      <c r="DP1927" s="171"/>
      <c r="DQ1927" s="171"/>
      <c r="DR1927" s="171"/>
      <c r="DS1927" s="171"/>
      <c r="DT1927" s="171"/>
      <c r="DU1927" s="171"/>
      <c r="DV1927" s="171"/>
      <c r="DW1927" s="171"/>
      <c r="DX1927" s="171"/>
      <c r="DY1927" s="171"/>
      <c r="DZ1927" s="171"/>
      <c r="EA1927" s="171"/>
      <c r="EB1927" s="171"/>
      <c r="EC1927" s="171"/>
      <c r="ED1927" s="171"/>
      <c r="EE1927" s="171"/>
      <c r="EF1927" s="171"/>
      <c r="EG1927" s="171"/>
      <c r="EH1927" s="171"/>
      <c r="EI1927" s="171"/>
      <c r="EJ1927" s="171"/>
      <c r="EK1927" s="171"/>
      <c r="EL1927" s="171"/>
      <c r="EM1927" s="171"/>
      <c r="EN1927" s="171"/>
      <c r="EO1927" s="171"/>
      <c r="EP1927" s="171"/>
      <c r="EQ1927" s="171"/>
      <c r="ER1927" s="171"/>
      <c r="ES1927" s="171"/>
      <c r="ET1927" s="171"/>
      <c r="EU1927" s="171"/>
      <c r="EV1927" s="171"/>
      <c r="EW1927" s="171"/>
      <c r="EX1927" s="171"/>
      <c r="EY1927" s="171"/>
      <c r="EZ1927" s="171"/>
      <c r="FA1927" s="171"/>
      <c r="FB1927" s="171"/>
      <c r="FC1927" s="171"/>
      <c r="FD1927" s="171"/>
      <c r="FE1927" s="171"/>
      <c r="FF1927" s="171"/>
      <c r="FG1927" s="171"/>
      <c r="FH1927" s="171"/>
      <c r="FI1927" s="171"/>
      <c r="FJ1927" s="171"/>
      <c r="FK1927" s="171"/>
      <c r="FL1927" s="171"/>
      <c r="FM1927" s="171"/>
      <c r="FN1927" s="171"/>
      <c r="FO1927" s="171"/>
      <c r="FP1927" s="171"/>
      <c r="FQ1927" s="171"/>
      <c r="FR1927" s="171"/>
      <c r="FS1927" s="171"/>
      <c r="FT1927" s="171"/>
      <c r="FU1927" s="171"/>
      <c r="FV1927" s="171"/>
      <c r="FW1927" s="171"/>
      <c r="FX1927" s="171"/>
      <c r="FY1927" s="171"/>
      <c r="FZ1927" s="171"/>
      <c r="GA1927" s="171"/>
      <c r="GB1927" s="171"/>
      <c r="GC1927" s="171"/>
      <c r="GD1927" s="171"/>
      <c r="GE1927" s="171"/>
      <c r="GF1927" s="171"/>
      <c r="GG1927" s="171"/>
      <c r="GH1927" s="171"/>
      <c r="GI1927" s="171"/>
      <c r="GJ1927" s="171"/>
      <c r="GK1927" s="171"/>
      <c r="GL1927" s="171"/>
      <c r="GM1927" s="171"/>
      <c r="GN1927" s="171"/>
      <c r="GO1927" s="171"/>
      <c r="GP1927" s="171"/>
      <c r="GQ1927" s="171"/>
      <c r="GR1927" s="171"/>
      <c r="GS1927" s="171"/>
      <c r="GT1927" s="171"/>
      <c r="GU1927" s="171"/>
      <c r="GV1927" s="171"/>
      <c r="GW1927" s="171"/>
      <c r="GX1927" s="171"/>
      <c r="GY1927" s="171"/>
      <c r="GZ1927" s="171"/>
      <c r="HA1927" s="171"/>
      <c r="HB1927" s="171"/>
      <c r="HC1927" s="171"/>
      <c r="HD1927" s="171"/>
      <c r="HE1927" s="171"/>
      <c r="HF1927" s="171"/>
      <c r="HG1927" s="171"/>
      <c r="HH1927" s="171"/>
      <c r="HI1927" s="171"/>
      <c r="HJ1927" s="171"/>
      <c r="HK1927" s="171"/>
      <c r="HL1927" s="171"/>
      <c r="HM1927" s="171"/>
      <c r="HN1927" s="171"/>
      <c r="HO1927" s="171"/>
      <c r="HP1927" s="171"/>
      <c r="HQ1927" s="171"/>
      <c r="HR1927" s="171"/>
      <c r="HS1927" s="171"/>
      <c r="HT1927" s="171"/>
      <c r="HU1927" s="171"/>
      <c r="HV1927" s="171"/>
      <c r="HW1927" s="171"/>
      <c r="HX1927" s="171"/>
      <c r="HY1927" s="171"/>
      <c r="HZ1927" s="171"/>
      <c r="IA1927" s="171"/>
      <c r="IB1927" s="171"/>
      <c r="IC1927" s="171"/>
      <c r="ID1927" s="171"/>
      <c r="IE1927" s="171"/>
      <c r="IF1927" s="171"/>
      <c r="IG1927" s="171"/>
      <c r="IH1927" s="171"/>
      <c r="II1927" s="171"/>
      <c r="IJ1927" s="171"/>
      <c r="IK1927" s="171"/>
      <c r="IL1927" s="171"/>
      <c r="IM1927" s="171"/>
      <c r="IN1927" s="171"/>
      <c r="IO1927" s="171"/>
      <c r="IP1927" s="171"/>
      <c r="IQ1927" s="171"/>
    </row>
    <row r="1928" spans="1:251" ht="14.25" customHeight="1">
      <c r="A1928" s="212"/>
      <c r="B1928" s="498"/>
      <c r="C1928" s="496" t="s">
        <v>1993</v>
      </c>
      <c r="D1928" s="497"/>
      <c r="E1928" s="360"/>
      <c r="F1928" s="296"/>
      <c r="BI1928" s="171"/>
      <c r="BJ1928" s="171"/>
      <c r="BK1928" s="171"/>
      <c r="BL1928" s="171"/>
      <c r="BM1928" s="171"/>
      <c r="BN1928" s="171"/>
      <c r="BO1928" s="171"/>
      <c r="BP1928" s="171"/>
      <c r="BQ1928" s="171"/>
      <c r="BR1928" s="171"/>
      <c r="BS1928" s="171"/>
      <c r="BT1928" s="171"/>
      <c r="BU1928" s="171"/>
      <c r="BV1928" s="171"/>
      <c r="BW1928" s="171"/>
      <c r="BX1928" s="171"/>
      <c r="BY1928" s="171"/>
      <c r="BZ1928" s="171"/>
      <c r="CA1928" s="171"/>
      <c r="CB1928" s="171"/>
      <c r="CC1928" s="171"/>
      <c r="CD1928" s="171"/>
      <c r="CE1928" s="171"/>
      <c r="CF1928" s="171"/>
      <c r="CG1928" s="171"/>
      <c r="CH1928" s="171"/>
      <c r="CI1928" s="171"/>
      <c r="CJ1928" s="171"/>
      <c r="CK1928" s="171"/>
      <c r="CL1928" s="171"/>
      <c r="CM1928" s="171"/>
      <c r="CN1928" s="171"/>
      <c r="CO1928" s="171"/>
      <c r="CP1928" s="171"/>
      <c r="CQ1928" s="171"/>
      <c r="CR1928" s="171"/>
      <c r="CS1928" s="171"/>
      <c r="CT1928" s="171"/>
      <c r="CU1928" s="171"/>
      <c r="CV1928" s="171"/>
      <c r="CW1928" s="171"/>
      <c r="CX1928" s="171"/>
      <c r="CY1928" s="171"/>
      <c r="CZ1928" s="171"/>
      <c r="DA1928" s="171"/>
      <c r="DB1928" s="171"/>
      <c r="DC1928" s="171"/>
      <c r="DD1928" s="171"/>
      <c r="DE1928" s="171"/>
      <c r="DF1928" s="171"/>
      <c r="DG1928" s="171"/>
      <c r="DH1928" s="171"/>
      <c r="DI1928" s="171"/>
      <c r="DJ1928" s="171"/>
      <c r="DK1928" s="171"/>
      <c r="DL1928" s="171"/>
      <c r="DM1928" s="171"/>
      <c r="DN1928" s="171"/>
      <c r="DO1928" s="171"/>
      <c r="DP1928" s="171"/>
      <c r="DQ1928" s="171"/>
      <c r="DR1928" s="171"/>
      <c r="DS1928" s="171"/>
      <c r="DT1928" s="171"/>
      <c r="DU1928" s="171"/>
      <c r="DV1928" s="171"/>
      <c r="DW1928" s="171"/>
      <c r="DX1928" s="171"/>
      <c r="DY1928" s="171"/>
      <c r="DZ1928" s="171"/>
      <c r="EA1928" s="171"/>
      <c r="EB1928" s="171"/>
      <c r="EC1928" s="171"/>
      <c r="ED1928" s="171"/>
      <c r="EE1928" s="171"/>
      <c r="EF1928" s="171"/>
      <c r="EG1928" s="171"/>
      <c r="EH1928" s="171"/>
      <c r="EI1928" s="171"/>
      <c r="EJ1928" s="171"/>
      <c r="EK1928" s="171"/>
      <c r="EL1928" s="171"/>
      <c r="EM1928" s="171"/>
      <c r="EN1928" s="171"/>
      <c r="EO1928" s="171"/>
      <c r="EP1928" s="171"/>
      <c r="EQ1928" s="171"/>
      <c r="ER1928" s="171"/>
      <c r="ES1928" s="171"/>
      <c r="ET1928" s="171"/>
      <c r="EU1928" s="171"/>
      <c r="EV1928" s="171"/>
      <c r="EW1928" s="171"/>
      <c r="EX1928" s="171"/>
      <c r="EY1928" s="171"/>
      <c r="EZ1928" s="171"/>
      <c r="FA1928" s="171"/>
      <c r="FB1928" s="171"/>
      <c r="FC1928" s="171"/>
      <c r="FD1928" s="171"/>
      <c r="FE1928" s="171"/>
      <c r="FF1928" s="171"/>
      <c r="FG1928" s="171"/>
      <c r="FH1928" s="171"/>
      <c r="FI1928" s="171"/>
      <c r="FJ1928" s="171"/>
      <c r="FK1928" s="171"/>
      <c r="FL1928" s="171"/>
      <c r="FM1928" s="171"/>
      <c r="FN1928" s="171"/>
      <c r="FO1928" s="171"/>
      <c r="FP1928" s="171"/>
      <c r="FQ1928" s="171"/>
      <c r="FR1928" s="171"/>
      <c r="FS1928" s="171"/>
      <c r="FT1928" s="171"/>
      <c r="FU1928" s="171"/>
      <c r="FV1928" s="171"/>
      <c r="FW1928" s="171"/>
      <c r="FX1928" s="171"/>
      <c r="FY1928" s="171"/>
      <c r="FZ1928" s="171"/>
      <c r="GA1928" s="171"/>
      <c r="GB1928" s="171"/>
      <c r="GC1928" s="171"/>
      <c r="GD1928" s="171"/>
      <c r="GE1928" s="171"/>
      <c r="GF1928" s="171"/>
      <c r="GG1928" s="171"/>
      <c r="GH1928" s="171"/>
      <c r="GI1928" s="171"/>
      <c r="GJ1928" s="171"/>
      <c r="GK1928" s="171"/>
      <c r="GL1928" s="171"/>
      <c r="GM1928" s="171"/>
      <c r="GN1928" s="171"/>
      <c r="GO1928" s="171"/>
      <c r="GP1928" s="171"/>
      <c r="GQ1928" s="171"/>
      <c r="GR1928" s="171"/>
      <c r="GS1928" s="171"/>
      <c r="GT1928" s="171"/>
      <c r="GU1928" s="171"/>
      <c r="GV1928" s="171"/>
      <c r="GW1928" s="171"/>
      <c r="GX1928" s="171"/>
      <c r="GY1928" s="171"/>
      <c r="GZ1928" s="171"/>
      <c r="HA1928" s="171"/>
      <c r="HB1928" s="171"/>
      <c r="HC1928" s="171"/>
      <c r="HD1928" s="171"/>
      <c r="HE1928" s="171"/>
      <c r="HF1928" s="171"/>
      <c r="HG1928" s="171"/>
      <c r="HH1928" s="171"/>
      <c r="HI1928" s="171"/>
      <c r="HJ1928" s="171"/>
      <c r="HK1928" s="171"/>
      <c r="HL1928" s="171"/>
      <c r="HM1928" s="171"/>
      <c r="HN1928" s="171"/>
      <c r="HO1928" s="171"/>
      <c r="HP1928" s="171"/>
      <c r="HQ1928" s="171"/>
      <c r="HR1928" s="171"/>
      <c r="HS1928" s="171"/>
      <c r="HT1928" s="171"/>
      <c r="HU1928" s="171"/>
      <c r="HV1928" s="171"/>
      <c r="HW1928" s="171"/>
      <c r="HX1928" s="171"/>
      <c r="HY1928" s="171"/>
      <c r="HZ1928" s="171"/>
      <c r="IA1928" s="171"/>
      <c r="IB1928" s="171"/>
      <c r="IC1928" s="171"/>
      <c r="ID1928" s="171"/>
      <c r="IE1928" s="171"/>
      <c r="IF1928" s="171"/>
      <c r="IG1928" s="171"/>
      <c r="IH1928" s="171"/>
      <c r="II1928" s="171"/>
      <c r="IJ1928" s="171"/>
      <c r="IK1928" s="171"/>
      <c r="IL1928" s="171"/>
      <c r="IM1928" s="171"/>
      <c r="IN1928" s="171"/>
      <c r="IO1928" s="171"/>
      <c r="IP1928" s="171"/>
      <c r="IQ1928" s="171"/>
    </row>
    <row r="1929" spans="1:251" ht="14.25" customHeight="1">
      <c r="A1929" s="212"/>
      <c r="B1929" s="498"/>
      <c r="C1929" s="496" t="s">
        <v>1994</v>
      </c>
      <c r="D1929" s="497"/>
      <c r="E1929" s="360"/>
      <c r="F1929" s="296"/>
      <c r="BI1929" s="171"/>
      <c r="BJ1929" s="171"/>
      <c r="BK1929" s="171"/>
      <c r="BL1929" s="171"/>
      <c r="BM1929" s="171"/>
      <c r="BN1929" s="171"/>
      <c r="BO1929" s="171"/>
      <c r="BP1929" s="171"/>
      <c r="BQ1929" s="171"/>
      <c r="BR1929" s="171"/>
      <c r="BS1929" s="171"/>
      <c r="BT1929" s="171"/>
      <c r="BU1929" s="171"/>
      <c r="BV1929" s="171"/>
      <c r="BW1929" s="171"/>
      <c r="BX1929" s="171"/>
      <c r="BY1929" s="171"/>
      <c r="BZ1929" s="171"/>
      <c r="CA1929" s="171"/>
      <c r="CB1929" s="171"/>
      <c r="CC1929" s="171"/>
      <c r="CD1929" s="171"/>
      <c r="CE1929" s="171"/>
      <c r="CF1929" s="171"/>
      <c r="CG1929" s="171"/>
      <c r="CH1929" s="171"/>
      <c r="CI1929" s="171"/>
      <c r="CJ1929" s="171"/>
      <c r="CK1929" s="171"/>
      <c r="CL1929" s="171"/>
      <c r="CM1929" s="171"/>
      <c r="CN1929" s="171"/>
      <c r="CO1929" s="171"/>
      <c r="CP1929" s="171"/>
      <c r="CQ1929" s="171"/>
      <c r="CR1929" s="171"/>
      <c r="CS1929" s="171"/>
      <c r="CT1929" s="171"/>
      <c r="CU1929" s="171"/>
      <c r="CV1929" s="171"/>
      <c r="CW1929" s="171"/>
      <c r="CX1929" s="171"/>
      <c r="CY1929" s="171"/>
      <c r="CZ1929" s="171"/>
      <c r="DA1929" s="171"/>
      <c r="DB1929" s="171"/>
      <c r="DC1929" s="171"/>
      <c r="DD1929" s="171"/>
      <c r="DE1929" s="171"/>
      <c r="DF1929" s="171"/>
      <c r="DG1929" s="171"/>
      <c r="DH1929" s="171"/>
      <c r="DI1929" s="171"/>
      <c r="DJ1929" s="171"/>
      <c r="DK1929" s="171"/>
      <c r="DL1929" s="171"/>
      <c r="DM1929" s="171"/>
      <c r="DN1929" s="171"/>
      <c r="DO1929" s="171"/>
      <c r="DP1929" s="171"/>
      <c r="DQ1929" s="171"/>
      <c r="DR1929" s="171"/>
      <c r="DS1929" s="171"/>
      <c r="DT1929" s="171"/>
      <c r="DU1929" s="171"/>
      <c r="DV1929" s="171"/>
      <c r="DW1929" s="171"/>
      <c r="DX1929" s="171"/>
      <c r="DY1929" s="171"/>
      <c r="DZ1929" s="171"/>
      <c r="EA1929" s="171"/>
      <c r="EB1929" s="171"/>
      <c r="EC1929" s="171"/>
      <c r="ED1929" s="171"/>
      <c r="EE1929" s="171"/>
      <c r="EF1929" s="171"/>
      <c r="EG1929" s="171"/>
      <c r="EH1929" s="171"/>
      <c r="EI1929" s="171"/>
      <c r="EJ1929" s="171"/>
      <c r="EK1929" s="171"/>
      <c r="EL1929" s="171"/>
      <c r="EM1929" s="171"/>
      <c r="EN1929" s="171"/>
      <c r="EO1929" s="171"/>
      <c r="EP1929" s="171"/>
      <c r="EQ1929" s="171"/>
      <c r="ER1929" s="171"/>
      <c r="ES1929" s="171"/>
      <c r="ET1929" s="171"/>
      <c r="EU1929" s="171"/>
      <c r="EV1929" s="171"/>
      <c r="EW1929" s="171"/>
      <c r="EX1929" s="171"/>
      <c r="EY1929" s="171"/>
      <c r="EZ1929" s="171"/>
      <c r="FA1929" s="171"/>
      <c r="FB1929" s="171"/>
      <c r="FC1929" s="171"/>
      <c r="FD1929" s="171"/>
      <c r="FE1929" s="171"/>
      <c r="FF1929" s="171"/>
      <c r="FG1929" s="171"/>
      <c r="FH1929" s="171"/>
      <c r="FI1929" s="171"/>
      <c r="FJ1929" s="171"/>
      <c r="FK1929" s="171"/>
      <c r="FL1929" s="171"/>
      <c r="FM1929" s="171"/>
      <c r="FN1929" s="171"/>
      <c r="FO1929" s="171"/>
      <c r="FP1929" s="171"/>
      <c r="FQ1929" s="171"/>
      <c r="FR1929" s="171"/>
      <c r="FS1929" s="171"/>
      <c r="FT1929" s="171"/>
      <c r="FU1929" s="171"/>
      <c r="FV1929" s="171"/>
      <c r="FW1929" s="171"/>
      <c r="FX1929" s="171"/>
      <c r="FY1929" s="171"/>
      <c r="FZ1929" s="171"/>
      <c r="GA1929" s="171"/>
      <c r="GB1929" s="171"/>
      <c r="GC1929" s="171"/>
      <c r="GD1929" s="171"/>
      <c r="GE1929" s="171"/>
      <c r="GF1929" s="171"/>
      <c r="GG1929" s="171"/>
      <c r="GH1929" s="171"/>
      <c r="GI1929" s="171"/>
      <c r="GJ1929" s="171"/>
      <c r="GK1929" s="171"/>
      <c r="GL1929" s="171"/>
      <c r="GM1929" s="171"/>
      <c r="GN1929" s="171"/>
      <c r="GO1929" s="171"/>
      <c r="GP1929" s="171"/>
      <c r="GQ1929" s="171"/>
      <c r="GR1929" s="171"/>
      <c r="GS1929" s="171"/>
      <c r="GT1929" s="171"/>
      <c r="GU1929" s="171"/>
      <c r="GV1929" s="171"/>
      <c r="GW1929" s="171"/>
      <c r="GX1929" s="171"/>
      <c r="GY1929" s="171"/>
      <c r="GZ1929" s="171"/>
      <c r="HA1929" s="171"/>
      <c r="HB1929" s="171"/>
      <c r="HC1929" s="171"/>
      <c r="HD1929" s="171"/>
      <c r="HE1929" s="171"/>
      <c r="HF1929" s="171"/>
      <c r="HG1929" s="171"/>
      <c r="HH1929" s="171"/>
      <c r="HI1929" s="171"/>
      <c r="HJ1929" s="171"/>
      <c r="HK1929" s="171"/>
      <c r="HL1929" s="171"/>
      <c r="HM1929" s="171"/>
      <c r="HN1929" s="171"/>
      <c r="HO1929" s="171"/>
      <c r="HP1929" s="171"/>
      <c r="HQ1929" s="171"/>
      <c r="HR1929" s="171"/>
      <c r="HS1929" s="171"/>
      <c r="HT1929" s="171"/>
      <c r="HU1929" s="171"/>
      <c r="HV1929" s="171"/>
      <c r="HW1929" s="171"/>
      <c r="HX1929" s="171"/>
      <c r="HY1929" s="171"/>
      <c r="HZ1929" s="171"/>
      <c r="IA1929" s="171"/>
      <c r="IB1929" s="171"/>
      <c r="IC1929" s="171"/>
      <c r="ID1929" s="171"/>
      <c r="IE1929" s="171"/>
      <c r="IF1929" s="171"/>
      <c r="IG1929" s="171"/>
      <c r="IH1929" s="171"/>
      <c r="II1929" s="171"/>
      <c r="IJ1929" s="171"/>
      <c r="IK1929" s="171"/>
      <c r="IL1929" s="171"/>
      <c r="IM1929" s="171"/>
      <c r="IN1929" s="171"/>
      <c r="IO1929" s="171"/>
      <c r="IP1929" s="171"/>
      <c r="IQ1929" s="171"/>
    </row>
    <row r="1930" spans="1:251" ht="14.25" customHeight="1">
      <c r="A1930" s="212"/>
      <c r="B1930" s="498"/>
      <c r="C1930" s="496" t="s">
        <v>1995</v>
      </c>
      <c r="D1930" s="497"/>
      <c r="E1930" s="360"/>
      <c r="F1930" s="500"/>
      <c r="BI1930" s="171"/>
      <c r="BJ1930" s="171"/>
      <c r="BK1930" s="171"/>
      <c r="BL1930" s="171"/>
      <c r="BM1930" s="171"/>
      <c r="BN1930" s="171"/>
      <c r="BO1930" s="171"/>
      <c r="BP1930" s="171"/>
      <c r="BQ1930" s="171"/>
      <c r="BR1930" s="171"/>
      <c r="BS1930" s="171"/>
      <c r="BT1930" s="171"/>
      <c r="BU1930" s="171"/>
      <c r="BV1930" s="171"/>
      <c r="BW1930" s="171"/>
      <c r="BX1930" s="171"/>
      <c r="BY1930" s="171"/>
      <c r="BZ1930" s="171"/>
      <c r="CA1930" s="171"/>
      <c r="CB1930" s="171"/>
      <c r="CC1930" s="171"/>
      <c r="CD1930" s="171"/>
      <c r="CE1930" s="171"/>
      <c r="CF1930" s="171"/>
      <c r="CG1930" s="171"/>
      <c r="CH1930" s="171"/>
      <c r="CI1930" s="171"/>
      <c r="CJ1930" s="171"/>
      <c r="CK1930" s="171"/>
      <c r="CL1930" s="171"/>
      <c r="CM1930" s="171"/>
      <c r="CN1930" s="171"/>
      <c r="CO1930" s="171"/>
      <c r="CP1930" s="171"/>
      <c r="CQ1930" s="171"/>
      <c r="CR1930" s="171"/>
      <c r="CS1930" s="171"/>
      <c r="CT1930" s="171"/>
      <c r="CU1930" s="171"/>
      <c r="CV1930" s="171"/>
      <c r="CW1930" s="171"/>
      <c r="CX1930" s="171"/>
      <c r="CY1930" s="171"/>
      <c r="CZ1930" s="171"/>
      <c r="DA1930" s="171"/>
      <c r="DB1930" s="171"/>
      <c r="DC1930" s="171"/>
      <c r="DD1930" s="171"/>
      <c r="DE1930" s="171"/>
      <c r="DF1930" s="171"/>
      <c r="DG1930" s="171"/>
      <c r="DH1930" s="171"/>
      <c r="DI1930" s="171"/>
      <c r="DJ1930" s="171"/>
      <c r="DK1930" s="171"/>
      <c r="DL1930" s="171"/>
      <c r="DM1930" s="171"/>
      <c r="DN1930" s="171"/>
      <c r="DO1930" s="171"/>
      <c r="DP1930" s="171"/>
      <c r="DQ1930" s="171"/>
      <c r="DR1930" s="171"/>
      <c r="DS1930" s="171"/>
      <c r="DT1930" s="171"/>
      <c r="DU1930" s="171"/>
      <c r="DV1930" s="171"/>
      <c r="DW1930" s="171"/>
      <c r="DX1930" s="171"/>
      <c r="DY1930" s="171"/>
      <c r="DZ1930" s="171"/>
      <c r="EA1930" s="171"/>
      <c r="EB1930" s="171"/>
      <c r="EC1930" s="171"/>
      <c r="ED1930" s="171"/>
      <c r="EE1930" s="171"/>
      <c r="EF1930" s="171"/>
      <c r="EG1930" s="171"/>
      <c r="EH1930" s="171"/>
      <c r="EI1930" s="171"/>
      <c r="EJ1930" s="171"/>
      <c r="EK1930" s="171"/>
      <c r="EL1930" s="171"/>
      <c r="EM1930" s="171"/>
      <c r="EN1930" s="171"/>
      <c r="EO1930" s="171"/>
      <c r="EP1930" s="171"/>
      <c r="EQ1930" s="171"/>
      <c r="ER1930" s="171"/>
      <c r="ES1930" s="171"/>
      <c r="ET1930" s="171"/>
      <c r="EU1930" s="171"/>
      <c r="EV1930" s="171"/>
      <c r="EW1930" s="171"/>
      <c r="EX1930" s="171"/>
      <c r="EY1930" s="171"/>
      <c r="EZ1930" s="171"/>
      <c r="FA1930" s="171"/>
      <c r="FB1930" s="171"/>
      <c r="FC1930" s="171"/>
      <c r="FD1930" s="171"/>
      <c r="FE1930" s="171"/>
      <c r="FF1930" s="171"/>
      <c r="FG1930" s="171"/>
      <c r="FH1930" s="171"/>
      <c r="FI1930" s="171"/>
      <c r="FJ1930" s="171"/>
      <c r="FK1930" s="171"/>
      <c r="FL1930" s="171"/>
      <c r="FM1930" s="171"/>
      <c r="FN1930" s="171"/>
      <c r="FO1930" s="171"/>
      <c r="FP1930" s="171"/>
      <c r="FQ1930" s="171"/>
      <c r="FR1930" s="171"/>
      <c r="FS1930" s="171"/>
      <c r="FT1930" s="171"/>
      <c r="FU1930" s="171"/>
      <c r="FV1930" s="171"/>
      <c r="FW1930" s="171"/>
      <c r="FX1930" s="171"/>
      <c r="FY1930" s="171"/>
      <c r="FZ1930" s="171"/>
      <c r="GA1930" s="171"/>
      <c r="GB1930" s="171"/>
      <c r="GC1930" s="171"/>
      <c r="GD1930" s="171"/>
      <c r="GE1930" s="171"/>
      <c r="GF1930" s="171"/>
      <c r="GG1930" s="171"/>
      <c r="GH1930" s="171"/>
      <c r="GI1930" s="171"/>
      <c r="GJ1930" s="171"/>
      <c r="GK1930" s="171"/>
      <c r="GL1930" s="171"/>
      <c r="GM1930" s="171"/>
      <c r="GN1930" s="171"/>
      <c r="GO1930" s="171"/>
      <c r="GP1930" s="171"/>
      <c r="GQ1930" s="171"/>
      <c r="GR1930" s="171"/>
      <c r="GS1930" s="171"/>
      <c r="GT1930" s="171"/>
      <c r="GU1930" s="171"/>
      <c r="GV1930" s="171"/>
      <c r="GW1930" s="171"/>
      <c r="GX1930" s="171"/>
      <c r="GY1930" s="171"/>
      <c r="GZ1930" s="171"/>
      <c r="HA1930" s="171"/>
      <c r="HB1930" s="171"/>
      <c r="HC1930" s="171"/>
      <c r="HD1930" s="171"/>
      <c r="HE1930" s="171"/>
      <c r="HF1930" s="171"/>
      <c r="HG1930" s="171"/>
      <c r="HH1930" s="171"/>
      <c r="HI1930" s="171"/>
      <c r="HJ1930" s="171"/>
      <c r="HK1930" s="171"/>
      <c r="HL1930" s="171"/>
      <c r="HM1930" s="171"/>
      <c r="HN1930" s="171"/>
      <c r="HO1930" s="171"/>
      <c r="HP1930" s="171"/>
      <c r="HQ1930" s="171"/>
      <c r="HR1930" s="171"/>
      <c r="HS1930" s="171"/>
      <c r="HT1930" s="171"/>
      <c r="HU1930" s="171"/>
      <c r="HV1930" s="171"/>
      <c r="HW1930" s="171"/>
      <c r="HX1930" s="171"/>
      <c r="HY1930" s="171"/>
      <c r="HZ1930" s="171"/>
      <c r="IA1930" s="171"/>
      <c r="IB1930" s="171"/>
      <c r="IC1930" s="171"/>
      <c r="ID1930" s="171"/>
      <c r="IE1930" s="171"/>
      <c r="IF1930" s="171"/>
      <c r="IG1930" s="171"/>
      <c r="IH1930" s="171"/>
      <c r="II1930" s="171"/>
      <c r="IJ1930" s="171"/>
      <c r="IK1930" s="171"/>
      <c r="IL1930" s="171"/>
      <c r="IM1930" s="171"/>
      <c r="IN1930" s="171"/>
      <c r="IO1930" s="171"/>
      <c r="IP1930" s="171"/>
      <c r="IQ1930" s="171"/>
    </row>
    <row r="1931" spans="1:251" ht="14.25" customHeight="1">
      <c r="A1931" s="212"/>
      <c r="B1931" s="221"/>
      <c r="C1931" s="295"/>
      <c r="D1931" s="226"/>
      <c r="E1931" s="360"/>
      <c r="F1931" s="296"/>
      <c r="BI1931" s="171"/>
      <c r="BJ1931" s="171"/>
      <c r="BK1931" s="171"/>
      <c r="BL1931" s="171"/>
      <c r="BM1931" s="171"/>
      <c r="BN1931" s="171"/>
      <c r="BO1931" s="171"/>
      <c r="BP1931" s="171"/>
      <c r="BQ1931" s="171"/>
      <c r="BR1931" s="171"/>
      <c r="BS1931" s="171"/>
      <c r="BT1931" s="171"/>
      <c r="BU1931" s="171"/>
      <c r="BV1931" s="171"/>
      <c r="BW1931" s="171"/>
      <c r="BX1931" s="171"/>
      <c r="BY1931" s="171"/>
      <c r="BZ1931" s="171"/>
      <c r="CA1931" s="171"/>
      <c r="CB1931" s="171"/>
      <c r="CC1931" s="171"/>
      <c r="CD1931" s="171"/>
      <c r="CE1931" s="171"/>
      <c r="CF1931" s="171"/>
      <c r="CG1931" s="171"/>
      <c r="CH1931" s="171"/>
      <c r="CI1931" s="171"/>
      <c r="CJ1931" s="171"/>
      <c r="CK1931" s="171"/>
      <c r="CL1931" s="171"/>
      <c r="CM1931" s="171"/>
      <c r="CN1931" s="171"/>
      <c r="CO1931" s="171"/>
      <c r="CP1931" s="171"/>
      <c r="CQ1931" s="171"/>
      <c r="CR1931" s="171"/>
      <c r="CS1931" s="171"/>
      <c r="CT1931" s="171"/>
      <c r="CU1931" s="171"/>
      <c r="CV1931" s="171"/>
      <c r="CW1931" s="171"/>
      <c r="CX1931" s="171"/>
      <c r="CY1931" s="171"/>
      <c r="CZ1931" s="171"/>
      <c r="DA1931" s="171"/>
      <c r="DB1931" s="171"/>
      <c r="DC1931" s="171"/>
      <c r="DD1931" s="171"/>
      <c r="DE1931" s="171"/>
      <c r="DF1931" s="171"/>
      <c r="DG1931" s="171"/>
      <c r="DH1931" s="171"/>
      <c r="DI1931" s="171"/>
      <c r="DJ1931" s="171"/>
      <c r="DK1931" s="171"/>
      <c r="DL1931" s="171"/>
      <c r="DM1931" s="171"/>
      <c r="DN1931" s="171"/>
      <c r="DO1931" s="171"/>
      <c r="DP1931" s="171"/>
      <c r="DQ1931" s="171"/>
      <c r="DR1931" s="171"/>
      <c r="DS1931" s="171"/>
      <c r="DT1931" s="171"/>
      <c r="DU1931" s="171"/>
      <c r="DV1931" s="171"/>
      <c r="DW1931" s="171"/>
      <c r="DX1931" s="171"/>
      <c r="DY1931" s="171"/>
      <c r="DZ1931" s="171"/>
      <c r="EA1931" s="171"/>
      <c r="EB1931" s="171"/>
      <c r="EC1931" s="171"/>
      <c r="ED1931" s="171"/>
      <c r="EE1931" s="171"/>
      <c r="EF1931" s="171"/>
      <c r="EG1931" s="171"/>
      <c r="EH1931" s="171"/>
      <c r="EI1931" s="171"/>
      <c r="EJ1931" s="171"/>
      <c r="EK1931" s="171"/>
      <c r="EL1931" s="171"/>
      <c r="EM1931" s="171"/>
      <c r="EN1931" s="171"/>
      <c r="EO1931" s="171"/>
      <c r="EP1931" s="171"/>
      <c r="EQ1931" s="171"/>
      <c r="ER1931" s="171"/>
      <c r="ES1931" s="171"/>
      <c r="ET1931" s="171"/>
      <c r="EU1931" s="171"/>
      <c r="EV1931" s="171"/>
      <c r="EW1931" s="171"/>
      <c r="EX1931" s="171"/>
      <c r="EY1931" s="171"/>
      <c r="EZ1931" s="171"/>
      <c r="FA1931" s="171"/>
      <c r="FB1931" s="171"/>
      <c r="FC1931" s="171"/>
      <c r="FD1931" s="171"/>
      <c r="FE1931" s="171"/>
      <c r="FF1931" s="171"/>
      <c r="FG1931" s="171"/>
      <c r="FH1931" s="171"/>
      <c r="FI1931" s="171"/>
      <c r="FJ1931" s="171"/>
      <c r="FK1931" s="171"/>
      <c r="FL1931" s="171"/>
      <c r="FM1931" s="171"/>
      <c r="FN1931" s="171"/>
      <c r="FO1931" s="171"/>
      <c r="FP1931" s="171"/>
      <c r="FQ1931" s="171"/>
      <c r="FR1931" s="171"/>
      <c r="FS1931" s="171"/>
      <c r="FT1931" s="171"/>
      <c r="FU1931" s="171"/>
      <c r="FV1931" s="171"/>
      <c r="FW1931" s="171"/>
      <c r="FX1931" s="171"/>
      <c r="FY1931" s="171"/>
      <c r="FZ1931" s="171"/>
      <c r="GA1931" s="171"/>
      <c r="GB1931" s="171"/>
      <c r="GC1931" s="171"/>
      <c r="GD1931" s="171"/>
      <c r="GE1931" s="171"/>
      <c r="GF1931" s="171"/>
      <c r="GG1931" s="171"/>
      <c r="GH1931" s="171"/>
      <c r="GI1931" s="171"/>
      <c r="GJ1931" s="171"/>
      <c r="GK1931" s="171"/>
      <c r="GL1931" s="171"/>
      <c r="GM1931" s="171"/>
      <c r="GN1931" s="171"/>
      <c r="GO1931" s="171"/>
      <c r="GP1931" s="171"/>
      <c r="GQ1931" s="171"/>
      <c r="GR1931" s="171"/>
      <c r="GS1931" s="171"/>
      <c r="GT1931" s="171"/>
      <c r="GU1931" s="171"/>
      <c r="GV1931" s="171"/>
      <c r="GW1931" s="171"/>
      <c r="GX1931" s="171"/>
      <c r="GY1931" s="171"/>
      <c r="GZ1931" s="171"/>
      <c r="HA1931" s="171"/>
      <c r="HB1931" s="171"/>
      <c r="HC1931" s="171"/>
      <c r="HD1931" s="171"/>
      <c r="HE1931" s="171"/>
      <c r="HF1931" s="171"/>
      <c r="HG1931" s="171"/>
      <c r="HH1931" s="171"/>
      <c r="HI1931" s="171"/>
      <c r="HJ1931" s="171"/>
      <c r="HK1931" s="171"/>
      <c r="HL1931" s="171"/>
      <c r="HM1931" s="171"/>
      <c r="HN1931" s="171"/>
      <c r="HO1931" s="171"/>
      <c r="HP1931" s="171"/>
      <c r="HQ1931" s="171"/>
      <c r="HR1931" s="171"/>
      <c r="HS1931" s="171"/>
      <c r="HT1931" s="171"/>
      <c r="HU1931" s="171"/>
      <c r="HV1931" s="171"/>
      <c r="HW1931" s="171"/>
      <c r="HX1931" s="171"/>
      <c r="HY1931" s="171"/>
      <c r="HZ1931" s="171"/>
      <c r="IA1931" s="171"/>
      <c r="IB1931" s="171"/>
      <c r="IC1931" s="171"/>
      <c r="ID1931" s="171"/>
      <c r="IE1931" s="171"/>
      <c r="IF1931" s="171"/>
      <c r="IG1931" s="171"/>
      <c r="IH1931" s="171"/>
      <c r="II1931" s="171"/>
      <c r="IJ1931" s="171"/>
      <c r="IK1931" s="171"/>
      <c r="IL1931" s="171"/>
      <c r="IM1931" s="171"/>
      <c r="IN1931" s="171"/>
      <c r="IO1931" s="171"/>
      <c r="IP1931" s="171"/>
      <c r="IQ1931" s="171"/>
    </row>
    <row r="1932" spans="1:251" ht="14.25" customHeight="1">
      <c r="A1932" s="212"/>
      <c r="B1932" s="221"/>
      <c r="C1932" s="295"/>
      <c r="D1932" s="226"/>
      <c r="E1932" s="360"/>
      <c r="F1932" s="296"/>
      <c r="BI1932" s="171"/>
      <c r="BJ1932" s="171"/>
      <c r="BK1932" s="171"/>
      <c r="BL1932" s="171"/>
      <c r="BM1932" s="171"/>
      <c r="BN1932" s="171"/>
      <c r="BO1932" s="171"/>
      <c r="BP1932" s="171"/>
      <c r="BQ1932" s="171"/>
      <c r="BR1932" s="171"/>
      <c r="BS1932" s="171"/>
      <c r="BT1932" s="171"/>
      <c r="BU1932" s="171"/>
      <c r="BV1932" s="171"/>
      <c r="BW1932" s="171"/>
      <c r="BX1932" s="171"/>
      <c r="BY1932" s="171"/>
      <c r="BZ1932" s="171"/>
      <c r="CA1932" s="171"/>
      <c r="CB1932" s="171"/>
      <c r="CC1932" s="171"/>
      <c r="CD1932" s="171"/>
      <c r="CE1932" s="171"/>
      <c r="CF1932" s="171"/>
      <c r="CG1932" s="171"/>
      <c r="CH1932" s="171"/>
      <c r="CI1932" s="171"/>
      <c r="CJ1932" s="171"/>
      <c r="CK1932" s="171"/>
      <c r="CL1932" s="171"/>
      <c r="CM1932" s="171"/>
      <c r="CN1932" s="171"/>
      <c r="CO1932" s="171"/>
      <c r="CP1932" s="171"/>
      <c r="CQ1932" s="171"/>
      <c r="CR1932" s="171"/>
      <c r="CS1932" s="171"/>
      <c r="CT1932" s="171"/>
      <c r="CU1932" s="171"/>
      <c r="CV1932" s="171"/>
      <c r="CW1932" s="171"/>
      <c r="CX1932" s="171"/>
      <c r="CY1932" s="171"/>
      <c r="CZ1932" s="171"/>
      <c r="DA1932" s="171"/>
      <c r="DB1932" s="171"/>
      <c r="DC1932" s="171"/>
      <c r="DD1932" s="171"/>
      <c r="DE1932" s="171"/>
      <c r="DF1932" s="171"/>
      <c r="DG1932" s="171"/>
      <c r="DH1932" s="171"/>
      <c r="DI1932" s="171"/>
      <c r="DJ1932" s="171"/>
      <c r="DK1932" s="171"/>
      <c r="DL1932" s="171"/>
      <c r="DM1932" s="171"/>
      <c r="DN1932" s="171"/>
      <c r="DO1932" s="171"/>
      <c r="DP1932" s="171"/>
      <c r="DQ1932" s="171"/>
      <c r="DR1932" s="171"/>
      <c r="DS1932" s="171"/>
      <c r="DT1932" s="171"/>
      <c r="DU1932" s="171"/>
      <c r="DV1932" s="171"/>
      <c r="DW1932" s="171"/>
      <c r="DX1932" s="171"/>
      <c r="DY1932" s="171"/>
      <c r="DZ1932" s="171"/>
      <c r="EA1932" s="171"/>
      <c r="EB1932" s="171"/>
      <c r="EC1932" s="171"/>
      <c r="ED1932" s="171"/>
      <c r="EE1932" s="171"/>
      <c r="EF1932" s="171"/>
      <c r="EG1932" s="171"/>
      <c r="EH1932" s="171"/>
      <c r="EI1932" s="171"/>
      <c r="EJ1932" s="171"/>
      <c r="EK1932" s="171"/>
      <c r="EL1932" s="171"/>
      <c r="EM1932" s="171"/>
      <c r="EN1932" s="171"/>
      <c r="EO1932" s="171"/>
      <c r="EP1932" s="171"/>
      <c r="EQ1932" s="171"/>
      <c r="ER1932" s="171"/>
      <c r="ES1932" s="171"/>
      <c r="ET1932" s="171"/>
      <c r="EU1932" s="171"/>
      <c r="EV1932" s="171"/>
      <c r="EW1932" s="171"/>
      <c r="EX1932" s="171"/>
      <c r="EY1932" s="171"/>
      <c r="EZ1932" s="171"/>
      <c r="FA1932" s="171"/>
      <c r="FB1932" s="171"/>
      <c r="FC1932" s="171"/>
      <c r="FD1932" s="171"/>
      <c r="FE1932" s="171"/>
      <c r="FF1932" s="171"/>
      <c r="FG1932" s="171"/>
      <c r="FH1932" s="171"/>
      <c r="FI1932" s="171"/>
      <c r="FJ1932" s="171"/>
      <c r="FK1932" s="171"/>
      <c r="FL1932" s="171"/>
      <c r="FM1932" s="171"/>
      <c r="FN1932" s="171"/>
      <c r="FO1932" s="171"/>
      <c r="FP1932" s="171"/>
      <c r="FQ1932" s="171"/>
      <c r="FR1932" s="171"/>
      <c r="FS1932" s="171"/>
      <c r="FT1932" s="171"/>
      <c r="FU1932" s="171"/>
      <c r="FV1932" s="171"/>
      <c r="FW1932" s="171"/>
      <c r="FX1932" s="171"/>
      <c r="FY1932" s="171"/>
      <c r="FZ1932" s="171"/>
      <c r="GA1932" s="171"/>
      <c r="GB1932" s="171"/>
      <c r="GC1932" s="171"/>
      <c r="GD1932" s="171"/>
      <c r="GE1932" s="171"/>
      <c r="GF1932" s="171"/>
      <c r="GG1932" s="171"/>
      <c r="GH1932" s="171"/>
      <c r="GI1932" s="171"/>
      <c r="GJ1932" s="171"/>
      <c r="GK1932" s="171"/>
      <c r="GL1932" s="171"/>
      <c r="GM1932" s="171"/>
      <c r="GN1932" s="171"/>
      <c r="GO1932" s="171"/>
      <c r="GP1932" s="171"/>
      <c r="GQ1932" s="171"/>
      <c r="GR1932" s="171"/>
      <c r="GS1932" s="171"/>
      <c r="GT1932" s="171"/>
      <c r="GU1932" s="171"/>
      <c r="GV1932" s="171"/>
      <c r="GW1932" s="171"/>
      <c r="GX1932" s="171"/>
      <c r="GY1932" s="171"/>
      <c r="GZ1932" s="171"/>
      <c r="HA1932" s="171"/>
      <c r="HB1932" s="171"/>
      <c r="HC1932" s="171"/>
      <c r="HD1932" s="171"/>
      <c r="HE1932" s="171"/>
      <c r="HF1932" s="171"/>
      <c r="HG1932" s="171"/>
      <c r="HH1932" s="171"/>
      <c r="HI1932" s="171"/>
      <c r="HJ1932" s="171"/>
      <c r="HK1932" s="171"/>
      <c r="HL1932" s="171"/>
      <c r="HM1932" s="171"/>
      <c r="HN1932" s="171"/>
      <c r="HO1932" s="171"/>
      <c r="HP1932" s="171"/>
      <c r="HQ1932" s="171"/>
      <c r="HR1932" s="171"/>
      <c r="HS1932" s="171"/>
      <c r="HT1932" s="171"/>
      <c r="HU1932" s="171"/>
      <c r="HV1932" s="171"/>
      <c r="HW1932" s="171"/>
      <c r="HX1932" s="171"/>
      <c r="HY1932" s="171"/>
      <c r="HZ1932" s="171"/>
      <c r="IA1932" s="171"/>
      <c r="IB1932" s="171"/>
      <c r="IC1932" s="171"/>
      <c r="ID1932" s="171"/>
      <c r="IE1932" s="171"/>
      <c r="IF1932" s="171"/>
      <c r="IG1932" s="171"/>
      <c r="IH1932" s="171"/>
      <c r="II1932" s="171"/>
      <c r="IJ1932" s="171"/>
      <c r="IK1932" s="171"/>
      <c r="IL1932" s="171"/>
      <c r="IM1932" s="171"/>
      <c r="IN1932" s="171"/>
      <c r="IO1932" s="171"/>
      <c r="IP1932" s="171"/>
      <c r="IQ1932" s="171"/>
    </row>
    <row r="1933" spans="1:251" ht="14.25" customHeight="1">
      <c r="A1933" s="212"/>
      <c r="B1933" s="221"/>
      <c r="C1933" s="295"/>
      <c r="D1933" s="226"/>
      <c r="E1933" s="360"/>
      <c r="F1933" s="296"/>
      <c r="BI1933" s="171"/>
      <c r="BJ1933" s="171"/>
      <c r="BK1933" s="171"/>
      <c r="BL1933" s="171"/>
      <c r="BM1933" s="171"/>
      <c r="BN1933" s="171"/>
      <c r="BO1933" s="171"/>
      <c r="BP1933" s="171"/>
      <c r="BQ1933" s="171"/>
      <c r="BR1933" s="171"/>
      <c r="BS1933" s="171"/>
      <c r="BT1933" s="171"/>
      <c r="BU1933" s="171"/>
      <c r="BV1933" s="171"/>
      <c r="BW1933" s="171"/>
      <c r="BX1933" s="171"/>
      <c r="BY1933" s="171"/>
      <c r="BZ1933" s="171"/>
      <c r="CA1933" s="171"/>
      <c r="CB1933" s="171"/>
      <c r="CC1933" s="171"/>
      <c r="CD1933" s="171"/>
      <c r="CE1933" s="171"/>
      <c r="CF1933" s="171"/>
      <c r="CG1933" s="171"/>
      <c r="CH1933" s="171"/>
      <c r="CI1933" s="171"/>
      <c r="CJ1933" s="171"/>
      <c r="CK1933" s="171"/>
      <c r="CL1933" s="171"/>
      <c r="CM1933" s="171"/>
      <c r="CN1933" s="171"/>
      <c r="CO1933" s="171"/>
      <c r="CP1933" s="171"/>
      <c r="CQ1933" s="171"/>
      <c r="CR1933" s="171"/>
      <c r="CS1933" s="171"/>
      <c r="CT1933" s="171"/>
      <c r="CU1933" s="171"/>
      <c r="CV1933" s="171"/>
      <c r="CW1933" s="171"/>
      <c r="CX1933" s="171"/>
      <c r="CY1933" s="171"/>
      <c r="CZ1933" s="171"/>
      <c r="DA1933" s="171"/>
      <c r="DB1933" s="171"/>
      <c r="DC1933" s="171"/>
      <c r="DD1933" s="171"/>
      <c r="DE1933" s="171"/>
      <c r="DF1933" s="171"/>
      <c r="DG1933" s="171"/>
      <c r="DH1933" s="171"/>
      <c r="DI1933" s="171"/>
      <c r="DJ1933" s="171"/>
      <c r="DK1933" s="171"/>
      <c r="DL1933" s="171"/>
      <c r="DM1933" s="171"/>
      <c r="DN1933" s="171"/>
      <c r="DO1933" s="171"/>
      <c r="DP1933" s="171"/>
      <c r="DQ1933" s="171"/>
      <c r="DR1933" s="171"/>
      <c r="DS1933" s="171"/>
      <c r="DT1933" s="171"/>
      <c r="DU1933" s="171"/>
      <c r="DV1933" s="171"/>
      <c r="DW1933" s="171"/>
      <c r="DX1933" s="171"/>
      <c r="DY1933" s="171"/>
      <c r="DZ1933" s="171"/>
      <c r="EA1933" s="171"/>
      <c r="EB1933" s="171"/>
      <c r="EC1933" s="171"/>
      <c r="ED1933" s="171"/>
      <c r="EE1933" s="171"/>
      <c r="EF1933" s="171"/>
      <c r="EG1933" s="171"/>
      <c r="EH1933" s="171"/>
      <c r="EI1933" s="171"/>
      <c r="EJ1933" s="171"/>
      <c r="EK1933" s="171"/>
      <c r="EL1933" s="171"/>
      <c r="EM1933" s="171"/>
      <c r="EN1933" s="171"/>
      <c r="EO1933" s="171"/>
      <c r="EP1933" s="171"/>
      <c r="EQ1933" s="171"/>
      <c r="ER1933" s="171"/>
      <c r="ES1933" s="171"/>
      <c r="ET1933" s="171"/>
      <c r="EU1933" s="171"/>
      <c r="EV1933" s="171"/>
      <c r="EW1933" s="171"/>
      <c r="EX1933" s="171"/>
      <c r="EY1933" s="171"/>
      <c r="EZ1933" s="171"/>
      <c r="FA1933" s="171"/>
      <c r="FB1933" s="171"/>
      <c r="FC1933" s="171"/>
      <c r="FD1933" s="171"/>
      <c r="FE1933" s="171"/>
      <c r="FF1933" s="171"/>
      <c r="FG1933" s="171"/>
      <c r="FH1933" s="171"/>
      <c r="FI1933" s="171"/>
      <c r="FJ1933" s="171"/>
      <c r="FK1933" s="171"/>
      <c r="FL1933" s="171"/>
      <c r="FM1933" s="171"/>
      <c r="FN1933" s="171"/>
      <c r="FO1933" s="171"/>
      <c r="FP1933" s="171"/>
      <c r="FQ1933" s="171"/>
      <c r="FR1933" s="171"/>
      <c r="FS1933" s="171"/>
      <c r="FT1933" s="171"/>
      <c r="FU1933" s="171"/>
      <c r="FV1933" s="171"/>
      <c r="FW1933" s="171"/>
      <c r="FX1933" s="171"/>
      <c r="FY1933" s="171"/>
      <c r="FZ1933" s="171"/>
      <c r="GA1933" s="171"/>
      <c r="GB1933" s="171"/>
      <c r="GC1933" s="171"/>
      <c r="GD1933" s="171"/>
      <c r="GE1933" s="171"/>
      <c r="GF1933" s="171"/>
      <c r="GG1933" s="171"/>
      <c r="GH1933" s="171"/>
      <c r="GI1933" s="171"/>
      <c r="GJ1933" s="171"/>
      <c r="GK1933" s="171"/>
      <c r="GL1933" s="171"/>
      <c r="GM1933" s="171"/>
      <c r="GN1933" s="171"/>
      <c r="GO1933" s="171"/>
      <c r="GP1933" s="171"/>
      <c r="GQ1933" s="171"/>
      <c r="GR1933" s="171"/>
      <c r="GS1933" s="171"/>
      <c r="GT1933" s="171"/>
      <c r="GU1933" s="171"/>
      <c r="GV1933" s="171"/>
      <c r="GW1933" s="171"/>
      <c r="GX1933" s="171"/>
      <c r="GY1933" s="171"/>
      <c r="GZ1933" s="171"/>
      <c r="HA1933" s="171"/>
      <c r="HB1933" s="171"/>
      <c r="HC1933" s="171"/>
      <c r="HD1933" s="171"/>
      <c r="HE1933" s="171"/>
      <c r="HF1933" s="171"/>
      <c r="HG1933" s="171"/>
      <c r="HH1933" s="171"/>
      <c r="HI1933" s="171"/>
      <c r="HJ1933" s="171"/>
      <c r="HK1933" s="171"/>
      <c r="HL1933" s="171"/>
      <c r="HM1933" s="171"/>
      <c r="HN1933" s="171"/>
      <c r="HO1933" s="171"/>
      <c r="HP1933" s="171"/>
      <c r="HQ1933" s="171"/>
      <c r="HR1933" s="171"/>
      <c r="HS1933" s="171"/>
      <c r="HT1933" s="171"/>
      <c r="HU1933" s="171"/>
      <c r="HV1933" s="171"/>
      <c r="HW1933" s="171"/>
      <c r="HX1933" s="171"/>
      <c r="HY1933" s="171"/>
      <c r="HZ1933" s="171"/>
      <c r="IA1933" s="171"/>
      <c r="IB1933" s="171"/>
      <c r="IC1933" s="171"/>
      <c r="ID1933" s="171"/>
      <c r="IE1933" s="171"/>
      <c r="IF1933" s="171"/>
      <c r="IG1933" s="171"/>
      <c r="IH1933" s="171"/>
      <c r="II1933" s="171"/>
      <c r="IJ1933" s="171"/>
      <c r="IK1933" s="171"/>
      <c r="IL1933" s="171"/>
      <c r="IM1933" s="171"/>
      <c r="IN1933" s="171"/>
      <c r="IO1933" s="171"/>
      <c r="IP1933" s="171"/>
      <c r="IQ1933" s="171"/>
    </row>
    <row r="1934" spans="1:251" ht="14.25" customHeight="1">
      <c r="A1934" s="212"/>
      <c r="B1934" s="221"/>
      <c r="C1934" s="295"/>
      <c r="D1934" s="226"/>
      <c r="E1934" s="360"/>
      <c r="F1934" s="296"/>
      <c r="BI1934" s="171"/>
      <c r="BJ1934" s="171"/>
      <c r="BK1934" s="171"/>
      <c r="BL1934" s="171"/>
      <c r="BM1934" s="171"/>
      <c r="BN1934" s="171"/>
      <c r="BO1934" s="171"/>
      <c r="BP1934" s="171"/>
      <c r="BQ1934" s="171"/>
      <c r="BR1934" s="171"/>
      <c r="BS1934" s="171"/>
      <c r="BT1934" s="171"/>
      <c r="BU1934" s="171"/>
      <c r="BV1934" s="171"/>
      <c r="BW1934" s="171"/>
      <c r="BX1934" s="171"/>
      <c r="BY1934" s="171"/>
      <c r="BZ1934" s="171"/>
      <c r="CA1934" s="171"/>
      <c r="CB1934" s="171"/>
      <c r="CC1934" s="171"/>
      <c r="CD1934" s="171"/>
      <c r="CE1934" s="171"/>
      <c r="CF1934" s="171"/>
      <c r="CG1934" s="171"/>
      <c r="CH1934" s="171"/>
      <c r="CI1934" s="171"/>
      <c r="CJ1934" s="171"/>
      <c r="CK1934" s="171"/>
      <c r="CL1934" s="171"/>
      <c r="CM1934" s="171"/>
      <c r="CN1934" s="171"/>
      <c r="CO1934" s="171"/>
      <c r="CP1934" s="171"/>
      <c r="CQ1934" s="171"/>
      <c r="CR1934" s="171"/>
      <c r="CS1934" s="171"/>
      <c r="CT1934" s="171"/>
      <c r="CU1934" s="171"/>
      <c r="CV1934" s="171"/>
      <c r="CW1934" s="171"/>
      <c r="CX1934" s="171"/>
      <c r="CY1934" s="171"/>
      <c r="CZ1934" s="171"/>
      <c r="DA1934" s="171"/>
      <c r="DB1934" s="171"/>
      <c r="DC1934" s="171"/>
      <c r="DD1934" s="171"/>
      <c r="DE1934" s="171"/>
      <c r="DF1934" s="171"/>
      <c r="DG1934" s="171"/>
      <c r="DH1934" s="171"/>
      <c r="DI1934" s="171"/>
      <c r="DJ1934" s="171"/>
      <c r="DK1934" s="171"/>
      <c r="DL1934" s="171"/>
      <c r="DM1934" s="171"/>
      <c r="DN1934" s="171"/>
      <c r="DO1934" s="171"/>
      <c r="DP1934" s="171"/>
      <c r="DQ1934" s="171"/>
      <c r="DR1934" s="171"/>
      <c r="DS1934" s="171"/>
      <c r="DT1934" s="171"/>
      <c r="DU1934" s="171"/>
      <c r="DV1934" s="171"/>
      <c r="DW1934" s="171"/>
      <c r="DX1934" s="171"/>
      <c r="DY1934" s="171"/>
      <c r="DZ1934" s="171"/>
      <c r="EA1934" s="171"/>
      <c r="EB1934" s="171"/>
      <c r="EC1934" s="171"/>
      <c r="ED1934" s="171"/>
      <c r="EE1934" s="171"/>
      <c r="EF1934" s="171"/>
      <c r="EG1934" s="171"/>
      <c r="EH1934" s="171"/>
      <c r="EI1934" s="171"/>
      <c r="EJ1934" s="171"/>
      <c r="EK1934" s="171"/>
      <c r="EL1934" s="171"/>
      <c r="EM1934" s="171"/>
      <c r="EN1934" s="171"/>
      <c r="EO1934" s="171"/>
      <c r="EP1934" s="171"/>
      <c r="EQ1934" s="171"/>
      <c r="ER1934" s="171"/>
      <c r="ES1934" s="171"/>
      <c r="ET1934" s="171"/>
      <c r="EU1934" s="171"/>
      <c r="EV1934" s="171"/>
      <c r="EW1934" s="171"/>
      <c r="EX1934" s="171"/>
      <c r="EY1934" s="171"/>
      <c r="EZ1934" s="171"/>
      <c r="FA1934" s="171"/>
      <c r="FB1934" s="171"/>
      <c r="FC1934" s="171"/>
      <c r="FD1934" s="171"/>
      <c r="FE1934" s="171"/>
      <c r="FF1934" s="171"/>
      <c r="FG1934" s="171"/>
      <c r="FH1934" s="171"/>
      <c r="FI1934" s="171"/>
      <c r="FJ1934" s="171"/>
      <c r="FK1934" s="171"/>
      <c r="FL1934" s="171"/>
      <c r="FM1934" s="171"/>
      <c r="FN1934" s="171"/>
      <c r="FO1934" s="171"/>
      <c r="FP1934" s="171"/>
      <c r="FQ1934" s="171"/>
      <c r="FR1934" s="171"/>
      <c r="FS1934" s="171"/>
      <c r="FT1934" s="171"/>
      <c r="FU1934" s="171"/>
      <c r="FV1934" s="171"/>
      <c r="FW1934" s="171"/>
      <c r="FX1934" s="171"/>
      <c r="FY1934" s="171"/>
      <c r="FZ1934" s="171"/>
      <c r="GA1934" s="171"/>
      <c r="GB1934" s="171"/>
      <c r="GC1934" s="171"/>
      <c r="GD1934" s="171"/>
      <c r="GE1934" s="171"/>
      <c r="GF1934" s="171"/>
      <c r="GG1934" s="171"/>
      <c r="GH1934" s="171"/>
      <c r="GI1934" s="171"/>
      <c r="GJ1934" s="171"/>
      <c r="GK1934" s="171"/>
      <c r="GL1934" s="171"/>
      <c r="GM1934" s="171"/>
      <c r="GN1934" s="171"/>
      <c r="GO1934" s="171"/>
      <c r="GP1934" s="171"/>
      <c r="GQ1934" s="171"/>
      <c r="GR1934" s="171"/>
      <c r="GS1934" s="171"/>
      <c r="GT1934" s="171"/>
      <c r="GU1934" s="171"/>
      <c r="GV1934" s="171"/>
      <c r="GW1934" s="171"/>
      <c r="GX1934" s="171"/>
      <c r="GY1934" s="171"/>
      <c r="GZ1934" s="171"/>
      <c r="HA1934" s="171"/>
      <c r="HB1934" s="171"/>
      <c r="HC1934" s="171"/>
      <c r="HD1934" s="171"/>
      <c r="HE1934" s="171"/>
      <c r="HF1934" s="171"/>
      <c r="HG1934" s="171"/>
      <c r="HH1934" s="171"/>
      <c r="HI1934" s="171"/>
      <c r="HJ1934" s="171"/>
      <c r="HK1934" s="171"/>
      <c r="HL1934" s="171"/>
      <c r="HM1934" s="171"/>
      <c r="HN1934" s="171"/>
      <c r="HO1934" s="171"/>
      <c r="HP1934" s="171"/>
      <c r="HQ1934" s="171"/>
      <c r="HR1934" s="171"/>
      <c r="HS1934" s="171"/>
      <c r="HT1934" s="171"/>
      <c r="HU1934" s="171"/>
      <c r="HV1934" s="171"/>
      <c r="HW1934" s="171"/>
      <c r="HX1934" s="171"/>
      <c r="HY1934" s="171"/>
      <c r="HZ1934" s="171"/>
      <c r="IA1934" s="171"/>
      <c r="IB1934" s="171"/>
      <c r="IC1934" s="171"/>
      <c r="ID1934" s="171"/>
      <c r="IE1934" s="171"/>
      <c r="IF1934" s="171"/>
      <c r="IG1934" s="171"/>
      <c r="IH1934" s="171"/>
      <c r="II1934" s="171"/>
      <c r="IJ1934" s="171"/>
      <c r="IK1934" s="171"/>
      <c r="IL1934" s="171"/>
      <c r="IM1934" s="171"/>
      <c r="IN1934" s="171"/>
      <c r="IO1934" s="171"/>
      <c r="IP1934" s="171"/>
      <c r="IQ1934" s="171"/>
    </row>
    <row r="1935" spans="1:251" ht="14.25" customHeight="1">
      <c r="A1935" s="212"/>
      <c r="B1935" s="221" t="s">
        <v>2002</v>
      </c>
      <c r="C1935" s="493" t="s">
        <v>2003</v>
      </c>
      <c r="D1935" s="226" t="s">
        <v>2004</v>
      </c>
      <c r="E1935" s="360">
        <f>'[5]COSTO CDMX,QRO,GDL '!I1929</f>
        <v>11283.797729618163</v>
      </c>
      <c r="F1935" s="217" t="s">
        <v>284</v>
      </c>
      <c r="BI1935" s="171"/>
      <c r="BJ1935" s="171"/>
      <c r="BK1935" s="171"/>
      <c r="BL1935" s="171"/>
      <c r="BM1935" s="171"/>
      <c r="BN1935" s="171"/>
      <c r="BO1935" s="171"/>
      <c r="BP1935" s="171"/>
      <c r="BQ1935" s="171"/>
      <c r="BR1935" s="171"/>
      <c r="BS1935" s="171"/>
      <c r="BT1935" s="171"/>
      <c r="BU1935" s="171"/>
      <c r="BV1935" s="171"/>
      <c r="BW1935" s="171"/>
      <c r="BX1935" s="171"/>
      <c r="BY1935" s="171"/>
      <c r="BZ1935" s="171"/>
      <c r="CA1935" s="171"/>
      <c r="CB1935" s="171"/>
      <c r="CC1935" s="171"/>
      <c r="CD1935" s="171"/>
      <c r="CE1935" s="171"/>
      <c r="CF1935" s="171"/>
      <c r="CG1935" s="171"/>
      <c r="CH1935" s="171"/>
      <c r="CI1935" s="171"/>
      <c r="CJ1935" s="171"/>
      <c r="CK1935" s="171"/>
      <c r="CL1935" s="171"/>
      <c r="CM1935" s="171"/>
      <c r="CN1935" s="171"/>
      <c r="CO1935" s="171"/>
      <c r="CP1935" s="171"/>
      <c r="CQ1935" s="171"/>
      <c r="CR1935" s="171"/>
      <c r="CS1935" s="171"/>
      <c r="CT1935" s="171"/>
      <c r="CU1935" s="171"/>
      <c r="CV1935" s="171"/>
      <c r="CW1935" s="171"/>
      <c r="CX1935" s="171"/>
      <c r="CY1935" s="171"/>
      <c r="CZ1935" s="171"/>
      <c r="DA1935" s="171"/>
      <c r="DB1935" s="171"/>
      <c r="DC1935" s="171"/>
      <c r="DD1935" s="171"/>
      <c r="DE1935" s="171"/>
      <c r="DF1935" s="171"/>
      <c r="DG1935" s="171"/>
      <c r="DH1935" s="171"/>
      <c r="DI1935" s="171"/>
      <c r="DJ1935" s="171"/>
      <c r="DK1935" s="171"/>
      <c r="DL1935" s="171"/>
      <c r="DM1935" s="171"/>
      <c r="DN1935" s="171"/>
      <c r="DO1935" s="171"/>
      <c r="DP1935" s="171"/>
      <c r="DQ1935" s="171"/>
      <c r="DR1935" s="171"/>
      <c r="DS1935" s="171"/>
      <c r="DT1935" s="171"/>
      <c r="DU1935" s="171"/>
      <c r="DV1935" s="171"/>
      <c r="DW1935" s="171"/>
      <c r="DX1935" s="171"/>
      <c r="DY1935" s="171"/>
      <c r="DZ1935" s="171"/>
      <c r="EA1935" s="171"/>
      <c r="EB1935" s="171"/>
      <c r="EC1935" s="171"/>
      <c r="ED1935" s="171"/>
      <c r="EE1935" s="171"/>
      <c r="EF1935" s="171"/>
      <c r="EG1935" s="171"/>
      <c r="EH1935" s="171"/>
      <c r="EI1935" s="171"/>
      <c r="EJ1935" s="171"/>
      <c r="EK1935" s="171"/>
      <c r="EL1935" s="171"/>
      <c r="EM1935" s="171"/>
      <c r="EN1935" s="171"/>
      <c r="EO1935" s="171"/>
      <c r="EP1935" s="171"/>
      <c r="EQ1935" s="171"/>
      <c r="ER1935" s="171"/>
      <c r="ES1935" s="171"/>
      <c r="ET1935" s="171"/>
      <c r="EU1935" s="171"/>
      <c r="EV1935" s="171"/>
      <c r="EW1935" s="171"/>
      <c r="EX1935" s="171"/>
      <c r="EY1935" s="171"/>
      <c r="EZ1935" s="171"/>
      <c r="FA1935" s="171"/>
      <c r="FB1935" s="171"/>
      <c r="FC1935" s="171"/>
      <c r="FD1935" s="171"/>
      <c r="FE1935" s="171"/>
      <c r="FF1935" s="171"/>
      <c r="FG1935" s="171"/>
      <c r="FH1935" s="171"/>
      <c r="FI1935" s="171"/>
      <c r="FJ1935" s="171"/>
      <c r="FK1935" s="171"/>
      <c r="FL1935" s="171"/>
      <c r="FM1935" s="171"/>
      <c r="FN1935" s="171"/>
      <c r="FO1935" s="171"/>
      <c r="FP1935" s="171"/>
      <c r="FQ1935" s="171"/>
      <c r="FR1935" s="171"/>
      <c r="FS1935" s="171"/>
      <c r="FT1935" s="171"/>
      <c r="FU1935" s="171"/>
      <c r="FV1935" s="171"/>
      <c r="FW1935" s="171"/>
      <c r="FX1935" s="171"/>
      <c r="FY1935" s="171"/>
      <c r="FZ1935" s="171"/>
      <c r="GA1935" s="171"/>
      <c r="GB1935" s="171"/>
      <c r="GC1935" s="171"/>
      <c r="GD1935" s="171"/>
      <c r="GE1935" s="171"/>
      <c r="GF1935" s="171"/>
      <c r="GG1935" s="171"/>
      <c r="GH1935" s="171"/>
      <c r="GI1935" s="171"/>
      <c r="GJ1935" s="171"/>
      <c r="GK1935" s="171"/>
      <c r="GL1935" s="171"/>
      <c r="GM1935" s="171"/>
      <c r="GN1935" s="171"/>
      <c r="GO1935" s="171"/>
      <c r="GP1935" s="171"/>
      <c r="GQ1935" s="171"/>
      <c r="GR1935" s="171"/>
      <c r="GS1935" s="171"/>
      <c r="GT1935" s="171"/>
      <c r="GU1935" s="171"/>
      <c r="GV1935" s="171"/>
      <c r="GW1935" s="171"/>
      <c r="GX1935" s="171"/>
      <c r="GY1935" s="171"/>
      <c r="GZ1935" s="171"/>
      <c r="HA1935" s="171"/>
      <c r="HB1935" s="171"/>
      <c r="HC1935" s="171"/>
      <c r="HD1935" s="171"/>
      <c r="HE1935" s="171"/>
      <c r="HF1935" s="171"/>
      <c r="HG1935" s="171"/>
      <c r="HH1935" s="171"/>
      <c r="HI1935" s="171"/>
      <c r="HJ1935" s="171"/>
      <c r="HK1935" s="171"/>
      <c r="HL1935" s="171"/>
      <c r="HM1935" s="171"/>
      <c r="HN1935" s="171"/>
      <c r="HO1935" s="171"/>
      <c r="HP1935" s="171"/>
      <c r="HQ1935" s="171"/>
      <c r="HR1935" s="171"/>
      <c r="HS1935" s="171"/>
      <c r="HT1935" s="171"/>
      <c r="HU1935" s="171"/>
      <c r="HV1935" s="171"/>
      <c r="HW1935" s="171"/>
      <c r="HX1935" s="171"/>
      <c r="HY1935" s="171"/>
      <c r="HZ1935" s="171"/>
      <c r="IA1935" s="171"/>
      <c r="IB1935" s="171"/>
      <c r="IC1935" s="171"/>
      <c r="ID1935" s="171"/>
      <c r="IE1935" s="171"/>
      <c r="IF1935" s="171"/>
      <c r="IG1935" s="171"/>
      <c r="IH1935" s="171"/>
      <c r="II1935" s="171"/>
      <c r="IJ1935" s="171"/>
      <c r="IK1935" s="171"/>
      <c r="IL1935" s="171"/>
      <c r="IM1935" s="171"/>
      <c r="IN1935" s="171"/>
      <c r="IO1935" s="171"/>
      <c r="IP1935" s="171"/>
      <c r="IQ1935" s="171"/>
    </row>
    <row r="1936" spans="1:251" ht="14.25" customHeight="1">
      <c r="A1936" s="212"/>
      <c r="B1936" s="221"/>
      <c r="C1936" s="493" t="s">
        <v>2005</v>
      </c>
      <c r="D1936" s="226"/>
      <c r="E1936" s="360"/>
      <c r="F1936" s="296"/>
      <c r="H1936" s="501"/>
      <c r="BI1936" s="171"/>
      <c r="BJ1936" s="171"/>
      <c r="BK1936" s="171"/>
      <c r="BL1936" s="171"/>
      <c r="BM1936" s="171"/>
      <c r="BN1936" s="171"/>
      <c r="BO1936" s="171"/>
      <c r="BP1936" s="171"/>
      <c r="BQ1936" s="171"/>
      <c r="BR1936" s="171"/>
      <c r="BS1936" s="171"/>
      <c r="BT1936" s="171"/>
      <c r="BU1936" s="171"/>
      <c r="BV1936" s="171"/>
      <c r="BW1936" s="171"/>
      <c r="BX1936" s="171"/>
      <c r="BY1936" s="171"/>
      <c r="BZ1936" s="171"/>
      <c r="CA1936" s="171"/>
      <c r="CB1936" s="171"/>
      <c r="CC1936" s="171"/>
      <c r="CD1936" s="171"/>
      <c r="CE1936" s="171"/>
      <c r="CF1936" s="171"/>
      <c r="CG1936" s="171"/>
      <c r="CH1936" s="171"/>
      <c r="CI1936" s="171"/>
      <c r="CJ1936" s="171"/>
      <c r="CK1936" s="171"/>
      <c r="CL1936" s="171"/>
      <c r="CM1936" s="171"/>
      <c r="CN1936" s="171"/>
      <c r="CO1936" s="171"/>
      <c r="CP1936" s="171"/>
      <c r="CQ1936" s="171"/>
      <c r="CR1936" s="171"/>
      <c r="CS1936" s="171"/>
      <c r="CT1936" s="171"/>
      <c r="CU1936" s="171"/>
      <c r="CV1936" s="171"/>
      <c r="CW1936" s="171"/>
      <c r="CX1936" s="171"/>
      <c r="CY1936" s="171"/>
      <c r="CZ1936" s="171"/>
      <c r="DA1936" s="171"/>
      <c r="DB1936" s="171"/>
      <c r="DC1936" s="171"/>
      <c r="DD1936" s="171"/>
      <c r="DE1936" s="171"/>
      <c r="DF1936" s="171"/>
      <c r="DG1936" s="171"/>
      <c r="DH1936" s="171"/>
      <c r="DI1936" s="171"/>
      <c r="DJ1936" s="171"/>
      <c r="DK1936" s="171"/>
      <c r="DL1936" s="171"/>
      <c r="DM1936" s="171"/>
      <c r="DN1936" s="171"/>
      <c r="DO1936" s="171"/>
      <c r="DP1936" s="171"/>
      <c r="DQ1936" s="171"/>
      <c r="DR1936" s="171"/>
      <c r="DS1936" s="171"/>
      <c r="DT1936" s="171"/>
      <c r="DU1936" s="171"/>
      <c r="DV1936" s="171"/>
      <c r="DW1936" s="171"/>
      <c r="DX1936" s="171"/>
      <c r="DY1936" s="171"/>
      <c r="DZ1936" s="171"/>
      <c r="EA1936" s="171"/>
      <c r="EB1936" s="171"/>
      <c r="EC1936" s="171"/>
      <c r="ED1936" s="171"/>
      <c r="EE1936" s="171"/>
      <c r="EF1936" s="171"/>
      <c r="EG1936" s="171"/>
      <c r="EH1936" s="171"/>
      <c r="EI1936" s="171"/>
      <c r="EJ1936" s="171"/>
      <c r="EK1936" s="171"/>
      <c r="EL1936" s="171"/>
      <c r="EM1936" s="171"/>
      <c r="EN1936" s="171"/>
      <c r="EO1936" s="171"/>
      <c r="EP1936" s="171"/>
      <c r="EQ1936" s="171"/>
      <c r="ER1936" s="171"/>
      <c r="ES1936" s="171"/>
      <c r="ET1936" s="171"/>
      <c r="EU1936" s="171"/>
      <c r="EV1936" s="171"/>
      <c r="EW1936" s="171"/>
      <c r="EX1936" s="171"/>
      <c r="EY1936" s="171"/>
      <c r="EZ1936" s="171"/>
      <c r="FA1936" s="171"/>
      <c r="FB1936" s="171"/>
      <c r="FC1936" s="171"/>
      <c r="FD1936" s="171"/>
      <c r="FE1936" s="171"/>
      <c r="FF1936" s="171"/>
      <c r="FG1936" s="171"/>
      <c r="FH1936" s="171"/>
      <c r="FI1936" s="171"/>
      <c r="FJ1936" s="171"/>
      <c r="FK1936" s="171"/>
      <c r="FL1936" s="171"/>
      <c r="FM1936" s="171"/>
      <c r="FN1936" s="171"/>
      <c r="FO1936" s="171"/>
      <c r="FP1936" s="171"/>
      <c r="FQ1936" s="171"/>
      <c r="FR1936" s="171"/>
      <c r="FS1936" s="171"/>
      <c r="FT1936" s="171"/>
      <c r="FU1936" s="171"/>
      <c r="FV1936" s="171"/>
      <c r="FW1936" s="171"/>
      <c r="FX1936" s="171"/>
      <c r="FY1936" s="171"/>
      <c r="FZ1936" s="171"/>
      <c r="GA1936" s="171"/>
      <c r="GB1936" s="171"/>
      <c r="GC1936" s="171"/>
      <c r="GD1936" s="171"/>
      <c r="GE1936" s="171"/>
      <c r="GF1936" s="171"/>
      <c r="GG1936" s="171"/>
      <c r="GH1936" s="171"/>
      <c r="GI1936" s="171"/>
      <c r="GJ1936" s="171"/>
      <c r="GK1936" s="171"/>
      <c r="GL1936" s="171"/>
      <c r="GM1936" s="171"/>
      <c r="GN1936" s="171"/>
      <c r="GO1936" s="171"/>
      <c r="GP1936" s="171"/>
      <c r="GQ1936" s="171"/>
      <c r="GR1936" s="171"/>
      <c r="GS1936" s="171"/>
      <c r="GT1936" s="171"/>
      <c r="GU1936" s="171"/>
      <c r="GV1936" s="171"/>
      <c r="GW1936" s="171"/>
      <c r="GX1936" s="171"/>
      <c r="GY1936" s="171"/>
      <c r="GZ1936" s="171"/>
      <c r="HA1936" s="171"/>
      <c r="HB1936" s="171"/>
      <c r="HC1936" s="171"/>
      <c r="HD1936" s="171"/>
      <c r="HE1936" s="171"/>
      <c r="HF1936" s="171"/>
      <c r="HG1936" s="171"/>
      <c r="HH1936" s="171"/>
      <c r="HI1936" s="171"/>
      <c r="HJ1936" s="171"/>
      <c r="HK1936" s="171"/>
      <c r="HL1936" s="171"/>
      <c r="HM1936" s="171"/>
      <c r="HN1936" s="171"/>
      <c r="HO1936" s="171"/>
      <c r="HP1936" s="171"/>
      <c r="HQ1936" s="171"/>
      <c r="HR1936" s="171"/>
      <c r="HS1936" s="171"/>
      <c r="HT1936" s="171"/>
      <c r="HU1936" s="171"/>
      <c r="HV1936" s="171"/>
      <c r="HW1936" s="171"/>
      <c r="HX1936" s="171"/>
      <c r="HY1936" s="171"/>
      <c r="HZ1936" s="171"/>
      <c r="IA1936" s="171"/>
      <c r="IB1936" s="171"/>
      <c r="IC1936" s="171"/>
      <c r="ID1936" s="171"/>
      <c r="IE1936" s="171"/>
      <c r="IF1936" s="171"/>
      <c r="IG1936" s="171"/>
      <c r="IH1936" s="171"/>
      <c r="II1936" s="171"/>
      <c r="IJ1936" s="171"/>
      <c r="IK1936" s="171"/>
      <c r="IL1936" s="171"/>
      <c r="IM1936" s="171"/>
      <c r="IN1936" s="171"/>
      <c r="IO1936" s="171"/>
      <c r="IP1936" s="171"/>
      <c r="IQ1936" s="171"/>
    </row>
    <row r="1937" spans="1:251" ht="14.25" customHeight="1">
      <c r="A1937" s="212"/>
      <c r="B1937" s="221"/>
      <c r="C1937" s="493" t="s">
        <v>2006</v>
      </c>
      <c r="D1937" s="226"/>
      <c r="E1937" s="360"/>
      <c r="F1937" s="296"/>
      <c r="BI1937" s="171"/>
      <c r="BJ1937" s="171"/>
      <c r="BK1937" s="171"/>
      <c r="BL1937" s="171"/>
      <c r="BM1937" s="171"/>
      <c r="BN1937" s="171"/>
      <c r="BO1937" s="171"/>
      <c r="BP1937" s="171"/>
      <c r="BQ1937" s="171"/>
      <c r="BR1937" s="171"/>
      <c r="BS1937" s="171"/>
      <c r="BT1937" s="171"/>
      <c r="BU1937" s="171"/>
      <c r="BV1937" s="171"/>
      <c r="BW1937" s="171"/>
      <c r="BX1937" s="171"/>
      <c r="BY1937" s="171"/>
      <c r="BZ1937" s="171"/>
      <c r="CA1937" s="171"/>
      <c r="CB1937" s="171"/>
      <c r="CC1937" s="171"/>
      <c r="CD1937" s="171"/>
      <c r="CE1937" s="171"/>
      <c r="CF1937" s="171"/>
      <c r="CG1937" s="171"/>
      <c r="CH1937" s="171"/>
      <c r="CI1937" s="171"/>
      <c r="CJ1937" s="171"/>
      <c r="CK1937" s="171"/>
      <c r="CL1937" s="171"/>
      <c r="CM1937" s="171"/>
      <c r="CN1937" s="171"/>
      <c r="CO1937" s="171"/>
      <c r="CP1937" s="171"/>
      <c r="CQ1937" s="171"/>
      <c r="CR1937" s="171"/>
      <c r="CS1937" s="171"/>
      <c r="CT1937" s="171"/>
      <c r="CU1937" s="171"/>
      <c r="CV1937" s="171"/>
      <c r="CW1937" s="171"/>
      <c r="CX1937" s="171"/>
      <c r="CY1937" s="171"/>
      <c r="CZ1937" s="171"/>
      <c r="DA1937" s="171"/>
      <c r="DB1937" s="171"/>
      <c r="DC1937" s="171"/>
      <c r="DD1937" s="171"/>
      <c r="DE1937" s="171"/>
      <c r="DF1937" s="171"/>
      <c r="DG1937" s="171"/>
      <c r="DH1937" s="171"/>
      <c r="DI1937" s="171"/>
      <c r="DJ1937" s="171"/>
      <c r="DK1937" s="171"/>
      <c r="DL1937" s="171"/>
      <c r="DM1937" s="171"/>
      <c r="DN1937" s="171"/>
      <c r="DO1937" s="171"/>
      <c r="DP1937" s="171"/>
      <c r="DQ1937" s="171"/>
      <c r="DR1937" s="171"/>
      <c r="DS1937" s="171"/>
      <c r="DT1937" s="171"/>
      <c r="DU1937" s="171"/>
      <c r="DV1937" s="171"/>
      <c r="DW1937" s="171"/>
      <c r="DX1937" s="171"/>
      <c r="DY1937" s="171"/>
      <c r="DZ1937" s="171"/>
      <c r="EA1937" s="171"/>
      <c r="EB1937" s="171"/>
      <c r="EC1937" s="171"/>
      <c r="ED1937" s="171"/>
      <c r="EE1937" s="171"/>
      <c r="EF1937" s="171"/>
      <c r="EG1937" s="171"/>
      <c r="EH1937" s="171"/>
      <c r="EI1937" s="171"/>
      <c r="EJ1937" s="171"/>
      <c r="EK1937" s="171"/>
      <c r="EL1937" s="171"/>
      <c r="EM1937" s="171"/>
      <c r="EN1937" s="171"/>
      <c r="EO1937" s="171"/>
      <c r="EP1937" s="171"/>
      <c r="EQ1937" s="171"/>
      <c r="ER1937" s="171"/>
      <c r="ES1937" s="171"/>
      <c r="ET1937" s="171"/>
      <c r="EU1937" s="171"/>
      <c r="EV1937" s="171"/>
      <c r="EW1937" s="171"/>
      <c r="EX1937" s="171"/>
      <c r="EY1937" s="171"/>
      <c r="EZ1937" s="171"/>
      <c r="FA1937" s="171"/>
      <c r="FB1937" s="171"/>
      <c r="FC1937" s="171"/>
      <c r="FD1937" s="171"/>
      <c r="FE1937" s="171"/>
      <c r="FF1937" s="171"/>
      <c r="FG1937" s="171"/>
      <c r="FH1937" s="171"/>
      <c r="FI1937" s="171"/>
      <c r="FJ1937" s="171"/>
      <c r="FK1937" s="171"/>
      <c r="FL1937" s="171"/>
      <c r="FM1937" s="171"/>
      <c r="FN1937" s="171"/>
      <c r="FO1937" s="171"/>
      <c r="FP1937" s="171"/>
      <c r="FQ1937" s="171"/>
      <c r="FR1937" s="171"/>
      <c r="FS1937" s="171"/>
      <c r="FT1937" s="171"/>
      <c r="FU1937" s="171"/>
      <c r="FV1937" s="171"/>
      <c r="FW1937" s="171"/>
      <c r="FX1937" s="171"/>
      <c r="FY1937" s="171"/>
      <c r="FZ1937" s="171"/>
      <c r="GA1937" s="171"/>
      <c r="GB1937" s="171"/>
      <c r="GC1937" s="171"/>
      <c r="GD1937" s="171"/>
      <c r="GE1937" s="171"/>
      <c r="GF1937" s="171"/>
      <c r="GG1937" s="171"/>
      <c r="GH1937" s="171"/>
      <c r="GI1937" s="171"/>
      <c r="GJ1937" s="171"/>
      <c r="GK1937" s="171"/>
      <c r="GL1937" s="171"/>
      <c r="GM1937" s="171"/>
      <c r="GN1937" s="171"/>
      <c r="GO1937" s="171"/>
      <c r="GP1937" s="171"/>
      <c r="GQ1937" s="171"/>
      <c r="GR1937" s="171"/>
      <c r="GS1937" s="171"/>
      <c r="GT1937" s="171"/>
      <c r="GU1937" s="171"/>
      <c r="GV1937" s="171"/>
      <c r="GW1937" s="171"/>
      <c r="GX1937" s="171"/>
      <c r="GY1937" s="171"/>
      <c r="GZ1937" s="171"/>
      <c r="HA1937" s="171"/>
      <c r="HB1937" s="171"/>
      <c r="HC1937" s="171"/>
      <c r="HD1937" s="171"/>
      <c r="HE1937" s="171"/>
      <c r="HF1937" s="171"/>
      <c r="HG1937" s="171"/>
      <c r="HH1937" s="171"/>
      <c r="HI1937" s="171"/>
      <c r="HJ1937" s="171"/>
      <c r="HK1937" s="171"/>
      <c r="HL1937" s="171"/>
      <c r="HM1937" s="171"/>
      <c r="HN1937" s="171"/>
      <c r="HO1937" s="171"/>
      <c r="HP1937" s="171"/>
      <c r="HQ1937" s="171"/>
      <c r="HR1937" s="171"/>
      <c r="HS1937" s="171"/>
      <c r="HT1937" s="171"/>
      <c r="HU1937" s="171"/>
      <c r="HV1937" s="171"/>
      <c r="HW1937" s="171"/>
      <c r="HX1937" s="171"/>
      <c r="HY1937" s="171"/>
      <c r="HZ1937" s="171"/>
      <c r="IA1937" s="171"/>
      <c r="IB1937" s="171"/>
      <c r="IC1937" s="171"/>
      <c r="ID1937" s="171"/>
      <c r="IE1937" s="171"/>
      <c r="IF1937" s="171"/>
      <c r="IG1937" s="171"/>
      <c r="IH1937" s="171"/>
      <c r="II1937" s="171"/>
      <c r="IJ1937" s="171"/>
      <c r="IK1937" s="171"/>
      <c r="IL1937" s="171"/>
      <c r="IM1937" s="171"/>
      <c r="IN1937" s="171"/>
      <c r="IO1937" s="171"/>
      <c r="IP1937" s="171"/>
      <c r="IQ1937" s="171"/>
    </row>
    <row r="1938" spans="1:251" ht="14.25" customHeight="1">
      <c r="A1938" s="212"/>
      <c r="B1938" s="221"/>
      <c r="C1938" s="387" t="s">
        <v>2007</v>
      </c>
      <c r="D1938" s="226"/>
      <c r="E1938" s="360"/>
      <c r="F1938" s="296"/>
      <c r="BI1938" s="171"/>
      <c r="BJ1938" s="171"/>
      <c r="BK1938" s="171"/>
      <c r="BL1938" s="171"/>
      <c r="BM1938" s="171"/>
      <c r="BN1938" s="171"/>
      <c r="BO1938" s="171"/>
      <c r="BP1938" s="171"/>
      <c r="BQ1938" s="171"/>
      <c r="BR1938" s="171"/>
      <c r="BS1938" s="171"/>
      <c r="BT1938" s="171"/>
      <c r="BU1938" s="171"/>
      <c r="BV1938" s="171"/>
      <c r="BW1938" s="171"/>
      <c r="BX1938" s="171"/>
      <c r="BY1938" s="171"/>
      <c r="BZ1938" s="171"/>
      <c r="CA1938" s="171"/>
      <c r="CB1938" s="171"/>
      <c r="CC1938" s="171"/>
      <c r="CD1938" s="171"/>
      <c r="CE1938" s="171"/>
      <c r="CF1938" s="171"/>
      <c r="CG1938" s="171"/>
      <c r="CH1938" s="171"/>
      <c r="CI1938" s="171"/>
      <c r="CJ1938" s="171"/>
      <c r="CK1938" s="171"/>
      <c r="CL1938" s="171"/>
      <c r="CM1938" s="171"/>
      <c r="CN1938" s="171"/>
      <c r="CO1938" s="171"/>
      <c r="CP1938" s="171"/>
      <c r="CQ1938" s="171"/>
      <c r="CR1938" s="171"/>
      <c r="CS1938" s="171"/>
      <c r="CT1938" s="171"/>
      <c r="CU1938" s="171"/>
      <c r="CV1938" s="171"/>
      <c r="CW1938" s="171"/>
      <c r="CX1938" s="171"/>
      <c r="CY1938" s="171"/>
      <c r="CZ1938" s="171"/>
      <c r="DA1938" s="171"/>
      <c r="DB1938" s="171"/>
      <c r="DC1938" s="171"/>
      <c r="DD1938" s="171"/>
      <c r="DE1938" s="171"/>
      <c r="DF1938" s="171"/>
      <c r="DG1938" s="171"/>
      <c r="DH1938" s="171"/>
      <c r="DI1938" s="171"/>
      <c r="DJ1938" s="171"/>
      <c r="DK1938" s="171"/>
      <c r="DL1938" s="171"/>
      <c r="DM1938" s="171"/>
      <c r="DN1938" s="171"/>
      <c r="DO1938" s="171"/>
      <c r="DP1938" s="171"/>
      <c r="DQ1938" s="171"/>
      <c r="DR1938" s="171"/>
      <c r="DS1938" s="171"/>
      <c r="DT1938" s="171"/>
      <c r="DU1938" s="171"/>
      <c r="DV1938" s="171"/>
      <c r="DW1938" s="171"/>
      <c r="DX1938" s="171"/>
      <c r="DY1938" s="171"/>
      <c r="DZ1938" s="171"/>
      <c r="EA1938" s="171"/>
      <c r="EB1938" s="171"/>
      <c r="EC1938" s="171"/>
      <c r="ED1938" s="171"/>
      <c r="EE1938" s="171"/>
      <c r="EF1938" s="171"/>
      <c r="EG1938" s="171"/>
      <c r="EH1938" s="171"/>
      <c r="EI1938" s="171"/>
      <c r="EJ1938" s="171"/>
      <c r="EK1938" s="171"/>
      <c r="EL1938" s="171"/>
      <c r="EM1938" s="171"/>
      <c r="EN1938" s="171"/>
      <c r="EO1938" s="171"/>
      <c r="EP1938" s="171"/>
      <c r="EQ1938" s="171"/>
      <c r="ER1938" s="171"/>
      <c r="ES1938" s="171"/>
      <c r="ET1938" s="171"/>
      <c r="EU1938" s="171"/>
      <c r="EV1938" s="171"/>
      <c r="EW1938" s="171"/>
      <c r="EX1938" s="171"/>
      <c r="EY1938" s="171"/>
      <c r="EZ1938" s="171"/>
      <c r="FA1938" s="171"/>
      <c r="FB1938" s="171"/>
      <c r="FC1938" s="171"/>
      <c r="FD1938" s="171"/>
      <c r="FE1938" s="171"/>
      <c r="FF1938" s="171"/>
      <c r="FG1938" s="171"/>
      <c r="FH1938" s="171"/>
      <c r="FI1938" s="171"/>
      <c r="FJ1938" s="171"/>
      <c r="FK1938" s="171"/>
      <c r="FL1938" s="171"/>
      <c r="FM1938" s="171"/>
      <c r="FN1938" s="171"/>
      <c r="FO1938" s="171"/>
      <c r="FP1938" s="171"/>
      <c r="FQ1938" s="171"/>
      <c r="FR1938" s="171"/>
      <c r="FS1938" s="171"/>
      <c r="FT1938" s="171"/>
      <c r="FU1938" s="171"/>
      <c r="FV1938" s="171"/>
      <c r="FW1938" s="171"/>
      <c r="FX1938" s="171"/>
      <c r="FY1938" s="171"/>
      <c r="FZ1938" s="171"/>
      <c r="GA1938" s="171"/>
      <c r="GB1938" s="171"/>
      <c r="GC1938" s="171"/>
      <c r="GD1938" s="171"/>
      <c r="GE1938" s="171"/>
      <c r="GF1938" s="171"/>
      <c r="GG1938" s="171"/>
      <c r="GH1938" s="171"/>
      <c r="GI1938" s="171"/>
      <c r="GJ1938" s="171"/>
      <c r="GK1938" s="171"/>
      <c r="GL1938" s="171"/>
      <c r="GM1938" s="171"/>
      <c r="GN1938" s="171"/>
      <c r="GO1938" s="171"/>
      <c r="GP1938" s="171"/>
      <c r="GQ1938" s="171"/>
      <c r="GR1938" s="171"/>
      <c r="GS1938" s="171"/>
      <c r="GT1938" s="171"/>
      <c r="GU1938" s="171"/>
      <c r="GV1938" s="171"/>
      <c r="GW1938" s="171"/>
      <c r="GX1938" s="171"/>
      <c r="GY1938" s="171"/>
      <c r="GZ1938" s="171"/>
      <c r="HA1938" s="171"/>
      <c r="HB1938" s="171"/>
      <c r="HC1938" s="171"/>
      <c r="HD1938" s="171"/>
      <c r="HE1938" s="171"/>
      <c r="HF1938" s="171"/>
      <c r="HG1938" s="171"/>
      <c r="HH1938" s="171"/>
      <c r="HI1938" s="171"/>
      <c r="HJ1938" s="171"/>
      <c r="HK1938" s="171"/>
      <c r="HL1938" s="171"/>
      <c r="HM1938" s="171"/>
      <c r="HN1938" s="171"/>
      <c r="HO1938" s="171"/>
      <c r="HP1938" s="171"/>
      <c r="HQ1938" s="171"/>
      <c r="HR1938" s="171"/>
      <c r="HS1938" s="171"/>
      <c r="HT1938" s="171"/>
      <c r="HU1938" s="171"/>
      <c r="HV1938" s="171"/>
      <c r="HW1938" s="171"/>
      <c r="HX1938" s="171"/>
      <c r="HY1938" s="171"/>
      <c r="HZ1938" s="171"/>
      <c r="IA1938" s="171"/>
      <c r="IB1938" s="171"/>
      <c r="IC1938" s="171"/>
      <c r="ID1938" s="171"/>
      <c r="IE1938" s="171"/>
      <c r="IF1938" s="171"/>
      <c r="IG1938" s="171"/>
      <c r="IH1938" s="171"/>
      <c r="II1938" s="171"/>
      <c r="IJ1938" s="171"/>
      <c r="IK1938" s="171"/>
      <c r="IL1938" s="171"/>
      <c r="IM1938" s="171"/>
      <c r="IN1938" s="171"/>
      <c r="IO1938" s="171"/>
      <c r="IP1938" s="171"/>
      <c r="IQ1938" s="171"/>
    </row>
    <row r="1939" spans="1:251" ht="14.25" customHeight="1">
      <c r="A1939" s="212"/>
      <c r="B1939" s="221"/>
      <c r="C1939" s="493"/>
      <c r="D1939" s="226"/>
      <c r="E1939" s="360"/>
      <c r="F1939" s="296"/>
      <c r="BI1939" s="171"/>
      <c r="BJ1939" s="171"/>
      <c r="BK1939" s="171"/>
      <c r="BL1939" s="171"/>
      <c r="BM1939" s="171"/>
      <c r="BN1939" s="171"/>
      <c r="BO1939" s="171"/>
      <c r="BP1939" s="171"/>
      <c r="BQ1939" s="171"/>
      <c r="BR1939" s="171"/>
      <c r="BS1939" s="171"/>
      <c r="BT1939" s="171"/>
      <c r="BU1939" s="171"/>
      <c r="BV1939" s="171"/>
      <c r="BW1939" s="171"/>
      <c r="BX1939" s="171"/>
      <c r="BY1939" s="171"/>
      <c r="BZ1939" s="171"/>
      <c r="CA1939" s="171"/>
      <c r="CB1939" s="171"/>
      <c r="CC1939" s="171"/>
      <c r="CD1939" s="171"/>
      <c r="CE1939" s="171"/>
      <c r="CF1939" s="171"/>
      <c r="CG1939" s="171"/>
      <c r="CH1939" s="171"/>
      <c r="CI1939" s="171"/>
      <c r="CJ1939" s="171"/>
      <c r="CK1939" s="171"/>
      <c r="CL1939" s="171"/>
      <c r="CM1939" s="171"/>
      <c r="CN1939" s="171"/>
      <c r="CO1939" s="171"/>
      <c r="CP1939" s="171"/>
      <c r="CQ1939" s="171"/>
      <c r="CR1939" s="171"/>
      <c r="CS1939" s="171"/>
      <c r="CT1939" s="171"/>
      <c r="CU1939" s="171"/>
      <c r="CV1939" s="171"/>
      <c r="CW1939" s="171"/>
      <c r="CX1939" s="171"/>
      <c r="CY1939" s="171"/>
      <c r="CZ1939" s="171"/>
      <c r="DA1939" s="171"/>
      <c r="DB1939" s="171"/>
      <c r="DC1939" s="171"/>
      <c r="DD1939" s="171"/>
      <c r="DE1939" s="171"/>
      <c r="DF1939" s="171"/>
      <c r="DG1939" s="171"/>
      <c r="DH1939" s="171"/>
      <c r="DI1939" s="171"/>
      <c r="DJ1939" s="171"/>
      <c r="DK1939" s="171"/>
      <c r="DL1939" s="171"/>
      <c r="DM1939" s="171"/>
      <c r="DN1939" s="171"/>
      <c r="DO1939" s="171"/>
      <c r="DP1939" s="171"/>
      <c r="DQ1939" s="171"/>
      <c r="DR1939" s="171"/>
      <c r="DS1939" s="171"/>
      <c r="DT1939" s="171"/>
      <c r="DU1939" s="171"/>
      <c r="DV1939" s="171"/>
      <c r="DW1939" s="171"/>
      <c r="DX1939" s="171"/>
      <c r="DY1939" s="171"/>
      <c r="DZ1939" s="171"/>
      <c r="EA1939" s="171"/>
      <c r="EB1939" s="171"/>
      <c r="EC1939" s="171"/>
      <c r="ED1939" s="171"/>
      <c r="EE1939" s="171"/>
      <c r="EF1939" s="171"/>
      <c r="EG1939" s="171"/>
      <c r="EH1939" s="171"/>
      <c r="EI1939" s="171"/>
      <c r="EJ1939" s="171"/>
      <c r="EK1939" s="171"/>
      <c r="EL1939" s="171"/>
      <c r="EM1939" s="171"/>
      <c r="EN1939" s="171"/>
      <c r="EO1939" s="171"/>
      <c r="EP1939" s="171"/>
      <c r="EQ1939" s="171"/>
      <c r="ER1939" s="171"/>
      <c r="ES1939" s="171"/>
      <c r="ET1939" s="171"/>
      <c r="EU1939" s="171"/>
      <c r="EV1939" s="171"/>
      <c r="EW1939" s="171"/>
      <c r="EX1939" s="171"/>
      <c r="EY1939" s="171"/>
      <c r="EZ1939" s="171"/>
      <c r="FA1939" s="171"/>
      <c r="FB1939" s="171"/>
      <c r="FC1939" s="171"/>
      <c r="FD1939" s="171"/>
      <c r="FE1939" s="171"/>
      <c r="FF1939" s="171"/>
      <c r="FG1939" s="171"/>
      <c r="FH1939" s="171"/>
      <c r="FI1939" s="171"/>
      <c r="FJ1939" s="171"/>
      <c r="FK1939" s="171"/>
      <c r="FL1939" s="171"/>
      <c r="FM1939" s="171"/>
      <c r="FN1939" s="171"/>
      <c r="FO1939" s="171"/>
      <c r="FP1939" s="171"/>
      <c r="FQ1939" s="171"/>
      <c r="FR1939" s="171"/>
      <c r="FS1939" s="171"/>
      <c r="FT1939" s="171"/>
      <c r="FU1939" s="171"/>
      <c r="FV1939" s="171"/>
      <c r="FW1939" s="171"/>
      <c r="FX1939" s="171"/>
      <c r="FY1939" s="171"/>
      <c r="FZ1939" s="171"/>
      <c r="GA1939" s="171"/>
      <c r="GB1939" s="171"/>
      <c r="GC1939" s="171"/>
      <c r="GD1939" s="171"/>
      <c r="GE1939" s="171"/>
      <c r="GF1939" s="171"/>
      <c r="GG1939" s="171"/>
      <c r="GH1939" s="171"/>
      <c r="GI1939" s="171"/>
      <c r="GJ1939" s="171"/>
      <c r="GK1939" s="171"/>
      <c r="GL1939" s="171"/>
      <c r="GM1939" s="171"/>
      <c r="GN1939" s="171"/>
      <c r="GO1939" s="171"/>
      <c r="GP1939" s="171"/>
      <c r="GQ1939" s="171"/>
      <c r="GR1939" s="171"/>
      <c r="GS1939" s="171"/>
      <c r="GT1939" s="171"/>
      <c r="GU1939" s="171"/>
      <c r="GV1939" s="171"/>
      <c r="GW1939" s="171"/>
      <c r="GX1939" s="171"/>
      <c r="GY1939" s="171"/>
      <c r="GZ1939" s="171"/>
      <c r="HA1939" s="171"/>
      <c r="HB1939" s="171"/>
      <c r="HC1939" s="171"/>
      <c r="HD1939" s="171"/>
      <c r="HE1939" s="171"/>
      <c r="HF1939" s="171"/>
      <c r="HG1939" s="171"/>
      <c r="HH1939" s="171"/>
      <c r="HI1939" s="171"/>
      <c r="HJ1939" s="171"/>
      <c r="HK1939" s="171"/>
      <c r="HL1939" s="171"/>
      <c r="HM1939" s="171"/>
      <c r="HN1939" s="171"/>
      <c r="HO1939" s="171"/>
      <c r="HP1939" s="171"/>
      <c r="HQ1939" s="171"/>
      <c r="HR1939" s="171"/>
      <c r="HS1939" s="171"/>
      <c r="HT1939" s="171"/>
      <c r="HU1939" s="171"/>
      <c r="HV1939" s="171"/>
      <c r="HW1939" s="171"/>
      <c r="HX1939" s="171"/>
      <c r="HY1939" s="171"/>
      <c r="HZ1939" s="171"/>
      <c r="IA1939" s="171"/>
      <c r="IB1939" s="171"/>
      <c r="IC1939" s="171"/>
      <c r="ID1939" s="171"/>
      <c r="IE1939" s="171"/>
      <c r="IF1939" s="171"/>
      <c r="IG1939" s="171"/>
      <c r="IH1939" s="171"/>
      <c r="II1939" s="171"/>
      <c r="IJ1939" s="171"/>
      <c r="IK1939" s="171"/>
      <c r="IL1939" s="171"/>
      <c r="IM1939" s="171"/>
      <c r="IN1939" s="171"/>
      <c r="IO1939" s="171"/>
      <c r="IP1939" s="171"/>
      <c r="IQ1939" s="171"/>
    </row>
    <row r="1940" spans="1:251" ht="14.25" customHeight="1">
      <c r="A1940" s="212"/>
      <c r="B1940" s="221"/>
      <c r="C1940" s="493"/>
      <c r="D1940" s="226"/>
      <c r="E1940" s="360"/>
      <c r="F1940" s="296"/>
      <c r="BI1940" s="171"/>
      <c r="BJ1940" s="171"/>
      <c r="BK1940" s="171"/>
      <c r="BL1940" s="171"/>
      <c r="BM1940" s="171"/>
      <c r="BN1940" s="171"/>
      <c r="BO1940" s="171"/>
      <c r="BP1940" s="171"/>
      <c r="BQ1940" s="171"/>
      <c r="BR1940" s="171"/>
      <c r="BS1940" s="171"/>
      <c r="BT1940" s="171"/>
      <c r="BU1940" s="171"/>
      <c r="BV1940" s="171"/>
      <c r="BW1940" s="171"/>
      <c r="BX1940" s="171"/>
      <c r="BY1940" s="171"/>
      <c r="BZ1940" s="171"/>
      <c r="CA1940" s="171"/>
      <c r="CB1940" s="171"/>
      <c r="CC1940" s="171"/>
      <c r="CD1940" s="171"/>
      <c r="CE1940" s="171"/>
      <c r="CF1940" s="171"/>
      <c r="CG1940" s="171"/>
      <c r="CH1940" s="171"/>
      <c r="CI1940" s="171"/>
      <c r="CJ1940" s="171"/>
      <c r="CK1940" s="171"/>
      <c r="CL1940" s="171"/>
      <c r="CM1940" s="171"/>
      <c r="CN1940" s="171"/>
      <c r="CO1940" s="171"/>
      <c r="CP1940" s="171"/>
      <c r="CQ1940" s="171"/>
      <c r="CR1940" s="171"/>
      <c r="CS1940" s="171"/>
      <c r="CT1940" s="171"/>
      <c r="CU1940" s="171"/>
      <c r="CV1940" s="171"/>
      <c r="CW1940" s="171"/>
      <c r="CX1940" s="171"/>
      <c r="CY1940" s="171"/>
      <c r="CZ1940" s="171"/>
      <c r="DA1940" s="171"/>
      <c r="DB1940" s="171"/>
      <c r="DC1940" s="171"/>
      <c r="DD1940" s="171"/>
      <c r="DE1940" s="171"/>
      <c r="DF1940" s="171"/>
      <c r="DG1940" s="171"/>
      <c r="DH1940" s="171"/>
      <c r="DI1940" s="171"/>
      <c r="DJ1940" s="171"/>
      <c r="DK1940" s="171"/>
      <c r="DL1940" s="171"/>
      <c r="DM1940" s="171"/>
      <c r="DN1940" s="171"/>
      <c r="DO1940" s="171"/>
      <c r="DP1940" s="171"/>
      <c r="DQ1940" s="171"/>
      <c r="DR1940" s="171"/>
      <c r="DS1940" s="171"/>
      <c r="DT1940" s="171"/>
      <c r="DU1940" s="171"/>
      <c r="DV1940" s="171"/>
      <c r="DW1940" s="171"/>
      <c r="DX1940" s="171"/>
      <c r="DY1940" s="171"/>
      <c r="DZ1940" s="171"/>
      <c r="EA1940" s="171"/>
      <c r="EB1940" s="171"/>
      <c r="EC1940" s="171"/>
      <c r="ED1940" s="171"/>
      <c r="EE1940" s="171"/>
      <c r="EF1940" s="171"/>
      <c r="EG1940" s="171"/>
      <c r="EH1940" s="171"/>
      <c r="EI1940" s="171"/>
      <c r="EJ1940" s="171"/>
      <c r="EK1940" s="171"/>
      <c r="EL1940" s="171"/>
      <c r="EM1940" s="171"/>
      <c r="EN1940" s="171"/>
      <c r="EO1940" s="171"/>
      <c r="EP1940" s="171"/>
      <c r="EQ1940" s="171"/>
      <c r="ER1940" s="171"/>
      <c r="ES1940" s="171"/>
      <c r="ET1940" s="171"/>
      <c r="EU1940" s="171"/>
      <c r="EV1940" s="171"/>
      <c r="EW1940" s="171"/>
      <c r="EX1940" s="171"/>
      <c r="EY1940" s="171"/>
      <c r="EZ1940" s="171"/>
      <c r="FA1940" s="171"/>
      <c r="FB1940" s="171"/>
      <c r="FC1940" s="171"/>
      <c r="FD1940" s="171"/>
      <c r="FE1940" s="171"/>
      <c r="FF1940" s="171"/>
      <c r="FG1940" s="171"/>
      <c r="FH1940" s="171"/>
      <c r="FI1940" s="171"/>
      <c r="FJ1940" s="171"/>
      <c r="FK1940" s="171"/>
      <c r="FL1940" s="171"/>
      <c r="FM1940" s="171"/>
      <c r="FN1940" s="171"/>
      <c r="FO1940" s="171"/>
      <c r="FP1940" s="171"/>
      <c r="FQ1940" s="171"/>
      <c r="FR1940" s="171"/>
      <c r="FS1940" s="171"/>
      <c r="FT1940" s="171"/>
      <c r="FU1940" s="171"/>
      <c r="FV1940" s="171"/>
      <c r="FW1940" s="171"/>
      <c r="FX1940" s="171"/>
      <c r="FY1940" s="171"/>
      <c r="FZ1940" s="171"/>
      <c r="GA1940" s="171"/>
      <c r="GB1940" s="171"/>
      <c r="GC1940" s="171"/>
      <c r="GD1940" s="171"/>
      <c r="GE1940" s="171"/>
      <c r="GF1940" s="171"/>
      <c r="GG1940" s="171"/>
      <c r="GH1940" s="171"/>
      <c r="GI1940" s="171"/>
      <c r="GJ1940" s="171"/>
      <c r="GK1940" s="171"/>
      <c r="GL1940" s="171"/>
      <c r="GM1940" s="171"/>
      <c r="GN1940" s="171"/>
      <c r="GO1940" s="171"/>
      <c r="GP1940" s="171"/>
      <c r="GQ1940" s="171"/>
      <c r="GR1940" s="171"/>
      <c r="GS1940" s="171"/>
      <c r="GT1940" s="171"/>
      <c r="GU1940" s="171"/>
      <c r="GV1940" s="171"/>
      <c r="GW1940" s="171"/>
      <c r="GX1940" s="171"/>
      <c r="GY1940" s="171"/>
      <c r="GZ1940" s="171"/>
      <c r="HA1940" s="171"/>
      <c r="HB1940" s="171"/>
      <c r="HC1940" s="171"/>
      <c r="HD1940" s="171"/>
      <c r="HE1940" s="171"/>
      <c r="HF1940" s="171"/>
      <c r="HG1940" s="171"/>
      <c r="HH1940" s="171"/>
      <c r="HI1940" s="171"/>
      <c r="HJ1940" s="171"/>
      <c r="HK1940" s="171"/>
      <c r="HL1940" s="171"/>
      <c r="HM1940" s="171"/>
      <c r="HN1940" s="171"/>
      <c r="HO1940" s="171"/>
      <c r="HP1940" s="171"/>
      <c r="HQ1940" s="171"/>
      <c r="HR1940" s="171"/>
      <c r="HS1940" s="171"/>
      <c r="HT1940" s="171"/>
      <c r="HU1940" s="171"/>
      <c r="HV1940" s="171"/>
      <c r="HW1940" s="171"/>
      <c r="HX1940" s="171"/>
      <c r="HY1940" s="171"/>
      <c r="HZ1940" s="171"/>
      <c r="IA1940" s="171"/>
      <c r="IB1940" s="171"/>
      <c r="IC1940" s="171"/>
      <c r="ID1940" s="171"/>
      <c r="IE1940" s="171"/>
      <c r="IF1940" s="171"/>
      <c r="IG1940" s="171"/>
      <c r="IH1940" s="171"/>
      <c r="II1940" s="171"/>
      <c r="IJ1940" s="171"/>
      <c r="IK1940" s="171"/>
      <c r="IL1940" s="171"/>
      <c r="IM1940" s="171"/>
      <c r="IN1940" s="171"/>
      <c r="IO1940" s="171"/>
      <c r="IP1940" s="171"/>
      <c r="IQ1940" s="171"/>
    </row>
    <row r="1941" spans="1:251" ht="14.25" customHeight="1">
      <c r="A1941" s="212"/>
      <c r="B1941" s="221"/>
      <c r="C1941" s="295"/>
      <c r="D1941" s="226"/>
      <c r="E1941" s="360"/>
      <c r="F1941" s="296"/>
      <c r="BI1941" s="171"/>
      <c r="BJ1941" s="171"/>
      <c r="BK1941" s="171"/>
      <c r="BL1941" s="171"/>
      <c r="BM1941" s="171"/>
      <c r="BN1941" s="171"/>
      <c r="BO1941" s="171"/>
      <c r="BP1941" s="171"/>
      <c r="BQ1941" s="171"/>
      <c r="BR1941" s="171"/>
      <c r="BS1941" s="171"/>
      <c r="BT1941" s="171"/>
      <c r="BU1941" s="171"/>
      <c r="BV1941" s="171"/>
      <c r="BW1941" s="171"/>
      <c r="BX1941" s="171"/>
      <c r="BY1941" s="171"/>
      <c r="BZ1941" s="171"/>
      <c r="CA1941" s="171"/>
      <c r="CB1941" s="171"/>
      <c r="CC1941" s="171"/>
      <c r="CD1941" s="171"/>
      <c r="CE1941" s="171"/>
      <c r="CF1941" s="171"/>
      <c r="CG1941" s="171"/>
      <c r="CH1941" s="171"/>
      <c r="CI1941" s="171"/>
      <c r="CJ1941" s="171"/>
      <c r="CK1941" s="171"/>
      <c r="CL1941" s="171"/>
      <c r="CM1941" s="171"/>
      <c r="CN1941" s="171"/>
      <c r="CO1941" s="171"/>
      <c r="CP1941" s="171"/>
      <c r="CQ1941" s="171"/>
      <c r="CR1941" s="171"/>
      <c r="CS1941" s="171"/>
      <c r="CT1941" s="171"/>
      <c r="CU1941" s="171"/>
      <c r="CV1941" s="171"/>
      <c r="CW1941" s="171"/>
      <c r="CX1941" s="171"/>
      <c r="CY1941" s="171"/>
      <c r="CZ1941" s="171"/>
      <c r="DA1941" s="171"/>
      <c r="DB1941" s="171"/>
      <c r="DC1941" s="171"/>
      <c r="DD1941" s="171"/>
      <c r="DE1941" s="171"/>
      <c r="DF1941" s="171"/>
      <c r="DG1941" s="171"/>
      <c r="DH1941" s="171"/>
      <c r="DI1941" s="171"/>
      <c r="DJ1941" s="171"/>
      <c r="DK1941" s="171"/>
      <c r="DL1941" s="171"/>
      <c r="DM1941" s="171"/>
      <c r="DN1941" s="171"/>
      <c r="DO1941" s="171"/>
      <c r="DP1941" s="171"/>
      <c r="DQ1941" s="171"/>
      <c r="DR1941" s="171"/>
      <c r="DS1941" s="171"/>
      <c r="DT1941" s="171"/>
      <c r="DU1941" s="171"/>
      <c r="DV1941" s="171"/>
      <c r="DW1941" s="171"/>
      <c r="DX1941" s="171"/>
      <c r="DY1941" s="171"/>
      <c r="DZ1941" s="171"/>
      <c r="EA1941" s="171"/>
      <c r="EB1941" s="171"/>
      <c r="EC1941" s="171"/>
      <c r="ED1941" s="171"/>
      <c r="EE1941" s="171"/>
      <c r="EF1941" s="171"/>
      <c r="EG1941" s="171"/>
      <c r="EH1941" s="171"/>
      <c r="EI1941" s="171"/>
      <c r="EJ1941" s="171"/>
      <c r="EK1941" s="171"/>
      <c r="EL1941" s="171"/>
      <c r="EM1941" s="171"/>
      <c r="EN1941" s="171"/>
      <c r="EO1941" s="171"/>
      <c r="EP1941" s="171"/>
      <c r="EQ1941" s="171"/>
      <c r="ER1941" s="171"/>
      <c r="ES1941" s="171"/>
      <c r="ET1941" s="171"/>
      <c r="EU1941" s="171"/>
      <c r="EV1941" s="171"/>
      <c r="EW1941" s="171"/>
      <c r="EX1941" s="171"/>
      <c r="EY1941" s="171"/>
      <c r="EZ1941" s="171"/>
      <c r="FA1941" s="171"/>
      <c r="FB1941" s="171"/>
      <c r="FC1941" s="171"/>
      <c r="FD1941" s="171"/>
      <c r="FE1941" s="171"/>
      <c r="FF1941" s="171"/>
      <c r="FG1941" s="171"/>
      <c r="FH1941" s="171"/>
      <c r="FI1941" s="171"/>
      <c r="FJ1941" s="171"/>
      <c r="FK1941" s="171"/>
      <c r="FL1941" s="171"/>
      <c r="FM1941" s="171"/>
      <c r="FN1941" s="171"/>
      <c r="FO1941" s="171"/>
      <c r="FP1941" s="171"/>
      <c r="FQ1941" s="171"/>
      <c r="FR1941" s="171"/>
      <c r="FS1941" s="171"/>
      <c r="FT1941" s="171"/>
      <c r="FU1941" s="171"/>
      <c r="FV1941" s="171"/>
      <c r="FW1941" s="171"/>
      <c r="FX1941" s="171"/>
      <c r="FY1941" s="171"/>
      <c r="FZ1941" s="171"/>
      <c r="GA1941" s="171"/>
      <c r="GB1941" s="171"/>
      <c r="GC1941" s="171"/>
      <c r="GD1941" s="171"/>
      <c r="GE1941" s="171"/>
      <c r="GF1941" s="171"/>
      <c r="GG1941" s="171"/>
      <c r="GH1941" s="171"/>
      <c r="GI1941" s="171"/>
      <c r="GJ1941" s="171"/>
      <c r="GK1941" s="171"/>
      <c r="GL1941" s="171"/>
      <c r="GM1941" s="171"/>
      <c r="GN1941" s="171"/>
      <c r="GO1941" s="171"/>
      <c r="GP1941" s="171"/>
      <c r="GQ1941" s="171"/>
      <c r="GR1941" s="171"/>
      <c r="GS1941" s="171"/>
      <c r="GT1941" s="171"/>
      <c r="GU1941" s="171"/>
      <c r="GV1941" s="171"/>
      <c r="GW1941" s="171"/>
      <c r="GX1941" s="171"/>
      <c r="GY1941" s="171"/>
      <c r="GZ1941" s="171"/>
      <c r="HA1941" s="171"/>
      <c r="HB1941" s="171"/>
      <c r="HC1941" s="171"/>
      <c r="HD1941" s="171"/>
      <c r="HE1941" s="171"/>
      <c r="HF1941" s="171"/>
      <c r="HG1941" s="171"/>
      <c r="HH1941" s="171"/>
      <c r="HI1941" s="171"/>
      <c r="HJ1941" s="171"/>
      <c r="HK1941" s="171"/>
      <c r="HL1941" s="171"/>
      <c r="HM1941" s="171"/>
      <c r="HN1941" s="171"/>
      <c r="HO1941" s="171"/>
      <c r="HP1941" s="171"/>
      <c r="HQ1941" s="171"/>
      <c r="HR1941" s="171"/>
      <c r="HS1941" s="171"/>
      <c r="HT1941" s="171"/>
      <c r="HU1941" s="171"/>
      <c r="HV1941" s="171"/>
      <c r="HW1941" s="171"/>
      <c r="HX1941" s="171"/>
      <c r="HY1941" s="171"/>
      <c r="HZ1941" s="171"/>
      <c r="IA1941" s="171"/>
      <c r="IB1941" s="171"/>
      <c r="IC1941" s="171"/>
      <c r="ID1941" s="171"/>
      <c r="IE1941" s="171"/>
      <c r="IF1941" s="171"/>
      <c r="IG1941" s="171"/>
      <c r="IH1941" s="171"/>
      <c r="II1941" s="171"/>
      <c r="IJ1941" s="171"/>
      <c r="IK1941" s="171"/>
      <c r="IL1941" s="171"/>
      <c r="IM1941" s="171"/>
      <c r="IN1941" s="171"/>
      <c r="IO1941" s="171"/>
      <c r="IP1941" s="171"/>
      <c r="IQ1941" s="171"/>
    </row>
    <row r="1942" spans="1:251" ht="14.25" customHeight="1">
      <c r="A1942" s="212"/>
      <c r="B1942" s="221" t="s">
        <v>2008</v>
      </c>
      <c r="C1942" s="493" t="s">
        <v>2009</v>
      </c>
      <c r="D1942" s="226" t="s">
        <v>2004</v>
      </c>
      <c r="E1942" s="360">
        <f>'[5]COSTO CDMX,QRO,GDL '!I1936</f>
        <v>14433.436532507742</v>
      </c>
      <c r="F1942" s="217" t="s">
        <v>284</v>
      </c>
      <c r="BI1942" s="171"/>
      <c r="BJ1942" s="171"/>
      <c r="BK1942" s="171"/>
      <c r="BL1942" s="171"/>
      <c r="BM1942" s="171"/>
      <c r="BN1942" s="171"/>
      <c r="BO1942" s="171"/>
      <c r="BP1942" s="171"/>
      <c r="BQ1942" s="171"/>
      <c r="BR1942" s="171"/>
      <c r="BS1942" s="171"/>
      <c r="BT1942" s="171"/>
      <c r="BU1942" s="171"/>
      <c r="BV1942" s="171"/>
      <c r="BW1942" s="171"/>
      <c r="BX1942" s="171"/>
      <c r="BY1942" s="171"/>
      <c r="BZ1942" s="171"/>
      <c r="CA1942" s="171"/>
      <c r="CB1942" s="171"/>
      <c r="CC1942" s="171"/>
      <c r="CD1942" s="171"/>
      <c r="CE1942" s="171"/>
      <c r="CF1942" s="171"/>
      <c r="CG1942" s="171"/>
      <c r="CH1942" s="171"/>
      <c r="CI1942" s="171"/>
      <c r="CJ1942" s="171"/>
      <c r="CK1942" s="171"/>
      <c r="CL1942" s="171"/>
      <c r="CM1942" s="171"/>
      <c r="CN1942" s="171"/>
      <c r="CO1942" s="171"/>
      <c r="CP1942" s="171"/>
      <c r="CQ1942" s="171"/>
      <c r="CR1942" s="171"/>
      <c r="CS1942" s="171"/>
      <c r="CT1942" s="171"/>
      <c r="CU1942" s="171"/>
      <c r="CV1942" s="171"/>
      <c r="CW1942" s="171"/>
      <c r="CX1942" s="171"/>
      <c r="CY1942" s="171"/>
      <c r="CZ1942" s="171"/>
      <c r="DA1942" s="171"/>
      <c r="DB1942" s="171"/>
      <c r="DC1942" s="171"/>
      <c r="DD1942" s="171"/>
      <c r="DE1942" s="171"/>
      <c r="DF1942" s="171"/>
      <c r="DG1942" s="171"/>
      <c r="DH1942" s="171"/>
      <c r="DI1942" s="171"/>
      <c r="DJ1942" s="171"/>
      <c r="DK1942" s="171"/>
      <c r="DL1942" s="171"/>
      <c r="DM1942" s="171"/>
      <c r="DN1942" s="171"/>
      <c r="DO1942" s="171"/>
      <c r="DP1942" s="171"/>
      <c r="DQ1942" s="171"/>
      <c r="DR1942" s="171"/>
      <c r="DS1942" s="171"/>
      <c r="DT1942" s="171"/>
      <c r="DU1942" s="171"/>
      <c r="DV1942" s="171"/>
      <c r="DW1942" s="171"/>
      <c r="DX1942" s="171"/>
      <c r="DY1942" s="171"/>
      <c r="DZ1942" s="171"/>
      <c r="EA1942" s="171"/>
      <c r="EB1942" s="171"/>
      <c r="EC1942" s="171"/>
      <c r="ED1942" s="171"/>
      <c r="EE1942" s="171"/>
      <c r="EF1942" s="171"/>
      <c r="EG1942" s="171"/>
      <c r="EH1942" s="171"/>
      <c r="EI1942" s="171"/>
      <c r="EJ1942" s="171"/>
      <c r="EK1942" s="171"/>
      <c r="EL1942" s="171"/>
      <c r="EM1942" s="171"/>
      <c r="EN1942" s="171"/>
      <c r="EO1942" s="171"/>
      <c r="EP1942" s="171"/>
      <c r="EQ1942" s="171"/>
      <c r="ER1942" s="171"/>
      <c r="ES1942" s="171"/>
      <c r="ET1942" s="171"/>
      <c r="EU1942" s="171"/>
      <c r="EV1942" s="171"/>
      <c r="EW1942" s="171"/>
      <c r="EX1942" s="171"/>
      <c r="EY1942" s="171"/>
      <c r="EZ1942" s="171"/>
      <c r="FA1942" s="171"/>
      <c r="FB1942" s="171"/>
      <c r="FC1942" s="171"/>
      <c r="FD1942" s="171"/>
      <c r="FE1942" s="171"/>
      <c r="FF1942" s="171"/>
      <c r="FG1942" s="171"/>
      <c r="FH1942" s="171"/>
      <c r="FI1942" s="171"/>
      <c r="FJ1942" s="171"/>
      <c r="FK1942" s="171"/>
      <c r="FL1942" s="171"/>
      <c r="FM1942" s="171"/>
      <c r="FN1942" s="171"/>
      <c r="FO1942" s="171"/>
      <c r="FP1942" s="171"/>
      <c r="FQ1942" s="171"/>
      <c r="FR1942" s="171"/>
      <c r="FS1942" s="171"/>
      <c r="FT1942" s="171"/>
      <c r="FU1942" s="171"/>
      <c r="FV1942" s="171"/>
      <c r="FW1942" s="171"/>
      <c r="FX1942" s="171"/>
      <c r="FY1942" s="171"/>
      <c r="FZ1942" s="171"/>
      <c r="GA1942" s="171"/>
      <c r="GB1942" s="171"/>
      <c r="GC1942" s="171"/>
      <c r="GD1942" s="171"/>
      <c r="GE1942" s="171"/>
      <c r="GF1942" s="171"/>
      <c r="GG1942" s="171"/>
      <c r="GH1942" s="171"/>
      <c r="GI1942" s="171"/>
      <c r="GJ1942" s="171"/>
      <c r="GK1942" s="171"/>
      <c r="GL1942" s="171"/>
      <c r="GM1942" s="171"/>
      <c r="GN1942" s="171"/>
      <c r="GO1942" s="171"/>
      <c r="GP1942" s="171"/>
      <c r="GQ1942" s="171"/>
      <c r="GR1942" s="171"/>
      <c r="GS1942" s="171"/>
      <c r="GT1942" s="171"/>
      <c r="GU1942" s="171"/>
      <c r="GV1942" s="171"/>
      <c r="GW1942" s="171"/>
      <c r="GX1942" s="171"/>
      <c r="GY1942" s="171"/>
      <c r="GZ1942" s="171"/>
      <c r="HA1942" s="171"/>
      <c r="HB1942" s="171"/>
      <c r="HC1942" s="171"/>
      <c r="HD1942" s="171"/>
      <c r="HE1942" s="171"/>
      <c r="HF1942" s="171"/>
      <c r="HG1942" s="171"/>
      <c r="HH1942" s="171"/>
      <c r="HI1942" s="171"/>
      <c r="HJ1942" s="171"/>
      <c r="HK1942" s="171"/>
      <c r="HL1942" s="171"/>
      <c r="HM1942" s="171"/>
      <c r="HN1942" s="171"/>
      <c r="HO1942" s="171"/>
      <c r="HP1942" s="171"/>
      <c r="HQ1942" s="171"/>
      <c r="HR1942" s="171"/>
      <c r="HS1942" s="171"/>
      <c r="HT1942" s="171"/>
      <c r="HU1942" s="171"/>
      <c r="HV1942" s="171"/>
      <c r="HW1942" s="171"/>
      <c r="HX1942" s="171"/>
      <c r="HY1942" s="171"/>
      <c r="HZ1942" s="171"/>
      <c r="IA1942" s="171"/>
      <c r="IB1942" s="171"/>
      <c r="IC1942" s="171"/>
      <c r="ID1942" s="171"/>
      <c r="IE1942" s="171"/>
      <c r="IF1942" s="171"/>
      <c r="IG1942" s="171"/>
      <c r="IH1942" s="171"/>
      <c r="II1942" s="171"/>
      <c r="IJ1942" s="171"/>
      <c r="IK1942" s="171"/>
      <c r="IL1942" s="171"/>
      <c r="IM1942" s="171"/>
      <c r="IN1942" s="171"/>
      <c r="IO1942" s="171"/>
      <c r="IP1942" s="171"/>
      <c r="IQ1942" s="171"/>
    </row>
    <row r="1943" spans="1:251" ht="14.25" customHeight="1">
      <c r="A1943" s="212"/>
      <c r="B1943" s="221"/>
      <c r="C1943" s="493" t="s">
        <v>2010</v>
      </c>
      <c r="D1943" s="226"/>
      <c r="E1943" s="360"/>
      <c r="F1943" s="296"/>
      <c r="BI1943" s="171"/>
      <c r="BJ1943" s="171"/>
      <c r="BK1943" s="171"/>
      <c r="BL1943" s="171"/>
      <c r="BM1943" s="171"/>
      <c r="BN1943" s="171"/>
      <c r="BO1943" s="171"/>
      <c r="BP1943" s="171"/>
      <c r="BQ1943" s="171"/>
      <c r="BR1943" s="171"/>
      <c r="BS1943" s="171"/>
      <c r="BT1943" s="171"/>
      <c r="BU1943" s="171"/>
      <c r="BV1943" s="171"/>
      <c r="BW1943" s="171"/>
      <c r="BX1943" s="171"/>
      <c r="BY1943" s="171"/>
      <c r="BZ1943" s="171"/>
      <c r="CA1943" s="171"/>
      <c r="CB1943" s="171"/>
      <c r="CC1943" s="171"/>
      <c r="CD1943" s="171"/>
      <c r="CE1943" s="171"/>
      <c r="CF1943" s="171"/>
      <c r="CG1943" s="171"/>
      <c r="CH1943" s="171"/>
      <c r="CI1943" s="171"/>
      <c r="CJ1943" s="171"/>
      <c r="CK1943" s="171"/>
      <c r="CL1943" s="171"/>
      <c r="CM1943" s="171"/>
      <c r="CN1943" s="171"/>
      <c r="CO1943" s="171"/>
      <c r="CP1943" s="171"/>
      <c r="CQ1943" s="171"/>
      <c r="CR1943" s="171"/>
      <c r="CS1943" s="171"/>
      <c r="CT1943" s="171"/>
      <c r="CU1943" s="171"/>
      <c r="CV1943" s="171"/>
      <c r="CW1943" s="171"/>
      <c r="CX1943" s="171"/>
      <c r="CY1943" s="171"/>
      <c r="CZ1943" s="171"/>
      <c r="DA1943" s="171"/>
      <c r="DB1943" s="171"/>
      <c r="DC1943" s="171"/>
      <c r="DD1943" s="171"/>
      <c r="DE1943" s="171"/>
      <c r="DF1943" s="171"/>
      <c r="DG1943" s="171"/>
      <c r="DH1943" s="171"/>
      <c r="DI1943" s="171"/>
      <c r="DJ1943" s="171"/>
      <c r="DK1943" s="171"/>
      <c r="DL1943" s="171"/>
      <c r="DM1943" s="171"/>
      <c r="DN1943" s="171"/>
      <c r="DO1943" s="171"/>
      <c r="DP1943" s="171"/>
      <c r="DQ1943" s="171"/>
      <c r="DR1943" s="171"/>
      <c r="DS1943" s="171"/>
      <c r="DT1943" s="171"/>
      <c r="DU1943" s="171"/>
      <c r="DV1943" s="171"/>
      <c r="DW1943" s="171"/>
      <c r="DX1943" s="171"/>
      <c r="DY1943" s="171"/>
      <c r="DZ1943" s="171"/>
      <c r="EA1943" s="171"/>
      <c r="EB1943" s="171"/>
      <c r="EC1943" s="171"/>
      <c r="ED1943" s="171"/>
      <c r="EE1943" s="171"/>
      <c r="EF1943" s="171"/>
      <c r="EG1943" s="171"/>
      <c r="EH1943" s="171"/>
      <c r="EI1943" s="171"/>
      <c r="EJ1943" s="171"/>
      <c r="EK1943" s="171"/>
      <c r="EL1943" s="171"/>
      <c r="EM1943" s="171"/>
      <c r="EN1943" s="171"/>
      <c r="EO1943" s="171"/>
      <c r="EP1943" s="171"/>
      <c r="EQ1943" s="171"/>
      <c r="ER1943" s="171"/>
      <c r="ES1943" s="171"/>
      <c r="ET1943" s="171"/>
      <c r="EU1943" s="171"/>
      <c r="EV1943" s="171"/>
      <c r="EW1943" s="171"/>
      <c r="EX1943" s="171"/>
      <c r="EY1943" s="171"/>
      <c r="EZ1943" s="171"/>
      <c r="FA1943" s="171"/>
      <c r="FB1943" s="171"/>
      <c r="FC1943" s="171"/>
      <c r="FD1943" s="171"/>
      <c r="FE1943" s="171"/>
      <c r="FF1943" s="171"/>
      <c r="FG1943" s="171"/>
      <c r="FH1943" s="171"/>
      <c r="FI1943" s="171"/>
      <c r="FJ1943" s="171"/>
      <c r="FK1943" s="171"/>
      <c r="FL1943" s="171"/>
      <c r="FM1943" s="171"/>
      <c r="FN1943" s="171"/>
      <c r="FO1943" s="171"/>
      <c r="FP1943" s="171"/>
      <c r="FQ1943" s="171"/>
      <c r="FR1943" s="171"/>
      <c r="FS1943" s="171"/>
      <c r="FT1943" s="171"/>
      <c r="FU1943" s="171"/>
      <c r="FV1943" s="171"/>
      <c r="FW1943" s="171"/>
      <c r="FX1943" s="171"/>
      <c r="FY1943" s="171"/>
      <c r="FZ1943" s="171"/>
      <c r="GA1943" s="171"/>
      <c r="GB1943" s="171"/>
      <c r="GC1943" s="171"/>
      <c r="GD1943" s="171"/>
      <c r="GE1943" s="171"/>
      <c r="GF1943" s="171"/>
      <c r="GG1943" s="171"/>
      <c r="GH1943" s="171"/>
      <c r="GI1943" s="171"/>
      <c r="GJ1943" s="171"/>
      <c r="GK1943" s="171"/>
      <c r="GL1943" s="171"/>
      <c r="GM1943" s="171"/>
      <c r="GN1943" s="171"/>
      <c r="GO1943" s="171"/>
      <c r="GP1943" s="171"/>
      <c r="GQ1943" s="171"/>
      <c r="GR1943" s="171"/>
      <c r="GS1943" s="171"/>
      <c r="GT1943" s="171"/>
      <c r="GU1943" s="171"/>
      <c r="GV1943" s="171"/>
      <c r="GW1943" s="171"/>
      <c r="GX1943" s="171"/>
      <c r="GY1943" s="171"/>
      <c r="GZ1943" s="171"/>
      <c r="HA1943" s="171"/>
      <c r="HB1943" s="171"/>
      <c r="HC1943" s="171"/>
      <c r="HD1943" s="171"/>
      <c r="HE1943" s="171"/>
      <c r="HF1943" s="171"/>
      <c r="HG1943" s="171"/>
      <c r="HH1943" s="171"/>
      <c r="HI1943" s="171"/>
      <c r="HJ1943" s="171"/>
      <c r="HK1943" s="171"/>
      <c r="HL1943" s="171"/>
      <c r="HM1943" s="171"/>
      <c r="HN1943" s="171"/>
      <c r="HO1943" s="171"/>
      <c r="HP1943" s="171"/>
      <c r="HQ1943" s="171"/>
      <c r="HR1943" s="171"/>
      <c r="HS1943" s="171"/>
      <c r="HT1943" s="171"/>
      <c r="HU1943" s="171"/>
      <c r="HV1943" s="171"/>
      <c r="HW1943" s="171"/>
      <c r="HX1943" s="171"/>
      <c r="HY1943" s="171"/>
      <c r="HZ1943" s="171"/>
      <c r="IA1943" s="171"/>
      <c r="IB1943" s="171"/>
      <c r="IC1943" s="171"/>
      <c r="ID1943" s="171"/>
      <c r="IE1943" s="171"/>
      <c r="IF1943" s="171"/>
      <c r="IG1943" s="171"/>
      <c r="IH1943" s="171"/>
      <c r="II1943" s="171"/>
      <c r="IJ1943" s="171"/>
      <c r="IK1943" s="171"/>
      <c r="IL1943" s="171"/>
      <c r="IM1943" s="171"/>
      <c r="IN1943" s="171"/>
      <c r="IO1943" s="171"/>
      <c r="IP1943" s="171"/>
      <c r="IQ1943" s="171"/>
    </row>
    <row r="1944" spans="1:251" ht="14.25" customHeight="1">
      <c r="A1944" s="212"/>
      <c r="B1944" s="221"/>
      <c r="C1944" s="493" t="s">
        <v>2011</v>
      </c>
      <c r="D1944" s="226"/>
      <c r="E1944" s="360"/>
      <c r="F1944" s="296"/>
      <c r="BI1944" s="171"/>
      <c r="BJ1944" s="171"/>
      <c r="BK1944" s="171"/>
      <c r="BL1944" s="171"/>
      <c r="BM1944" s="171"/>
      <c r="BN1944" s="171"/>
      <c r="BO1944" s="171"/>
      <c r="BP1944" s="171"/>
      <c r="BQ1944" s="171"/>
      <c r="BR1944" s="171"/>
      <c r="BS1944" s="171"/>
      <c r="BT1944" s="171"/>
      <c r="BU1944" s="171"/>
      <c r="BV1944" s="171"/>
      <c r="BW1944" s="171"/>
      <c r="BX1944" s="171"/>
      <c r="BY1944" s="171"/>
      <c r="BZ1944" s="171"/>
      <c r="CA1944" s="171"/>
      <c r="CB1944" s="171"/>
      <c r="CC1944" s="171"/>
      <c r="CD1944" s="171"/>
      <c r="CE1944" s="171"/>
      <c r="CF1944" s="171"/>
      <c r="CG1944" s="171"/>
      <c r="CH1944" s="171"/>
      <c r="CI1944" s="171"/>
      <c r="CJ1944" s="171"/>
      <c r="CK1944" s="171"/>
      <c r="CL1944" s="171"/>
      <c r="CM1944" s="171"/>
      <c r="CN1944" s="171"/>
      <c r="CO1944" s="171"/>
      <c r="CP1944" s="171"/>
      <c r="CQ1944" s="171"/>
      <c r="CR1944" s="171"/>
      <c r="CS1944" s="171"/>
      <c r="CT1944" s="171"/>
      <c r="CU1944" s="171"/>
      <c r="CV1944" s="171"/>
      <c r="CW1944" s="171"/>
      <c r="CX1944" s="171"/>
      <c r="CY1944" s="171"/>
      <c r="CZ1944" s="171"/>
      <c r="DA1944" s="171"/>
      <c r="DB1944" s="171"/>
      <c r="DC1944" s="171"/>
      <c r="DD1944" s="171"/>
      <c r="DE1944" s="171"/>
      <c r="DF1944" s="171"/>
      <c r="DG1944" s="171"/>
      <c r="DH1944" s="171"/>
      <c r="DI1944" s="171"/>
      <c r="DJ1944" s="171"/>
      <c r="DK1944" s="171"/>
      <c r="DL1944" s="171"/>
      <c r="DM1944" s="171"/>
      <c r="DN1944" s="171"/>
      <c r="DO1944" s="171"/>
      <c r="DP1944" s="171"/>
      <c r="DQ1944" s="171"/>
      <c r="DR1944" s="171"/>
      <c r="DS1944" s="171"/>
      <c r="DT1944" s="171"/>
      <c r="DU1944" s="171"/>
      <c r="DV1944" s="171"/>
      <c r="DW1944" s="171"/>
      <c r="DX1944" s="171"/>
      <c r="DY1944" s="171"/>
      <c r="DZ1944" s="171"/>
      <c r="EA1944" s="171"/>
      <c r="EB1944" s="171"/>
      <c r="EC1944" s="171"/>
      <c r="ED1944" s="171"/>
      <c r="EE1944" s="171"/>
      <c r="EF1944" s="171"/>
      <c r="EG1944" s="171"/>
      <c r="EH1944" s="171"/>
      <c r="EI1944" s="171"/>
      <c r="EJ1944" s="171"/>
      <c r="EK1944" s="171"/>
      <c r="EL1944" s="171"/>
      <c r="EM1944" s="171"/>
      <c r="EN1944" s="171"/>
      <c r="EO1944" s="171"/>
      <c r="EP1944" s="171"/>
      <c r="EQ1944" s="171"/>
      <c r="ER1944" s="171"/>
      <c r="ES1944" s="171"/>
      <c r="ET1944" s="171"/>
      <c r="EU1944" s="171"/>
      <c r="EV1944" s="171"/>
      <c r="EW1944" s="171"/>
      <c r="EX1944" s="171"/>
      <c r="EY1944" s="171"/>
      <c r="EZ1944" s="171"/>
      <c r="FA1944" s="171"/>
      <c r="FB1944" s="171"/>
      <c r="FC1944" s="171"/>
      <c r="FD1944" s="171"/>
      <c r="FE1944" s="171"/>
      <c r="FF1944" s="171"/>
      <c r="FG1944" s="171"/>
      <c r="FH1944" s="171"/>
      <c r="FI1944" s="171"/>
      <c r="FJ1944" s="171"/>
      <c r="FK1944" s="171"/>
      <c r="FL1944" s="171"/>
      <c r="FM1944" s="171"/>
      <c r="FN1944" s="171"/>
      <c r="FO1944" s="171"/>
      <c r="FP1944" s="171"/>
      <c r="FQ1944" s="171"/>
      <c r="FR1944" s="171"/>
      <c r="FS1944" s="171"/>
      <c r="FT1944" s="171"/>
      <c r="FU1944" s="171"/>
      <c r="FV1944" s="171"/>
      <c r="FW1944" s="171"/>
      <c r="FX1944" s="171"/>
      <c r="FY1944" s="171"/>
      <c r="FZ1944" s="171"/>
      <c r="GA1944" s="171"/>
      <c r="GB1944" s="171"/>
      <c r="GC1944" s="171"/>
      <c r="GD1944" s="171"/>
      <c r="GE1944" s="171"/>
      <c r="GF1944" s="171"/>
      <c r="GG1944" s="171"/>
      <c r="GH1944" s="171"/>
      <c r="GI1944" s="171"/>
      <c r="GJ1944" s="171"/>
      <c r="GK1944" s="171"/>
      <c r="GL1944" s="171"/>
      <c r="GM1944" s="171"/>
      <c r="GN1944" s="171"/>
      <c r="GO1944" s="171"/>
      <c r="GP1944" s="171"/>
      <c r="GQ1944" s="171"/>
      <c r="GR1944" s="171"/>
      <c r="GS1944" s="171"/>
      <c r="GT1944" s="171"/>
      <c r="GU1944" s="171"/>
      <c r="GV1944" s="171"/>
      <c r="GW1944" s="171"/>
      <c r="GX1944" s="171"/>
      <c r="GY1944" s="171"/>
      <c r="GZ1944" s="171"/>
      <c r="HA1944" s="171"/>
      <c r="HB1944" s="171"/>
      <c r="HC1944" s="171"/>
      <c r="HD1944" s="171"/>
      <c r="HE1944" s="171"/>
      <c r="HF1944" s="171"/>
      <c r="HG1944" s="171"/>
      <c r="HH1944" s="171"/>
      <c r="HI1944" s="171"/>
      <c r="HJ1944" s="171"/>
      <c r="HK1944" s="171"/>
      <c r="HL1944" s="171"/>
      <c r="HM1944" s="171"/>
      <c r="HN1944" s="171"/>
      <c r="HO1944" s="171"/>
      <c r="HP1944" s="171"/>
      <c r="HQ1944" s="171"/>
      <c r="HR1944" s="171"/>
      <c r="HS1944" s="171"/>
      <c r="HT1944" s="171"/>
      <c r="HU1944" s="171"/>
      <c r="HV1944" s="171"/>
      <c r="HW1944" s="171"/>
      <c r="HX1944" s="171"/>
      <c r="HY1944" s="171"/>
      <c r="HZ1944" s="171"/>
      <c r="IA1944" s="171"/>
      <c r="IB1944" s="171"/>
      <c r="IC1944" s="171"/>
      <c r="ID1944" s="171"/>
      <c r="IE1944" s="171"/>
      <c r="IF1944" s="171"/>
      <c r="IG1944" s="171"/>
      <c r="IH1944" s="171"/>
      <c r="II1944" s="171"/>
      <c r="IJ1944" s="171"/>
      <c r="IK1944" s="171"/>
      <c r="IL1944" s="171"/>
      <c r="IM1944" s="171"/>
      <c r="IN1944" s="171"/>
      <c r="IO1944" s="171"/>
      <c r="IP1944" s="171"/>
      <c r="IQ1944" s="171"/>
    </row>
    <row r="1945" spans="1:251" ht="14.25" customHeight="1">
      <c r="A1945" s="212"/>
      <c r="B1945" s="221"/>
      <c r="C1945" s="493" t="s">
        <v>2012</v>
      </c>
      <c r="D1945" s="226"/>
      <c r="E1945" s="360"/>
      <c r="F1945" s="296"/>
      <c r="BI1945" s="171"/>
      <c r="BJ1945" s="171"/>
      <c r="BK1945" s="171"/>
      <c r="BL1945" s="171"/>
      <c r="BM1945" s="171"/>
      <c r="BN1945" s="171"/>
      <c r="BO1945" s="171"/>
      <c r="BP1945" s="171"/>
      <c r="BQ1945" s="171"/>
      <c r="BR1945" s="171"/>
      <c r="BS1945" s="171"/>
      <c r="BT1945" s="171"/>
      <c r="BU1945" s="171"/>
      <c r="BV1945" s="171"/>
      <c r="BW1945" s="171"/>
      <c r="BX1945" s="171"/>
      <c r="BY1945" s="171"/>
      <c r="BZ1945" s="171"/>
      <c r="CA1945" s="171"/>
      <c r="CB1945" s="171"/>
      <c r="CC1945" s="171"/>
      <c r="CD1945" s="171"/>
      <c r="CE1945" s="171"/>
      <c r="CF1945" s="171"/>
      <c r="CG1945" s="171"/>
      <c r="CH1945" s="171"/>
      <c r="CI1945" s="171"/>
      <c r="CJ1945" s="171"/>
      <c r="CK1945" s="171"/>
      <c r="CL1945" s="171"/>
      <c r="CM1945" s="171"/>
      <c r="CN1945" s="171"/>
      <c r="CO1945" s="171"/>
      <c r="CP1945" s="171"/>
      <c r="CQ1945" s="171"/>
      <c r="CR1945" s="171"/>
      <c r="CS1945" s="171"/>
      <c r="CT1945" s="171"/>
      <c r="CU1945" s="171"/>
      <c r="CV1945" s="171"/>
      <c r="CW1945" s="171"/>
      <c r="CX1945" s="171"/>
      <c r="CY1945" s="171"/>
      <c r="CZ1945" s="171"/>
      <c r="DA1945" s="171"/>
      <c r="DB1945" s="171"/>
      <c r="DC1945" s="171"/>
      <c r="DD1945" s="171"/>
      <c r="DE1945" s="171"/>
      <c r="DF1945" s="171"/>
      <c r="DG1945" s="171"/>
      <c r="DH1945" s="171"/>
      <c r="DI1945" s="171"/>
      <c r="DJ1945" s="171"/>
      <c r="DK1945" s="171"/>
      <c r="DL1945" s="171"/>
      <c r="DM1945" s="171"/>
      <c r="DN1945" s="171"/>
      <c r="DO1945" s="171"/>
      <c r="DP1945" s="171"/>
      <c r="DQ1945" s="171"/>
      <c r="DR1945" s="171"/>
      <c r="DS1945" s="171"/>
      <c r="DT1945" s="171"/>
      <c r="DU1945" s="171"/>
      <c r="DV1945" s="171"/>
      <c r="DW1945" s="171"/>
      <c r="DX1945" s="171"/>
      <c r="DY1945" s="171"/>
      <c r="DZ1945" s="171"/>
      <c r="EA1945" s="171"/>
      <c r="EB1945" s="171"/>
      <c r="EC1945" s="171"/>
      <c r="ED1945" s="171"/>
      <c r="EE1945" s="171"/>
      <c r="EF1945" s="171"/>
      <c r="EG1945" s="171"/>
      <c r="EH1945" s="171"/>
      <c r="EI1945" s="171"/>
      <c r="EJ1945" s="171"/>
      <c r="EK1945" s="171"/>
      <c r="EL1945" s="171"/>
      <c r="EM1945" s="171"/>
      <c r="EN1945" s="171"/>
      <c r="EO1945" s="171"/>
      <c r="EP1945" s="171"/>
      <c r="EQ1945" s="171"/>
      <c r="ER1945" s="171"/>
      <c r="ES1945" s="171"/>
      <c r="ET1945" s="171"/>
      <c r="EU1945" s="171"/>
      <c r="EV1945" s="171"/>
      <c r="EW1945" s="171"/>
      <c r="EX1945" s="171"/>
      <c r="EY1945" s="171"/>
      <c r="EZ1945" s="171"/>
      <c r="FA1945" s="171"/>
      <c r="FB1945" s="171"/>
      <c r="FC1945" s="171"/>
      <c r="FD1945" s="171"/>
      <c r="FE1945" s="171"/>
      <c r="FF1945" s="171"/>
      <c r="FG1945" s="171"/>
      <c r="FH1945" s="171"/>
      <c r="FI1945" s="171"/>
      <c r="FJ1945" s="171"/>
      <c r="FK1945" s="171"/>
      <c r="FL1945" s="171"/>
      <c r="FM1945" s="171"/>
      <c r="FN1945" s="171"/>
      <c r="FO1945" s="171"/>
      <c r="FP1945" s="171"/>
      <c r="FQ1945" s="171"/>
      <c r="FR1945" s="171"/>
      <c r="FS1945" s="171"/>
      <c r="FT1945" s="171"/>
      <c r="FU1945" s="171"/>
      <c r="FV1945" s="171"/>
      <c r="FW1945" s="171"/>
      <c r="FX1945" s="171"/>
      <c r="FY1945" s="171"/>
      <c r="FZ1945" s="171"/>
      <c r="GA1945" s="171"/>
      <c r="GB1945" s="171"/>
      <c r="GC1945" s="171"/>
      <c r="GD1945" s="171"/>
      <c r="GE1945" s="171"/>
      <c r="GF1945" s="171"/>
      <c r="GG1945" s="171"/>
      <c r="GH1945" s="171"/>
      <c r="GI1945" s="171"/>
      <c r="GJ1945" s="171"/>
      <c r="GK1945" s="171"/>
      <c r="GL1945" s="171"/>
      <c r="GM1945" s="171"/>
      <c r="GN1945" s="171"/>
      <c r="GO1945" s="171"/>
      <c r="GP1945" s="171"/>
      <c r="GQ1945" s="171"/>
      <c r="GR1945" s="171"/>
      <c r="GS1945" s="171"/>
      <c r="GT1945" s="171"/>
      <c r="GU1945" s="171"/>
      <c r="GV1945" s="171"/>
      <c r="GW1945" s="171"/>
      <c r="GX1945" s="171"/>
      <c r="GY1945" s="171"/>
      <c r="GZ1945" s="171"/>
      <c r="HA1945" s="171"/>
      <c r="HB1945" s="171"/>
      <c r="HC1945" s="171"/>
      <c r="HD1945" s="171"/>
      <c r="HE1945" s="171"/>
      <c r="HF1945" s="171"/>
      <c r="HG1945" s="171"/>
      <c r="HH1945" s="171"/>
      <c r="HI1945" s="171"/>
      <c r="HJ1945" s="171"/>
      <c r="HK1945" s="171"/>
      <c r="HL1945" s="171"/>
      <c r="HM1945" s="171"/>
      <c r="HN1945" s="171"/>
      <c r="HO1945" s="171"/>
      <c r="HP1945" s="171"/>
      <c r="HQ1945" s="171"/>
      <c r="HR1945" s="171"/>
      <c r="HS1945" s="171"/>
      <c r="HT1945" s="171"/>
      <c r="HU1945" s="171"/>
      <c r="HV1945" s="171"/>
      <c r="HW1945" s="171"/>
      <c r="HX1945" s="171"/>
      <c r="HY1945" s="171"/>
      <c r="HZ1945" s="171"/>
      <c r="IA1945" s="171"/>
      <c r="IB1945" s="171"/>
      <c r="IC1945" s="171"/>
      <c r="ID1945" s="171"/>
      <c r="IE1945" s="171"/>
      <c r="IF1945" s="171"/>
      <c r="IG1945" s="171"/>
      <c r="IH1945" s="171"/>
      <c r="II1945" s="171"/>
      <c r="IJ1945" s="171"/>
      <c r="IK1945" s="171"/>
      <c r="IL1945" s="171"/>
      <c r="IM1945" s="171"/>
      <c r="IN1945" s="171"/>
      <c r="IO1945" s="171"/>
      <c r="IP1945" s="171"/>
      <c r="IQ1945" s="171"/>
    </row>
    <row r="1946" spans="1:251" ht="14.25" customHeight="1">
      <c r="A1946" s="212"/>
      <c r="B1946" s="221"/>
      <c r="C1946" s="387" t="s">
        <v>2007</v>
      </c>
      <c r="D1946" s="226"/>
      <c r="E1946" s="360"/>
      <c r="F1946" s="296"/>
      <c r="BI1946" s="171"/>
      <c r="BJ1946" s="171"/>
      <c r="BK1946" s="171"/>
      <c r="BL1946" s="171"/>
      <c r="BM1946" s="171"/>
      <c r="BN1946" s="171"/>
      <c r="BO1946" s="171"/>
      <c r="BP1946" s="171"/>
      <c r="BQ1946" s="171"/>
      <c r="BR1946" s="171"/>
      <c r="BS1946" s="171"/>
      <c r="BT1946" s="171"/>
      <c r="BU1946" s="171"/>
      <c r="BV1946" s="171"/>
      <c r="BW1946" s="171"/>
      <c r="BX1946" s="171"/>
      <c r="BY1946" s="171"/>
      <c r="BZ1946" s="171"/>
      <c r="CA1946" s="171"/>
      <c r="CB1946" s="171"/>
      <c r="CC1946" s="171"/>
      <c r="CD1946" s="171"/>
      <c r="CE1946" s="171"/>
      <c r="CF1946" s="171"/>
      <c r="CG1946" s="171"/>
      <c r="CH1946" s="171"/>
      <c r="CI1946" s="171"/>
      <c r="CJ1946" s="171"/>
      <c r="CK1946" s="171"/>
      <c r="CL1946" s="171"/>
      <c r="CM1946" s="171"/>
      <c r="CN1946" s="171"/>
      <c r="CO1946" s="171"/>
      <c r="CP1946" s="171"/>
      <c r="CQ1946" s="171"/>
      <c r="CR1946" s="171"/>
      <c r="CS1946" s="171"/>
      <c r="CT1946" s="171"/>
      <c r="CU1946" s="171"/>
      <c r="CV1946" s="171"/>
      <c r="CW1946" s="171"/>
      <c r="CX1946" s="171"/>
      <c r="CY1946" s="171"/>
      <c r="CZ1946" s="171"/>
      <c r="DA1946" s="171"/>
      <c r="DB1946" s="171"/>
      <c r="DC1946" s="171"/>
      <c r="DD1946" s="171"/>
      <c r="DE1946" s="171"/>
      <c r="DF1946" s="171"/>
      <c r="DG1946" s="171"/>
      <c r="DH1946" s="171"/>
      <c r="DI1946" s="171"/>
      <c r="DJ1946" s="171"/>
      <c r="DK1946" s="171"/>
      <c r="DL1946" s="171"/>
      <c r="DM1946" s="171"/>
      <c r="DN1946" s="171"/>
      <c r="DO1946" s="171"/>
      <c r="DP1946" s="171"/>
      <c r="DQ1946" s="171"/>
      <c r="DR1946" s="171"/>
      <c r="DS1946" s="171"/>
      <c r="DT1946" s="171"/>
      <c r="DU1946" s="171"/>
      <c r="DV1946" s="171"/>
      <c r="DW1946" s="171"/>
      <c r="DX1946" s="171"/>
      <c r="DY1946" s="171"/>
      <c r="DZ1946" s="171"/>
      <c r="EA1946" s="171"/>
      <c r="EB1946" s="171"/>
      <c r="EC1946" s="171"/>
      <c r="ED1946" s="171"/>
      <c r="EE1946" s="171"/>
      <c r="EF1946" s="171"/>
      <c r="EG1946" s="171"/>
      <c r="EH1946" s="171"/>
      <c r="EI1946" s="171"/>
      <c r="EJ1946" s="171"/>
      <c r="EK1946" s="171"/>
      <c r="EL1946" s="171"/>
      <c r="EM1946" s="171"/>
      <c r="EN1946" s="171"/>
      <c r="EO1946" s="171"/>
      <c r="EP1946" s="171"/>
      <c r="EQ1946" s="171"/>
      <c r="ER1946" s="171"/>
      <c r="ES1946" s="171"/>
      <c r="ET1946" s="171"/>
      <c r="EU1946" s="171"/>
      <c r="EV1946" s="171"/>
      <c r="EW1946" s="171"/>
      <c r="EX1946" s="171"/>
      <c r="EY1946" s="171"/>
      <c r="EZ1946" s="171"/>
      <c r="FA1946" s="171"/>
      <c r="FB1946" s="171"/>
      <c r="FC1946" s="171"/>
      <c r="FD1946" s="171"/>
      <c r="FE1946" s="171"/>
      <c r="FF1946" s="171"/>
      <c r="FG1946" s="171"/>
      <c r="FH1946" s="171"/>
      <c r="FI1946" s="171"/>
      <c r="FJ1946" s="171"/>
      <c r="FK1946" s="171"/>
      <c r="FL1946" s="171"/>
      <c r="FM1946" s="171"/>
      <c r="FN1946" s="171"/>
      <c r="FO1946" s="171"/>
      <c r="FP1946" s="171"/>
      <c r="FQ1946" s="171"/>
      <c r="FR1946" s="171"/>
      <c r="FS1946" s="171"/>
      <c r="FT1946" s="171"/>
      <c r="FU1946" s="171"/>
      <c r="FV1946" s="171"/>
      <c r="FW1946" s="171"/>
      <c r="FX1946" s="171"/>
      <c r="FY1946" s="171"/>
      <c r="FZ1946" s="171"/>
      <c r="GA1946" s="171"/>
      <c r="GB1946" s="171"/>
      <c r="GC1946" s="171"/>
      <c r="GD1946" s="171"/>
      <c r="GE1946" s="171"/>
      <c r="GF1946" s="171"/>
      <c r="GG1946" s="171"/>
      <c r="GH1946" s="171"/>
      <c r="GI1946" s="171"/>
      <c r="GJ1946" s="171"/>
      <c r="GK1946" s="171"/>
      <c r="GL1946" s="171"/>
      <c r="GM1946" s="171"/>
      <c r="GN1946" s="171"/>
      <c r="GO1946" s="171"/>
      <c r="GP1946" s="171"/>
      <c r="GQ1946" s="171"/>
      <c r="GR1946" s="171"/>
      <c r="GS1946" s="171"/>
      <c r="GT1946" s="171"/>
      <c r="GU1946" s="171"/>
      <c r="GV1946" s="171"/>
      <c r="GW1946" s="171"/>
      <c r="GX1946" s="171"/>
      <c r="GY1946" s="171"/>
      <c r="GZ1946" s="171"/>
      <c r="HA1946" s="171"/>
      <c r="HB1946" s="171"/>
      <c r="HC1946" s="171"/>
      <c r="HD1946" s="171"/>
      <c r="HE1946" s="171"/>
      <c r="HF1946" s="171"/>
      <c r="HG1946" s="171"/>
      <c r="HH1946" s="171"/>
      <c r="HI1946" s="171"/>
      <c r="HJ1946" s="171"/>
      <c r="HK1946" s="171"/>
      <c r="HL1946" s="171"/>
      <c r="HM1946" s="171"/>
      <c r="HN1946" s="171"/>
      <c r="HO1946" s="171"/>
      <c r="HP1946" s="171"/>
      <c r="HQ1946" s="171"/>
      <c r="HR1946" s="171"/>
      <c r="HS1946" s="171"/>
      <c r="HT1946" s="171"/>
      <c r="HU1946" s="171"/>
      <c r="HV1946" s="171"/>
      <c r="HW1946" s="171"/>
      <c r="HX1946" s="171"/>
      <c r="HY1946" s="171"/>
      <c r="HZ1946" s="171"/>
      <c r="IA1946" s="171"/>
      <c r="IB1946" s="171"/>
      <c r="IC1946" s="171"/>
      <c r="ID1946" s="171"/>
      <c r="IE1946" s="171"/>
      <c r="IF1946" s="171"/>
      <c r="IG1946" s="171"/>
      <c r="IH1946" s="171"/>
      <c r="II1946" s="171"/>
      <c r="IJ1946" s="171"/>
      <c r="IK1946" s="171"/>
      <c r="IL1946" s="171"/>
      <c r="IM1946" s="171"/>
      <c r="IN1946" s="171"/>
      <c r="IO1946" s="171"/>
      <c r="IP1946" s="171"/>
      <c r="IQ1946" s="171"/>
    </row>
    <row r="1947" spans="1:251" ht="14.25" customHeight="1">
      <c r="A1947" s="212"/>
      <c r="B1947" s="221"/>
      <c r="C1947" s="493"/>
      <c r="D1947" s="226"/>
      <c r="E1947" s="360"/>
      <c r="F1947" s="296"/>
      <c r="BI1947" s="171"/>
      <c r="BJ1947" s="171"/>
      <c r="BK1947" s="171"/>
      <c r="BL1947" s="171"/>
      <c r="BM1947" s="171"/>
      <c r="BN1947" s="171"/>
      <c r="BO1947" s="171"/>
      <c r="BP1947" s="171"/>
      <c r="BQ1947" s="171"/>
      <c r="BR1947" s="171"/>
      <c r="BS1947" s="171"/>
      <c r="BT1947" s="171"/>
      <c r="BU1947" s="171"/>
      <c r="BV1947" s="171"/>
      <c r="BW1947" s="171"/>
      <c r="BX1947" s="171"/>
      <c r="BY1947" s="171"/>
      <c r="BZ1947" s="171"/>
      <c r="CA1947" s="171"/>
      <c r="CB1947" s="171"/>
      <c r="CC1947" s="171"/>
      <c r="CD1947" s="171"/>
      <c r="CE1947" s="171"/>
      <c r="CF1947" s="171"/>
      <c r="CG1947" s="171"/>
      <c r="CH1947" s="171"/>
      <c r="CI1947" s="171"/>
      <c r="CJ1947" s="171"/>
      <c r="CK1947" s="171"/>
      <c r="CL1947" s="171"/>
      <c r="CM1947" s="171"/>
      <c r="CN1947" s="171"/>
      <c r="CO1947" s="171"/>
      <c r="CP1947" s="171"/>
      <c r="CQ1947" s="171"/>
      <c r="CR1947" s="171"/>
      <c r="CS1947" s="171"/>
      <c r="CT1947" s="171"/>
      <c r="CU1947" s="171"/>
      <c r="CV1947" s="171"/>
      <c r="CW1947" s="171"/>
      <c r="CX1947" s="171"/>
      <c r="CY1947" s="171"/>
      <c r="CZ1947" s="171"/>
      <c r="DA1947" s="171"/>
      <c r="DB1947" s="171"/>
      <c r="DC1947" s="171"/>
      <c r="DD1947" s="171"/>
      <c r="DE1947" s="171"/>
      <c r="DF1947" s="171"/>
      <c r="DG1947" s="171"/>
      <c r="DH1947" s="171"/>
      <c r="DI1947" s="171"/>
      <c r="DJ1947" s="171"/>
      <c r="DK1947" s="171"/>
      <c r="DL1947" s="171"/>
      <c r="DM1947" s="171"/>
      <c r="DN1947" s="171"/>
      <c r="DO1947" s="171"/>
      <c r="DP1947" s="171"/>
      <c r="DQ1947" s="171"/>
      <c r="DR1947" s="171"/>
      <c r="DS1947" s="171"/>
      <c r="DT1947" s="171"/>
      <c r="DU1947" s="171"/>
      <c r="DV1947" s="171"/>
      <c r="DW1947" s="171"/>
      <c r="DX1947" s="171"/>
      <c r="DY1947" s="171"/>
      <c r="DZ1947" s="171"/>
      <c r="EA1947" s="171"/>
      <c r="EB1947" s="171"/>
      <c r="EC1947" s="171"/>
      <c r="ED1947" s="171"/>
      <c r="EE1947" s="171"/>
      <c r="EF1947" s="171"/>
      <c r="EG1947" s="171"/>
      <c r="EH1947" s="171"/>
      <c r="EI1947" s="171"/>
      <c r="EJ1947" s="171"/>
      <c r="EK1947" s="171"/>
      <c r="EL1947" s="171"/>
      <c r="EM1947" s="171"/>
      <c r="EN1947" s="171"/>
      <c r="EO1947" s="171"/>
      <c r="EP1947" s="171"/>
      <c r="EQ1947" s="171"/>
      <c r="ER1947" s="171"/>
      <c r="ES1947" s="171"/>
      <c r="ET1947" s="171"/>
      <c r="EU1947" s="171"/>
      <c r="EV1947" s="171"/>
      <c r="EW1947" s="171"/>
      <c r="EX1947" s="171"/>
      <c r="EY1947" s="171"/>
      <c r="EZ1947" s="171"/>
      <c r="FA1947" s="171"/>
      <c r="FB1947" s="171"/>
      <c r="FC1947" s="171"/>
      <c r="FD1947" s="171"/>
      <c r="FE1947" s="171"/>
      <c r="FF1947" s="171"/>
      <c r="FG1947" s="171"/>
      <c r="FH1947" s="171"/>
      <c r="FI1947" s="171"/>
      <c r="FJ1947" s="171"/>
      <c r="FK1947" s="171"/>
      <c r="FL1947" s="171"/>
      <c r="FM1947" s="171"/>
      <c r="FN1947" s="171"/>
      <c r="FO1947" s="171"/>
      <c r="FP1947" s="171"/>
      <c r="FQ1947" s="171"/>
      <c r="FR1947" s="171"/>
      <c r="FS1947" s="171"/>
      <c r="FT1947" s="171"/>
      <c r="FU1947" s="171"/>
      <c r="FV1947" s="171"/>
      <c r="FW1947" s="171"/>
      <c r="FX1947" s="171"/>
      <c r="FY1947" s="171"/>
      <c r="FZ1947" s="171"/>
      <c r="GA1947" s="171"/>
      <c r="GB1947" s="171"/>
      <c r="GC1947" s="171"/>
      <c r="GD1947" s="171"/>
      <c r="GE1947" s="171"/>
      <c r="GF1947" s="171"/>
      <c r="GG1947" s="171"/>
      <c r="GH1947" s="171"/>
      <c r="GI1947" s="171"/>
      <c r="GJ1947" s="171"/>
      <c r="GK1947" s="171"/>
      <c r="GL1947" s="171"/>
      <c r="GM1947" s="171"/>
      <c r="GN1947" s="171"/>
      <c r="GO1947" s="171"/>
      <c r="GP1947" s="171"/>
      <c r="GQ1947" s="171"/>
      <c r="GR1947" s="171"/>
      <c r="GS1947" s="171"/>
      <c r="GT1947" s="171"/>
      <c r="GU1947" s="171"/>
      <c r="GV1947" s="171"/>
      <c r="GW1947" s="171"/>
      <c r="GX1947" s="171"/>
      <c r="GY1947" s="171"/>
      <c r="GZ1947" s="171"/>
      <c r="HA1947" s="171"/>
      <c r="HB1947" s="171"/>
      <c r="HC1947" s="171"/>
      <c r="HD1947" s="171"/>
      <c r="HE1947" s="171"/>
      <c r="HF1947" s="171"/>
      <c r="HG1947" s="171"/>
      <c r="HH1947" s="171"/>
      <c r="HI1947" s="171"/>
      <c r="HJ1947" s="171"/>
      <c r="HK1947" s="171"/>
      <c r="HL1947" s="171"/>
      <c r="HM1947" s="171"/>
      <c r="HN1947" s="171"/>
      <c r="HO1947" s="171"/>
      <c r="HP1947" s="171"/>
      <c r="HQ1947" s="171"/>
      <c r="HR1947" s="171"/>
      <c r="HS1947" s="171"/>
      <c r="HT1947" s="171"/>
      <c r="HU1947" s="171"/>
      <c r="HV1947" s="171"/>
      <c r="HW1947" s="171"/>
      <c r="HX1947" s="171"/>
      <c r="HY1947" s="171"/>
      <c r="HZ1947" s="171"/>
      <c r="IA1947" s="171"/>
      <c r="IB1947" s="171"/>
      <c r="IC1947" s="171"/>
      <c r="ID1947" s="171"/>
      <c r="IE1947" s="171"/>
      <c r="IF1947" s="171"/>
      <c r="IG1947" s="171"/>
      <c r="IH1947" s="171"/>
      <c r="II1947" s="171"/>
      <c r="IJ1947" s="171"/>
      <c r="IK1947" s="171"/>
      <c r="IL1947" s="171"/>
      <c r="IM1947" s="171"/>
      <c r="IN1947" s="171"/>
      <c r="IO1947" s="171"/>
      <c r="IP1947" s="171"/>
      <c r="IQ1947" s="171"/>
    </row>
    <row r="1948" spans="1:251" ht="14.25" customHeight="1">
      <c r="A1948" s="212"/>
      <c r="B1948" s="221"/>
      <c r="C1948" s="493"/>
      <c r="D1948" s="226"/>
      <c r="E1948" s="476"/>
      <c r="F1948" s="296"/>
      <c r="BI1948" s="171"/>
      <c r="BJ1948" s="171"/>
      <c r="BK1948" s="171"/>
      <c r="BL1948" s="171"/>
      <c r="BM1948" s="171"/>
      <c r="BN1948" s="171"/>
      <c r="BO1948" s="171"/>
      <c r="BP1948" s="171"/>
      <c r="BQ1948" s="171"/>
      <c r="BR1948" s="171"/>
      <c r="BS1948" s="171"/>
      <c r="BT1948" s="171"/>
      <c r="BU1948" s="171"/>
      <c r="BV1948" s="171"/>
      <c r="BW1948" s="171"/>
      <c r="BX1948" s="171"/>
      <c r="BY1948" s="171"/>
      <c r="BZ1948" s="171"/>
      <c r="CA1948" s="171"/>
      <c r="CB1948" s="171"/>
      <c r="CC1948" s="171"/>
      <c r="CD1948" s="171"/>
      <c r="CE1948" s="171"/>
      <c r="CF1948" s="171"/>
      <c r="CG1948" s="171"/>
      <c r="CH1948" s="171"/>
      <c r="CI1948" s="171"/>
      <c r="CJ1948" s="171"/>
      <c r="CK1948" s="171"/>
      <c r="CL1948" s="171"/>
      <c r="CM1948" s="171"/>
      <c r="CN1948" s="171"/>
      <c r="CO1948" s="171"/>
      <c r="CP1948" s="171"/>
      <c r="CQ1948" s="171"/>
      <c r="CR1948" s="171"/>
      <c r="CS1948" s="171"/>
      <c r="CT1948" s="171"/>
      <c r="CU1948" s="171"/>
      <c r="CV1948" s="171"/>
      <c r="CW1948" s="171"/>
      <c r="CX1948" s="171"/>
      <c r="CY1948" s="171"/>
      <c r="CZ1948" s="171"/>
      <c r="DA1948" s="171"/>
      <c r="DB1948" s="171"/>
      <c r="DC1948" s="171"/>
      <c r="DD1948" s="171"/>
      <c r="DE1948" s="171"/>
      <c r="DF1948" s="171"/>
      <c r="DG1948" s="171"/>
      <c r="DH1948" s="171"/>
      <c r="DI1948" s="171"/>
      <c r="DJ1948" s="171"/>
      <c r="DK1948" s="171"/>
      <c r="DL1948" s="171"/>
      <c r="DM1948" s="171"/>
      <c r="DN1948" s="171"/>
      <c r="DO1948" s="171"/>
      <c r="DP1948" s="171"/>
      <c r="DQ1948" s="171"/>
      <c r="DR1948" s="171"/>
      <c r="DS1948" s="171"/>
      <c r="DT1948" s="171"/>
      <c r="DU1948" s="171"/>
      <c r="DV1948" s="171"/>
      <c r="DW1948" s="171"/>
      <c r="DX1948" s="171"/>
      <c r="DY1948" s="171"/>
      <c r="DZ1948" s="171"/>
      <c r="EA1948" s="171"/>
      <c r="EB1948" s="171"/>
      <c r="EC1948" s="171"/>
      <c r="ED1948" s="171"/>
      <c r="EE1948" s="171"/>
      <c r="EF1948" s="171"/>
      <c r="EG1948" s="171"/>
      <c r="EH1948" s="171"/>
      <c r="EI1948" s="171"/>
      <c r="EJ1948" s="171"/>
      <c r="EK1948" s="171"/>
      <c r="EL1948" s="171"/>
      <c r="EM1948" s="171"/>
      <c r="EN1948" s="171"/>
      <c r="EO1948" s="171"/>
      <c r="EP1948" s="171"/>
      <c r="EQ1948" s="171"/>
      <c r="ER1948" s="171"/>
      <c r="ES1948" s="171"/>
      <c r="ET1948" s="171"/>
      <c r="EU1948" s="171"/>
      <c r="EV1948" s="171"/>
      <c r="EW1948" s="171"/>
      <c r="EX1948" s="171"/>
      <c r="EY1948" s="171"/>
      <c r="EZ1948" s="171"/>
      <c r="FA1948" s="171"/>
      <c r="FB1948" s="171"/>
      <c r="FC1948" s="171"/>
      <c r="FD1948" s="171"/>
      <c r="FE1948" s="171"/>
      <c r="FF1948" s="171"/>
      <c r="FG1948" s="171"/>
      <c r="FH1948" s="171"/>
      <c r="FI1948" s="171"/>
      <c r="FJ1948" s="171"/>
      <c r="FK1948" s="171"/>
      <c r="FL1948" s="171"/>
      <c r="FM1948" s="171"/>
      <c r="FN1948" s="171"/>
      <c r="FO1948" s="171"/>
      <c r="FP1948" s="171"/>
      <c r="FQ1948" s="171"/>
      <c r="FR1948" s="171"/>
      <c r="FS1948" s="171"/>
      <c r="FT1948" s="171"/>
      <c r="FU1948" s="171"/>
      <c r="FV1948" s="171"/>
      <c r="FW1948" s="171"/>
      <c r="FX1948" s="171"/>
      <c r="FY1948" s="171"/>
      <c r="FZ1948" s="171"/>
      <c r="GA1948" s="171"/>
      <c r="GB1948" s="171"/>
      <c r="GC1948" s="171"/>
      <c r="GD1948" s="171"/>
      <c r="GE1948" s="171"/>
      <c r="GF1948" s="171"/>
      <c r="GG1948" s="171"/>
      <c r="GH1948" s="171"/>
      <c r="GI1948" s="171"/>
      <c r="GJ1948" s="171"/>
      <c r="GK1948" s="171"/>
      <c r="GL1948" s="171"/>
      <c r="GM1948" s="171"/>
      <c r="GN1948" s="171"/>
      <c r="GO1948" s="171"/>
      <c r="GP1948" s="171"/>
      <c r="GQ1948" s="171"/>
      <c r="GR1948" s="171"/>
      <c r="GS1948" s="171"/>
      <c r="GT1948" s="171"/>
      <c r="GU1948" s="171"/>
      <c r="GV1948" s="171"/>
      <c r="GW1948" s="171"/>
      <c r="GX1948" s="171"/>
      <c r="GY1948" s="171"/>
      <c r="GZ1948" s="171"/>
      <c r="HA1948" s="171"/>
      <c r="HB1948" s="171"/>
      <c r="HC1948" s="171"/>
      <c r="HD1948" s="171"/>
      <c r="HE1948" s="171"/>
      <c r="HF1948" s="171"/>
      <c r="HG1948" s="171"/>
      <c r="HH1948" s="171"/>
      <c r="HI1948" s="171"/>
      <c r="HJ1948" s="171"/>
      <c r="HK1948" s="171"/>
      <c r="HL1948" s="171"/>
      <c r="HM1948" s="171"/>
      <c r="HN1948" s="171"/>
      <c r="HO1948" s="171"/>
      <c r="HP1948" s="171"/>
      <c r="HQ1948" s="171"/>
      <c r="HR1948" s="171"/>
      <c r="HS1948" s="171"/>
      <c r="HT1948" s="171"/>
      <c r="HU1948" s="171"/>
      <c r="HV1948" s="171"/>
      <c r="HW1948" s="171"/>
      <c r="HX1948" s="171"/>
      <c r="HY1948" s="171"/>
      <c r="HZ1948" s="171"/>
      <c r="IA1948" s="171"/>
      <c r="IB1948" s="171"/>
      <c r="IC1948" s="171"/>
      <c r="ID1948" s="171"/>
      <c r="IE1948" s="171"/>
      <c r="IF1948" s="171"/>
      <c r="IG1948" s="171"/>
      <c r="IH1948" s="171"/>
      <c r="II1948" s="171"/>
      <c r="IJ1948" s="171"/>
      <c r="IK1948" s="171"/>
      <c r="IL1948" s="171"/>
      <c r="IM1948" s="171"/>
      <c r="IN1948" s="171"/>
      <c r="IO1948" s="171"/>
      <c r="IP1948" s="171"/>
      <c r="IQ1948" s="171"/>
    </row>
    <row r="1949" spans="1:251" ht="14.25" customHeight="1">
      <c r="A1949" s="212"/>
      <c r="B1949" s="221" t="s">
        <v>2751</v>
      </c>
      <c r="C1949" s="502" t="s">
        <v>2752</v>
      </c>
      <c r="D1949" s="226"/>
      <c r="E1949" s="503">
        <f>'[5]COSTO CDMX,QRO,GDL '!I1943</f>
        <v>912.28070175438597</v>
      </c>
      <c r="F1949" s="217" t="s">
        <v>284</v>
      </c>
      <c r="BI1949" s="171"/>
      <c r="BJ1949" s="171"/>
      <c r="BK1949" s="171"/>
      <c r="BL1949" s="171"/>
      <c r="BM1949" s="171"/>
      <c r="BN1949" s="171"/>
      <c r="BO1949" s="171"/>
      <c r="BP1949" s="171"/>
      <c r="BQ1949" s="171"/>
      <c r="BR1949" s="171"/>
      <c r="BS1949" s="171"/>
      <c r="BT1949" s="171"/>
      <c r="BU1949" s="171"/>
      <c r="BV1949" s="171"/>
      <c r="BW1949" s="171"/>
      <c r="BX1949" s="171"/>
      <c r="BY1949" s="171"/>
      <c r="BZ1949" s="171"/>
      <c r="CA1949" s="171"/>
      <c r="CB1949" s="171"/>
      <c r="CC1949" s="171"/>
      <c r="CD1949" s="171"/>
      <c r="CE1949" s="171"/>
      <c r="CF1949" s="171"/>
      <c r="CG1949" s="171"/>
      <c r="CH1949" s="171"/>
      <c r="CI1949" s="171"/>
      <c r="CJ1949" s="171"/>
      <c r="CK1949" s="171"/>
      <c r="CL1949" s="171"/>
      <c r="CM1949" s="171"/>
      <c r="CN1949" s="171"/>
      <c r="CO1949" s="171"/>
      <c r="CP1949" s="171"/>
      <c r="CQ1949" s="171"/>
      <c r="CR1949" s="171"/>
      <c r="CS1949" s="171"/>
      <c r="CT1949" s="171"/>
      <c r="CU1949" s="171"/>
      <c r="CV1949" s="171"/>
      <c r="CW1949" s="171"/>
      <c r="CX1949" s="171"/>
      <c r="CY1949" s="171"/>
      <c r="CZ1949" s="171"/>
      <c r="DA1949" s="171"/>
      <c r="DB1949" s="171"/>
      <c r="DC1949" s="171"/>
      <c r="DD1949" s="171"/>
      <c r="DE1949" s="171"/>
      <c r="DF1949" s="171"/>
      <c r="DG1949" s="171"/>
      <c r="DH1949" s="171"/>
      <c r="DI1949" s="171"/>
      <c r="DJ1949" s="171"/>
      <c r="DK1949" s="171"/>
      <c r="DL1949" s="171"/>
      <c r="DM1949" s="171"/>
      <c r="DN1949" s="171"/>
      <c r="DO1949" s="171"/>
      <c r="DP1949" s="171"/>
      <c r="DQ1949" s="171"/>
      <c r="DR1949" s="171"/>
      <c r="DS1949" s="171"/>
      <c r="DT1949" s="171"/>
      <c r="DU1949" s="171"/>
      <c r="DV1949" s="171"/>
      <c r="DW1949" s="171"/>
      <c r="DX1949" s="171"/>
      <c r="DY1949" s="171"/>
      <c r="DZ1949" s="171"/>
      <c r="EA1949" s="171"/>
      <c r="EB1949" s="171"/>
      <c r="EC1949" s="171"/>
      <c r="ED1949" s="171"/>
      <c r="EE1949" s="171"/>
      <c r="EF1949" s="171"/>
      <c r="EG1949" s="171"/>
      <c r="EH1949" s="171"/>
      <c r="EI1949" s="171"/>
      <c r="EJ1949" s="171"/>
      <c r="EK1949" s="171"/>
      <c r="EL1949" s="171"/>
      <c r="EM1949" s="171"/>
      <c r="EN1949" s="171"/>
      <c r="EO1949" s="171"/>
      <c r="EP1949" s="171"/>
      <c r="EQ1949" s="171"/>
      <c r="ER1949" s="171"/>
      <c r="ES1949" s="171"/>
      <c r="ET1949" s="171"/>
      <c r="EU1949" s="171"/>
      <c r="EV1949" s="171"/>
      <c r="EW1949" s="171"/>
      <c r="EX1949" s="171"/>
      <c r="EY1949" s="171"/>
      <c r="EZ1949" s="171"/>
      <c r="FA1949" s="171"/>
      <c r="FB1949" s="171"/>
      <c r="FC1949" s="171"/>
      <c r="FD1949" s="171"/>
      <c r="FE1949" s="171"/>
      <c r="FF1949" s="171"/>
      <c r="FG1949" s="171"/>
      <c r="FH1949" s="171"/>
      <c r="FI1949" s="171"/>
      <c r="FJ1949" s="171"/>
      <c r="FK1949" s="171"/>
      <c r="FL1949" s="171"/>
      <c r="FM1949" s="171"/>
      <c r="FN1949" s="171"/>
      <c r="FO1949" s="171"/>
      <c r="FP1949" s="171"/>
      <c r="FQ1949" s="171"/>
      <c r="FR1949" s="171"/>
      <c r="FS1949" s="171"/>
      <c r="FT1949" s="171"/>
      <c r="FU1949" s="171"/>
      <c r="FV1949" s="171"/>
      <c r="FW1949" s="171"/>
      <c r="FX1949" s="171"/>
      <c r="FY1949" s="171"/>
      <c r="FZ1949" s="171"/>
      <c r="GA1949" s="171"/>
      <c r="GB1949" s="171"/>
      <c r="GC1949" s="171"/>
      <c r="GD1949" s="171"/>
      <c r="GE1949" s="171"/>
      <c r="GF1949" s="171"/>
      <c r="GG1949" s="171"/>
      <c r="GH1949" s="171"/>
      <c r="GI1949" s="171"/>
      <c r="GJ1949" s="171"/>
      <c r="GK1949" s="171"/>
      <c r="GL1949" s="171"/>
      <c r="GM1949" s="171"/>
      <c r="GN1949" s="171"/>
      <c r="GO1949" s="171"/>
      <c r="GP1949" s="171"/>
      <c r="GQ1949" s="171"/>
      <c r="GR1949" s="171"/>
      <c r="GS1949" s="171"/>
      <c r="GT1949" s="171"/>
      <c r="GU1949" s="171"/>
      <c r="GV1949" s="171"/>
      <c r="GW1949" s="171"/>
      <c r="GX1949" s="171"/>
      <c r="GY1949" s="171"/>
      <c r="GZ1949" s="171"/>
      <c r="HA1949" s="171"/>
      <c r="HB1949" s="171"/>
      <c r="HC1949" s="171"/>
      <c r="HD1949" s="171"/>
      <c r="HE1949" s="171"/>
      <c r="HF1949" s="171"/>
      <c r="HG1949" s="171"/>
      <c r="HH1949" s="171"/>
      <c r="HI1949" s="171"/>
      <c r="HJ1949" s="171"/>
      <c r="HK1949" s="171"/>
      <c r="HL1949" s="171"/>
      <c r="HM1949" s="171"/>
      <c r="HN1949" s="171"/>
      <c r="HO1949" s="171"/>
      <c r="HP1949" s="171"/>
      <c r="HQ1949" s="171"/>
      <c r="HR1949" s="171"/>
      <c r="HS1949" s="171"/>
      <c r="HT1949" s="171"/>
      <c r="HU1949" s="171"/>
      <c r="HV1949" s="171"/>
      <c r="HW1949" s="171"/>
      <c r="HX1949" s="171"/>
      <c r="HY1949" s="171"/>
      <c r="HZ1949" s="171"/>
      <c r="IA1949" s="171"/>
      <c r="IB1949" s="171"/>
      <c r="IC1949" s="171"/>
      <c r="ID1949" s="171"/>
      <c r="IE1949" s="171"/>
      <c r="IF1949" s="171"/>
      <c r="IG1949" s="171"/>
      <c r="IH1949" s="171"/>
      <c r="II1949" s="171"/>
      <c r="IJ1949" s="171"/>
      <c r="IK1949" s="171"/>
      <c r="IL1949" s="171"/>
      <c r="IM1949" s="171"/>
      <c r="IN1949" s="171"/>
      <c r="IO1949" s="171"/>
      <c r="IP1949" s="171"/>
      <c r="IQ1949" s="171"/>
    </row>
    <row r="1950" spans="1:251" ht="14.25" customHeight="1">
      <c r="A1950" s="212"/>
      <c r="B1950" s="221"/>
      <c r="C1950" s="502"/>
      <c r="D1950" s="226"/>
      <c r="E1950" s="476"/>
      <c r="F1950" s="296"/>
      <c r="BI1950" s="171"/>
      <c r="BJ1950" s="171"/>
      <c r="BK1950" s="171"/>
      <c r="BL1950" s="171"/>
      <c r="BM1950" s="171"/>
      <c r="BN1950" s="171"/>
      <c r="BO1950" s="171"/>
      <c r="BP1950" s="171"/>
      <c r="BQ1950" s="171"/>
      <c r="BR1950" s="171"/>
      <c r="BS1950" s="171"/>
      <c r="BT1950" s="171"/>
      <c r="BU1950" s="171"/>
      <c r="BV1950" s="171"/>
      <c r="BW1950" s="171"/>
      <c r="BX1950" s="171"/>
      <c r="BY1950" s="171"/>
      <c r="BZ1950" s="171"/>
      <c r="CA1950" s="171"/>
      <c r="CB1950" s="171"/>
      <c r="CC1950" s="171"/>
      <c r="CD1950" s="171"/>
      <c r="CE1950" s="171"/>
      <c r="CF1950" s="171"/>
      <c r="CG1950" s="171"/>
      <c r="CH1950" s="171"/>
      <c r="CI1950" s="171"/>
      <c r="CJ1950" s="171"/>
      <c r="CK1950" s="171"/>
      <c r="CL1950" s="171"/>
      <c r="CM1950" s="171"/>
      <c r="CN1950" s="171"/>
      <c r="CO1950" s="171"/>
      <c r="CP1950" s="171"/>
      <c r="CQ1950" s="171"/>
      <c r="CR1950" s="171"/>
      <c r="CS1950" s="171"/>
      <c r="CT1950" s="171"/>
      <c r="CU1950" s="171"/>
      <c r="CV1950" s="171"/>
      <c r="CW1950" s="171"/>
      <c r="CX1950" s="171"/>
      <c r="CY1950" s="171"/>
      <c r="CZ1950" s="171"/>
      <c r="DA1950" s="171"/>
      <c r="DB1950" s="171"/>
      <c r="DC1950" s="171"/>
      <c r="DD1950" s="171"/>
      <c r="DE1950" s="171"/>
      <c r="DF1950" s="171"/>
      <c r="DG1950" s="171"/>
      <c r="DH1950" s="171"/>
      <c r="DI1950" s="171"/>
      <c r="DJ1950" s="171"/>
      <c r="DK1950" s="171"/>
      <c r="DL1950" s="171"/>
      <c r="DM1950" s="171"/>
      <c r="DN1950" s="171"/>
      <c r="DO1950" s="171"/>
      <c r="DP1950" s="171"/>
      <c r="DQ1950" s="171"/>
      <c r="DR1950" s="171"/>
      <c r="DS1950" s="171"/>
      <c r="DT1950" s="171"/>
      <c r="DU1950" s="171"/>
      <c r="DV1950" s="171"/>
      <c r="DW1950" s="171"/>
      <c r="DX1950" s="171"/>
      <c r="DY1950" s="171"/>
      <c r="DZ1950" s="171"/>
      <c r="EA1950" s="171"/>
      <c r="EB1950" s="171"/>
      <c r="EC1950" s="171"/>
      <c r="ED1950" s="171"/>
      <c r="EE1950" s="171"/>
      <c r="EF1950" s="171"/>
      <c r="EG1950" s="171"/>
      <c r="EH1950" s="171"/>
      <c r="EI1950" s="171"/>
      <c r="EJ1950" s="171"/>
      <c r="EK1950" s="171"/>
      <c r="EL1950" s="171"/>
      <c r="EM1950" s="171"/>
      <c r="EN1950" s="171"/>
      <c r="EO1950" s="171"/>
      <c r="EP1950" s="171"/>
      <c r="EQ1950" s="171"/>
      <c r="ER1950" s="171"/>
      <c r="ES1950" s="171"/>
      <c r="ET1950" s="171"/>
      <c r="EU1950" s="171"/>
      <c r="EV1950" s="171"/>
      <c r="EW1950" s="171"/>
      <c r="EX1950" s="171"/>
      <c r="EY1950" s="171"/>
      <c r="EZ1950" s="171"/>
      <c r="FA1950" s="171"/>
      <c r="FB1950" s="171"/>
      <c r="FC1950" s="171"/>
      <c r="FD1950" s="171"/>
      <c r="FE1950" s="171"/>
      <c r="FF1950" s="171"/>
      <c r="FG1950" s="171"/>
      <c r="FH1950" s="171"/>
      <c r="FI1950" s="171"/>
      <c r="FJ1950" s="171"/>
      <c r="FK1950" s="171"/>
      <c r="FL1950" s="171"/>
      <c r="FM1950" s="171"/>
      <c r="FN1950" s="171"/>
      <c r="FO1950" s="171"/>
      <c r="FP1950" s="171"/>
      <c r="FQ1950" s="171"/>
      <c r="FR1950" s="171"/>
      <c r="FS1950" s="171"/>
      <c r="FT1950" s="171"/>
      <c r="FU1950" s="171"/>
      <c r="FV1950" s="171"/>
      <c r="FW1950" s="171"/>
      <c r="FX1950" s="171"/>
      <c r="FY1950" s="171"/>
      <c r="FZ1950" s="171"/>
      <c r="GA1950" s="171"/>
      <c r="GB1950" s="171"/>
      <c r="GC1950" s="171"/>
      <c r="GD1950" s="171"/>
      <c r="GE1950" s="171"/>
      <c r="GF1950" s="171"/>
      <c r="GG1950" s="171"/>
      <c r="GH1950" s="171"/>
      <c r="GI1950" s="171"/>
      <c r="GJ1950" s="171"/>
      <c r="GK1950" s="171"/>
      <c r="GL1950" s="171"/>
      <c r="GM1950" s="171"/>
      <c r="GN1950" s="171"/>
      <c r="GO1950" s="171"/>
      <c r="GP1950" s="171"/>
      <c r="GQ1950" s="171"/>
      <c r="GR1950" s="171"/>
      <c r="GS1950" s="171"/>
      <c r="GT1950" s="171"/>
      <c r="GU1950" s="171"/>
      <c r="GV1950" s="171"/>
      <c r="GW1950" s="171"/>
      <c r="GX1950" s="171"/>
      <c r="GY1950" s="171"/>
      <c r="GZ1950" s="171"/>
      <c r="HA1950" s="171"/>
      <c r="HB1950" s="171"/>
      <c r="HC1950" s="171"/>
      <c r="HD1950" s="171"/>
      <c r="HE1950" s="171"/>
      <c r="HF1950" s="171"/>
      <c r="HG1950" s="171"/>
      <c r="HH1950" s="171"/>
      <c r="HI1950" s="171"/>
      <c r="HJ1950" s="171"/>
      <c r="HK1950" s="171"/>
      <c r="HL1950" s="171"/>
      <c r="HM1950" s="171"/>
      <c r="HN1950" s="171"/>
      <c r="HO1950" s="171"/>
      <c r="HP1950" s="171"/>
      <c r="HQ1950" s="171"/>
      <c r="HR1950" s="171"/>
      <c r="HS1950" s="171"/>
      <c r="HT1950" s="171"/>
      <c r="HU1950" s="171"/>
      <c r="HV1950" s="171"/>
      <c r="HW1950" s="171"/>
      <c r="HX1950" s="171"/>
      <c r="HY1950" s="171"/>
      <c r="HZ1950" s="171"/>
      <c r="IA1950" s="171"/>
      <c r="IB1950" s="171"/>
      <c r="IC1950" s="171"/>
      <c r="ID1950" s="171"/>
      <c r="IE1950" s="171"/>
      <c r="IF1950" s="171"/>
      <c r="IG1950" s="171"/>
      <c r="IH1950" s="171"/>
      <c r="II1950" s="171"/>
      <c r="IJ1950" s="171"/>
      <c r="IK1950" s="171"/>
      <c r="IL1950" s="171"/>
      <c r="IM1950" s="171"/>
      <c r="IN1950" s="171"/>
      <c r="IO1950" s="171"/>
      <c r="IP1950" s="171"/>
      <c r="IQ1950" s="171"/>
    </row>
    <row r="1951" spans="1:251" ht="14.25" customHeight="1">
      <c r="A1951" s="212"/>
      <c r="B1951" s="504"/>
      <c r="C1951" s="493"/>
      <c r="D1951" s="486"/>
      <c r="E1951" s="505"/>
      <c r="F1951" s="296"/>
      <c r="BI1951" s="171"/>
      <c r="BJ1951" s="171"/>
      <c r="BK1951" s="171"/>
      <c r="BL1951" s="171"/>
      <c r="BM1951" s="171"/>
      <c r="BN1951" s="171"/>
      <c r="BO1951" s="171"/>
      <c r="BP1951" s="171"/>
      <c r="BQ1951" s="171"/>
      <c r="BR1951" s="171"/>
      <c r="BS1951" s="171"/>
      <c r="BT1951" s="171"/>
      <c r="BU1951" s="171"/>
      <c r="BV1951" s="171"/>
      <c r="BW1951" s="171"/>
      <c r="BX1951" s="171"/>
      <c r="BY1951" s="171"/>
      <c r="BZ1951" s="171"/>
      <c r="CA1951" s="171"/>
      <c r="CB1951" s="171"/>
      <c r="CC1951" s="171"/>
      <c r="CD1951" s="171"/>
      <c r="CE1951" s="171"/>
      <c r="CF1951" s="171"/>
      <c r="CG1951" s="171"/>
      <c r="CH1951" s="171"/>
      <c r="CI1951" s="171"/>
      <c r="CJ1951" s="171"/>
      <c r="CK1951" s="171"/>
      <c r="CL1951" s="171"/>
      <c r="CM1951" s="171"/>
      <c r="CN1951" s="171"/>
      <c r="CO1951" s="171"/>
      <c r="CP1951" s="171"/>
      <c r="CQ1951" s="171"/>
      <c r="CR1951" s="171"/>
      <c r="CS1951" s="171"/>
      <c r="CT1951" s="171"/>
      <c r="CU1951" s="171"/>
      <c r="CV1951" s="171"/>
      <c r="CW1951" s="171"/>
      <c r="CX1951" s="171"/>
      <c r="CY1951" s="171"/>
      <c r="CZ1951" s="171"/>
      <c r="DA1951" s="171"/>
      <c r="DB1951" s="171"/>
      <c r="DC1951" s="171"/>
      <c r="DD1951" s="171"/>
      <c r="DE1951" s="171"/>
      <c r="DF1951" s="171"/>
      <c r="DG1951" s="171"/>
      <c r="DH1951" s="171"/>
      <c r="DI1951" s="171"/>
      <c r="DJ1951" s="171"/>
      <c r="DK1951" s="171"/>
      <c r="DL1951" s="171"/>
      <c r="DM1951" s="171"/>
      <c r="DN1951" s="171"/>
      <c r="DO1951" s="171"/>
      <c r="DP1951" s="171"/>
      <c r="DQ1951" s="171"/>
      <c r="DR1951" s="171"/>
      <c r="DS1951" s="171"/>
      <c r="DT1951" s="171"/>
      <c r="DU1951" s="171"/>
      <c r="DV1951" s="171"/>
      <c r="DW1951" s="171"/>
      <c r="DX1951" s="171"/>
      <c r="DY1951" s="171"/>
      <c r="DZ1951" s="171"/>
      <c r="EA1951" s="171"/>
      <c r="EB1951" s="171"/>
      <c r="EC1951" s="171"/>
      <c r="ED1951" s="171"/>
      <c r="EE1951" s="171"/>
      <c r="EF1951" s="171"/>
      <c r="EG1951" s="171"/>
      <c r="EH1951" s="171"/>
      <c r="EI1951" s="171"/>
      <c r="EJ1951" s="171"/>
      <c r="EK1951" s="171"/>
      <c r="EL1951" s="171"/>
      <c r="EM1951" s="171"/>
      <c r="EN1951" s="171"/>
      <c r="EO1951" s="171"/>
      <c r="EP1951" s="171"/>
      <c r="EQ1951" s="171"/>
      <c r="ER1951" s="171"/>
      <c r="ES1951" s="171"/>
      <c r="ET1951" s="171"/>
      <c r="EU1951" s="171"/>
      <c r="EV1951" s="171"/>
      <c r="EW1951" s="171"/>
      <c r="EX1951" s="171"/>
      <c r="EY1951" s="171"/>
      <c r="EZ1951" s="171"/>
      <c r="FA1951" s="171"/>
      <c r="FB1951" s="171"/>
      <c r="FC1951" s="171"/>
      <c r="FD1951" s="171"/>
      <c r="FE1951" s="171"/>
      <c r="FF1951" s="171"/>
      <c r="FG1951" s="171"/>
      <c r="FH1951" s="171"/>
      <c r="FI1951" s="171"/>
      <c r="FJ1951" s="171"/>
      <c r="FK1951" s="171"/>
      <c r="FL1951" s="171"/>
      <c r="FM1951" s="171"/>
      <c r="FN1951" s="171"/>
      <c r="FO1951" s="171"/>
      <c r="FP1951" s="171"/>
      <c r="FQ1951" s="171"/>
      <c r="FR1951" s="171"/>
      <c r="FS1951" s="171"/>
      <c r="FT1951" s="171"/>
      <c r="FU1951" s="171"/>
      <c r="FV1951" s="171"/>
      <c r="FW1951" s="171"/>
      <c r="FX1951" s="171"/>
      <c r="FY1951" s="171"/>
      <c r="FZ1951" s="171"/>
      <c r="GA1951" s="171"/>
      <c r="GB1951" s="171"/>
      <c r="GC1951" s="171"/>
      <c r="GD1951" s="171"/>
      <c r="GE1951" s="171"/>
      <c r="GF1951" s="171"/>
      <c r="GG1951" s="171"/>
      <c r="GH1951" s="171"/>
      <c r="GI1951" s="171"/>
      <c r="GJ1951" s="171"/>
      <c r="GK1951" s="171"/>
      <c r="GL1951" s="171"/>
      <c r="GM1951" s="171"/>
      <c r="GN1951" s="171"/>
      <c r="GO1951" s="171"/>
      <c r="GP1951" s="171"/>
      <c r="GQ1951" s="171"/>
      <c r="GR1951" s="171"/>
      <c r="GS1951" s="171"/>
      <c r="GT1951" s="171"/>
      <c r="GU1951" s="171"/>
      <c r="GV1951" s="171"/>
      <c r="GW1951" s="171"/>
      <c r="GX1951" s="171"/>
      <c r="GY1951" s="171"/>
      <c r="GZ1951" s="171"/>
      <c r="HA1951" s="171"/>
      <c r="HB1951" s="171"/>
      <c r="HC1951" s="171"/>
      <c r="HD1951" s="171"/>
      <c r="HE1951" s="171"/>
      <c r="HF1951" s="171"/>
      <c r="HG1951" s="171"/>
      <c r="HH1951" s="171"/>
      <c r="HI1951" s="171"/>
      <c r="HJ1951" s="171"/>
      <c r="HK1951" s="171"/>
      <c r="HL1951" s="171"/>
      <c r="HM1951" s="171"/>
      <c r="HN1951" s="171"/>
      <c r="HO1951" s="171"/>
      <c r="HP1951" s="171"/>
      <c r="HQ1951" s="171"/>
      <c r="HR1951" s="171"/>
      <c r="HS1951" s="171"/>
      <c r="HT1951" s="171"/>
      <c r="HU1951" s="171"/>
      <c r="HV1951" s="171"/>
      <c r="HW1951" s="171"/>
      <c r="HX1951" s="171"/>
      <c r="HY1951" s="171"/>
      <c r="HZ1951" s="171"/>
      <c r="IA1951" s="171"/>
      <c r="IB1951" s="171"/>
      <c r="IC1951" s="171"/>
      <c r="ID1951" s="171"/>
      <c r="IE1951" s="171"/>
      <c r="IF1951" s="171"/>
      <c r="IG1951" s="171"/>
      <c r="IH1951" s="171"/>
      <c r="II1951" s="171"/>
      <c r="IJ1951" s="171"/>
      <c r="IK1951" s="171"/>
      <c r="IL1951" s="171"/>
      <c r="IM1951" s="171"/>
      <c r="IN1951" s="171"/>
      <c r="IO1951" s="171"/>
      <c r="IP1951" s="171"/>
      <c r="IQ1951" s="171"/>
    </row>
    <row r="1952" spans="1:251" s="184" customFormat="1" ht="15" customHeight="1">
      <c r="A1952" s="232" t="s">
        <v>2013</v>
      </c>
      <c r="B1952" s="233"/>
      <c r="C1952" s="1524" t="s">
        <v>2014</v>
      </c>
      <c r="D1952" s="232"/>
      <c r="E1952" s="235"/>
      <c r="F1952" s="481"/>
      <c r="G1952" s="183"/>
      <c r="H1952" s="183"/>
      <c r="I1952" s="183"/>
      <c r="J1952" s="183"/>
      <c r="K1952" s="183"/>
      <c r="L1952" s="183"/>
      <c r="M1952" s="183"/>
      <c r="N1952" s="190"/>
      <c r="O1952" s="190"/>
      <c r="P1952" s="190"/>
      <c r="Q1952" s="190"/>
      <c r="R1952" s="190"/>
      <c r="S1952" s="190"/>
      <c r="T1952" s="190"/>
      <c r="U1952" s="190"/>
      <c r="V1952" s="190"/>
      <c r="W1952" s="190"/>
      <c r="X1952" s="190"/>
      <c r="Y1952" s="190"/>
      <c r="Z1952" s="190"/>
      <c r="AA1952" s="190"/>
      <c r="AB1952" s="190"/>
      <c r="AC1952" s="190"/>
      <c r="AD1952" s="190"/>
      <c r="AE1952" s="190"/>
      <c r="AF1952" s="190"/>
      <c r="AG1952" s="190"/>
      <c r="AH1952" s="190"/>
      <c r="AI1952" s="190"/>
      <c r="AJ1952" s="190"/>
      <c r="AK1952" s="190"/>
      <c r="AL1952" s="190"/>
      <c r="AM1952" s="190"/>
      <c r="AN1952" s="190"/>
      <c r="AO1952" s="190"/>
      <c r="AP1952" s="190"/>
      <c r="AQ1952" s="190"/>
      <c r="AR1952" s="190"/>
      <c r="AS1952" s="190"/>
      <c r="AT1952" s="190"/>
      <c r="AU1952" s="190"/>
      <c r="AV1952" s="190"/>
      <c r="AW1952" s="190"/>
      <c r="AX1952" s="190"/>
      <c r="AY1952" s="190"/>
      <c r="AZ1952" s="190"/>
      <c r="BA1952" s="190"/>
      <c r="BB1952" s="190"/>
      <c r="BC1952" s="190"/>
      <c r="BD1952" s="190"/>
      <c r="BE1952" s="190"/>
      <c r="BF1952" s="190"/>
      <c r="BG1952" s="190"/>
      <c r="BH1952" s="190"/>
    </row>
    <row r="1953" spans="1:60" s="198" customFormat="1" ht="15" customHeight="1">
      <c r="A1953" s="237" t="s">
        <v>2015</v>
      </c>
      <c r="B1953" s="238"/>
      <c r="C1953" s="1525"/>
      <c r="D1953" s="285"/>
      <c r="E1953" s="286"/>
      <c r="F1953" s="482"/>
      <c r="G1953" s="196"/>
      <c r="H1953" s="196"/>
      <c r="I1953" s="196"/>
      <c r="J1953" s="196"/>
      <c r="K1953" s="196"/>
      <c r="L1953" s="196"/>
      <c r="M1953" s="196"/>
      <c r="N1953" s="197"/>
      <c r="O1953" s="197"/>
      <c r="P1953" s="197"/>
      <c r="Q1953" s="197"/>
      <c r="R1953" s="197"/>
      <c r="S1953" s="197"/>
      <c r="T1953" s="197"/>
      <c r="U1953" s="197"/>
      <c r="V1953" s="197"/>
      <c r="W1953" s="197"/>
      <c r="X1953" s="197"/>
      <c r="Y1953" s="197"/>
      <c r="Z1953" s="197"/>
      <c r="AA1953" s="197"/>
      <c r="AB1953" s="197"/>
      <c r="AC1953" s="197"/>
      <c r="AD1953" s="197"/>
      <c r="AE1953" s="197"/>
      <c r="AF1953" s="197"/>
      <c r="AG1953" s="197"/>
      <c r="AH1953" s="197"/>
      <c r="AI1953" s="197"/>
      <c r="AJ1953" s="197"/>
      <c r="AK1953" s="197"/>
      <c r="AL1953" s="197"/>
      <c r="AM1953" s="197"/>
      <c r="AN1953" s="197"/>
      <c r="AO1953" s="197"/>
      <c r="AP1953" s="197"/>
      <c r="AQ1953" s="197"/>
      <c r="AR1953" s="197"/>
      <c r="AS1953" s="197"/>
      <c r="AT1953" s="197"/>
      <c r="AU1953" s="197"/>
      <c r="AV1953" s="197"/>
      <c r="AW1953" s="197"/>
      <c r="AX1953" s="197"/>
      <c r="AY1953" s="197"/>
      <c r="AZ1953" s="197"/>
      <c r="BA1953" s="197"/>
      <c r="BB1953" s="197"/>
      <c r="BC1953" s="197"/>
      <c r="BD1953" s="197"/>
      <c r="BE1953" s="197"/>
      <c r="BF1953" s="197"/>
      <c r="BG1953" s="197"/>
      <c r="BH1953" s="197"/>
    </row>
    <row r="1954" spans="1:60" s="204" customFormat="1">
      <c r="A1954" s="199" t="s">
        <v>512</v>
      </c>
      <c r="B1954" s="200" t="s">
        <v>513</v>
      </c>
      <c r="C1954" s="201" t="s">
        <v>514</v>
      </c>
      <c r="D1954" s="199" t="s">
        <v>515</v>
      </c>
      <c r="E1954" s="202" t="s">
        <v>516</v>
      </c>
      <c r="F1954" s="203" t="s">
        <v>1670</v>
      </c>
      <c r="G1954" s="184"/>
      <c r="N1954" s="205"/>
      <c r="O1954" s="205"/>
      <c r="P1954" s="205"/>
      <c r="Q1954" s="205"/>
      <c r="R1954" s="205"/>
      <c r="S1954" s="205"/>
      <c r="T1954" s="205"/>
      <c r="U1954" s="205"/>
      <c r="V1954" s="205"/>
      <c r="W1954" s="205"/>
      <c r="X1954" s="205"/>
      <c r="Y1954" s="205"/>
      <c r="Z1954" s="205"/>
      <c r="AA1954" s="205"/>
      <c r="AB1954" s="205"/>
      <c r="AC1954" s="205"/>
      <c r="AD1954" s="205"/>
      <c r="AE1954" s="205"/>
      <c r="AF1954" s="205"/>
      <c r="AG1954" s="205"/>
      <c r="AH1954" s="205"/>
      <c r="AI1954" s="205"/>
      <c r="AJ1954" s="205"/>
      <c r="AK1954" s="205"/>
      <c r="AL1954" s="205"/>
      <c r="AM1954" s="205"/>
      <c r="AN1954" s="205"/>
      <c r="AO1954" s="205"/>
      <c r="AP1954" s="205"/>
      <c r="AQ1954" s="205"/>
      <c r="AR1954" s="205"/>
      <c r="AS1954" s="205"/>
      <c r="AT1954" s="205"/>
      <c r="AU1954" s="205"/>
      <c r="AV1954" s="205"/>
      <c r="AW1954" s="205"/>
      <c r="AX1954" s="205"/>
      <c r="AY1954" s="205"/>
      <c r="AZ1954" s="205"/>
      <c r="BA1954" s="205"/>
      <c r="BB1954" s="205"/>
      <c r="BC1954" s="205"/>
      <c r="BD1954" s="205"/>
      <c r="BE1954" s="205"/>
      <c r="BF1954" s="205"/>
      <c r="BG1954" s="205"/>
      <c r="BH1954" s="205"/>
    </row>
    <row r="1955" spans="1:60" ht="14.25" customHeight="1">
      <c r="A1955" s="245"/>
      <c r="B1955" s="315"/>
      <c r="C1955" s="316" t="s">
        <v>2016</v>
      </c>
      <c r="D1955" s="317"/>
      <c r="E1955" s="450"/>
      <c r="F1955" s="483"/>
    </row>
    <row r="1956" spans="1:60" ht="14.25" customHeight="1">
      <c r="A1956" s="333"/>
      <c r="B1956" s="331" t="s">
        <v>2017</v>
      </c>
      <c r="C1956" s="357" t="s">
        <v>2018</v>
      </c>
      <c r="D1956" s="305"/>
      <c r="E1956" s="506">
        <f>'[5]COSTO CDMX,QRO,GDL '!I1950</f>
        <v>3859.6491228070176</v>
      </c>
      <c r="F1956" s="217" t="s">
        <v>284</v>
      </c>
    </row>
    <row r="1957" spans="1:60" ht="14.25" customHeight="1">
      <c r="A1957" s="212"/>
      <c r="B1957" s="213"/>
      <c r="C1957" s="358" t="s">
        <v>2019</v>
      </c>
      <c r="D1957" s="226"/>
      <c r="E1957" s="380"/>
      <c r="F1957" s="284"/>
    </row>
    <row r="1958" spans="1:60" ht="14.25" customHeight="1">
      <c r="A1958" s="212"/>
      <c r="B1958" s="213"/>
      <c r="C1958" s="358" t="s">
        <v>2020</v>
      </c>
      <c r="D1958" s="226"/>
      <c r="E1958" s="380"/>
      <c r="F1958" s="284"/>
    </row>
    <row r="1959" spans="1:60" ht="14.25" customHeight="1">
      <c r="A1959" s="212"/>
      <c r="B1959" s="213"/>
      <c r="C1959" s="367"/>
      <c r="D1959" s="226"/>
      <c r="E1959" s="380"/>
      <c r="F1959" s="284"/>
    </row>
    <row r="1960" spans="1:60" ht="14.25" customHeight="1">
      <c r="A1960" s="212"/>
      <c r="B1960" s="213"/>
      <c r="C1960" s="458"/>
      <c r="D1960" s="226"/>
      <c r="E1960" s="380"/>
      <c r="F1960" s="284"/>
    </row>
    <row r="1961" spans="1:60" ht="14.25" customHeight="1">
      <c r="A1961" s="212"/>
      <c r="B1961" s="213"/>
      <c r="C1961" s="358"/>
      <c r="D1961" s="226"/>
      <c r="E1961" s="380"/>
      <c r="F1961" s="284"/>
    </row>
    <row r="1962" spans="1:60" ht="14.25" customHeight="1">
      <c r="A1962" s="212"/>
      <c r="B1962" s="213"/>
      <c r="C1962" s="458"/>
      <c r="D1962" s="226"/>
      <c r="E1962" s="380"/>
      <c r="F1962" s="284"/>
    </row>
    <row r="1963" spans="1:60" ht="14.25" customHeight="1">
      <c r="A1963" s="212"/>
      <c r="B1963" s="213"/>
      <c r="C1963" s="458"/>
      <c r="D1963" s="226"/>
      <c r="E1963" s="380"/>
      <c r="F1963" s="284"/>
    </row>
    <row r="1964" spans="1:60" ht="14.25" customHeight="1">
      <c r="A1964" s="212"/>
      <c r="B1964" s="215"/>
      <c r="C1964" s="367"/>
      <c r="D1964" s="338"/>
      <c r="E1964" s="380"/>
      <c r="F1964" s="284"/>
    </row>
    <row r="1965" spans="1:60" ht="14.25" customHeight="1">
      <c r="A1965" s="212"/>
      <c r="B1965" s="213" t="s">
        <v>2021</v>
      </c>
      <c r="C1965" s="358" t="s">
        <v>2022</v>
      </c>
      <c r="D1965" s="226"/>
      <c r="E1965" s="360">
        <f>'[5]COSTO CDMX,QRO,GDL '!I1959</f>
        <v>6947.3684210526317</v>
      </c>
      <c r="F1965" s="217" t="s">
        <v>284</v>
      </c>
    </row>
    <row r="1966" spans="1:60" ht="14.25" customHeight="1">
      <c r="A1966" s="212"/>
      <c r="B1966" s="213"/>
      <c r="C1966" s="358" t="s">
        <v>2019</v>
      </c>
      <c r="D1966" s="226"/>
      <c r="E1966" s="380"/>
      <c r="F1966" s="284"/>
    </row>
    <row r="1967" spans="1:60" ht="14.25" customHeight="1">
      <c r="A1967" s="212"/>
      <c r="B1967" s="213"/>
      <c r="C1967" s="358" t="s">
        <v>2020</v>
      </c>
      <c r="D1967" s="226"/>
      <c r="E1967" s="380"/>
      <c r="F1967" s="284"/>
    </row>
    <row r="1968" spans="1:60" ht="14.25" customHeight="1">
      <c r="A1968" s="212"/>
      <c r="B1968" s="213"/>
      <c r="C1968" s="458"/>
      <c r="D1968" s="226"/>
      <c r="E1968" s="380"/>
      <c r="F1968" s="507"/>
    </row>
    <row r="1969" spans="1:6" ht="14.25" customHeight="1">
      <c r="A1969" s="212"/>
      <c r="B1969" s="213"/>
      <c r="C1969" s="458"/>
      <c r="D1969" s="226"/>
      <c r="E1969" s="380"/>
      <c r="F1969" s="507"/>
    </row>
    <row r="1970" spans="1:6" ht="14.25" customHeight="1">
      <c r="A1970" s="212"/>
      <c r="B1970" s="213"/>
      <c r="C1970" s="458"/>
      <c r="D1970" s="226"/>
      <c r="E1970" s="380"/>
      <c r="F1970" s="507"/>
    </row>
    <row r="1971" spans="1:6" ht="14.25" customHeight="1">
      <c r="A1971" s="212"/>
      <c r="B1971" s="213"/>
      <c r="C1971" s="458"/>
      <c r="D1971" s="226"/>
      <c r="E1971" s="380"/>
      <c r="F1971" s="507"/>
    </row>
    <row r="1972" spans="1:6" ht="14.25" customHeight="1">
      <c r="A1972" s="342"/>
      <c r="B1972" s="224"/>
      <c r="C1972" s="344"/>
      <c r="D1972" s="306"/>
      <c r="E1972" s="508"/>
      <c r="F1972" s="509"/>
    </row>
    <row r="1973" spans="1:6">
      <c r="A1973" s="171"/>
      <c r="B1973" s="510"/>
      <c r="C1973" s="244"/>
      <c r="D1973" s="171"/>
      <c r="E1973" s="511"/>
      <c r="F1973" s="512"/>
    </row>
    <row r="1974" spans="1:6">
      <c r="A1974" s="171"/>
      <c r="B1974" s="510"/>
      <c r="C1974" s="244"/>
      <c r="D1974" s="171"/>
      <c r="E1974" s="511"/>
      <c r="F1974" s="512"/>
    </row>
    <row r="1975" spans="1:6">
      <c r="A1975" s="171"/>
      <c r="B1975" s="510"/>
      <c r="C1975" s="244"/>
      <c r="D1975" s="171"/>
      <c r="E1975" s="511"/>
      <c r="F1975" s="512"/>
    </row>
    <row r="1976" spans="1:6">
      <c r="A1976" s="171"/>
      <c r="B1976" s="510"/>
      <c r="C1976" s="244"/>
      <c r="D1976" s="171"/>
      <c r="E1976" s="511"/>
      <c r="F1976" s="512"/>
    </row>
    <row r="1977" spans="1:6">
      <c r="A1977" s="171"/>
      <c r="B1977" s="510"/>
      <c r="C1977" s="244"/>
      <c r="D1977" s="171"/>
      <c r="E1977" s="511"/>
      <c r="F1977" s="512"/>
    </row>
    <row r="1978" spans="1:6">
      <c r="A1978" s="171"/>
      <c r="B1978" s="510"/>
      <c r="C1978" s="244"/>
      <c r="D1978" s="171"/>
      <c r="E1978" s="511"/>
      <c r="F1978" s="512"/>
    </row>
    <row r="1979" spans="1:6">
      <c r="A1979" s="171"/>
      <c r="B1979" s="510"/>
      <c r="C1979" s="244"/>
      <c r="D1979" s="171"/>
      <c r="E1979" s="511"/>
      <c r="F1979" s="512"/>
    </row>
    <row r="1980" spans="1:6">
      <c r="A1980" s="171"/>
      <c r="B1980" s="510"/>
      <c r="C1980" s="244"/>
      <c r="D1980" s="171"/>
      <c r="E1980" s="511"/>
      <c r="F1980" s="512"/>
    </row>
    <row r="1981" spans="1:6">
      <c r="A1981" s="171"/>
      <c r="B1981" s="510"/>
      <c r="C1981" s="244"/>
      <c r="D1981" s="171"/>
      <c r="E1981" s="511"/>
      <c r="F1981" s="512"/>
    </row>
    <row r="1982" spans="1:6">
      <c r="A1982" s="171"/>
      <c r="B1982" s="510"/>
      <c r="C1982" s="244"/>
      <c r="D1982" s="171"/>
      <c r="E1982" s="511"/>
      <c r="F1982" s="512"/>
    </row>
    <row r="1983" spans="1:6">
      <c r="A1983" s="171"/>
      <c r="B1983" s="510"/>
      <c r="C1983" s="244"/>
      <c r="D1983" s="171"/>
      <c r="E1983" s="511"/>
      <c r="F1983" s="512"/>
    </row>
    <row r="1984" spans="1:6">
      <c r="A1984" s="171"/>
      <c r="B1984" s="510"/>
      <c r="C1984" s="244"/>
      <c r="D1984" s="171"/>
      <c r="E1984" s="511"/>
      <c r="F1984" s="512"/>
    </row>
    <row r="1985" spans="1:6">
      <c r="A1985" s="171"/>
      <c r="B1985" s="510"/>
      <c r="C1985" s="244"/>
      <c r="D1985" s="171"/>
      <c r="E1985" s="511"/>
      <c r="F1985" s="512"/>
    </row>
    <row r="1986" spans="1:6">
      <c r="A1986" s="171"/>
      <c r="B1986" s="510"/>
      <c r="C1986" s="244"/>
      <c r="D1986" s="171"/>
      <c r="E1986" s="511"/>
      <c r="F1986" s="512"/>
    </row>
    <row r="1987" spans="1:6">
      <c r="A1987" s="171"/>
      <c r="B1987" s="510"/>
      <c r="C1987" s="244"/>
      <c r="D1987" s="171"/>
      <c r="E1987" s="511"/>
      <c r="F1987" s="512"/>
    </row>
    <row r="1988" spans="1:6">
      <c r="A1988" s="171"/>
      <c r="B1988" s="510"/>
      <c r="C1988" s="244"/>
      <c r="D1988" s="171"/>
      <c r="E1988" s="511"/>
      <c r="F1988" s="512"/>
    </row>
    <row r="1989" spans="1:6">
      <c r="A1989" s="171"/>
      <c r="B1989" s="510"/>
      <c r="C1989" s="244"/>
      <c r="D1989" s="171"/>
      <c r="E1989" s="511"/>
      <c r="F1989" s="512"/>
    </row>
    <row r="1990" spans="1:6">
      <c r="A1990" s="171"/>
      <c r="B1990" s="510"/>
      <c r="C1990" s="244"/>
      <c r="D1990" s="171"/>
      <c r="E1990" s="511"/>
      <c r="F1990" s="512"/>
    </row>
    <row r="1991" spans="1:6">
      <c r="A1991" s="171"/>
      <c r="B1991" s="510"/>
      <c r="C1991" s="244"/>
      <c r="D1991" s="171"/>
      <c r="E1991" s="511"/>
      <c r="F1991" s="512"/>
    </row>
    <row r="1992" spans="1:6">
      <c r="A1992" s="171"/>
      <c r="B1992" s="510"/>
      <c r="C1992" s="244"/>
      <c r="D1992" s="171"/>
      <c r="E1992" s="511"/>
      <c r="F1992" s="512"/>
    </row>
    <row r="1993" spans="1:6">
      <c r="A1993" s="171"/>
      <c r="B1993" s="510"/>
      <c r="C1993" s="244"/>
      <c r="D1993" s="171"/>
      <c r="E1993" s="511"/>
      <c r="F1993" s="512"/>
    </row>
    <row r="1994" spans="1:6">
      <c r="A1994" s="171"/>
      <c r="B1994" s="510"/>
      <c r="C1994" s="244"/>
      <c r="D1994" s="171"/>
      <c r="E1994" s="511"/>
      <c r="F1994" s="512"/>
    </row>
    <row r="1995" spans="1:6">
      <c r="A1995" s="171"/>
      <c r="B1995" s="510"/>
      <c r="C1995" s="244"/>
      <c r="D1995" s="171"/>
      <c r="E1995" s="511"/>
      <c r="F1995" s="512"/>
    </row>
    <row r="1996" spans="1:6">
      <c r="A1996" s="171"/>
      <c r="B1996" s="510"/>
      <c r="C1996" s="244"/>
      <c r="D1996" s="171"/>
      <c r="E1996" s="511"/>
      <c r="F1996" s="512"/>
    </row>
    <row r="1997" spans="1:6">
      <c r="A1997" s="171"/>
      <c r="B1997" s="510"/>
      <c r="C1997" s="244"/>
      <c r="D1997" s="171"/>
      <c r="E1997" s="511"/>
      <c r="F1997" s="512"/>
    </row>
    <row r="1998" spans="1:6">
      <c r="A1998" s="171"/>
      <c r="B1998" s="510"/>
      <c r="C1998" s="244"/>
      <c r="D1998" s="171"/>
      <c r="E1998" s="511"/>
      <c r="F1998" s="512"/>
    </row>
    <row r="1999" spans="1:6">
      <c r="A1999" s="171"/>
      <c r="B1999" s="510"/>
      <c r="C1999" s="244"/>
      <c r="D1999" s="171"/>
      <c r="E1999" s="511"/>
      <c r="F1999" s="512"/>
    </row>
    <row r="2000" spans="1:6">
      <c r="A2000" s="171"/>
      <c r="B2000" s="510"/>
      <c r="C2000" s="244"/>
      <c r="D2000" s="171"/>
      <c r="E2000" s="511"/>
      <c r="F2000" s="512"/>
    </row>
    <row r="2001" spans="1:6">
      <c r="A2001" s="171"/>
      <c r="B2001" s="510"/>
      <c r="C2001" s="244"/>
      <c r="D2001" s="171"/>
      <c r="E2001" s="511"/>
      <c r="F2001" s="512"/>
    </row>
    <row r="2002" spans="1:6">
      <c r="A2002" s="171"/>
      <c r="B2002" s="510"/>
      <c r="C2002" s="244"/>
      <c r="D2002" s="171"/>
      <c r="E2002" s="511"/>
      <c r="F2002" s="512"/>
    </row>
    <row r="2003" spans="1:6">
      <c r="A2003" s="171"/>
      <c r="B2003" s="510"/>
      <c r="C2003" s="244"/>
      <c r="D2003" s="171"/>
      <c r="E2003" s="511"/>
      <c r="F2003" s="512"/>
    </row>
    <row r="2004" spans="1:6">
      <c r="A2004" s="171"/>
      <c r="B2004" s="510"/>
      <c r="C2004" s="244"/>
      <c r="D2004" s="171"/>
      <c r="E2004" s="511"/>
      <c r="F2004" s="512"/>
    </row>
    <row r="2005" spans="1:6">
      <c r="A2005" s="171"/>
      <c r="B2005" s="510"/>
      <c r="C2005" s="244"/>
      <c r="D2005" s="171"/>
      <c r="E2005" s="511"/>
      <c r="F2005" s="512"/>
    </row>
    <row r="2006" spans="1:6">
      <c r="A2006" s="171"/>
      <c r="B2006" s="510"/>
      <c r="C2006" s="244"/>
      <c r="D2006" s="171"/>
      <c r="E2006" s="511"/>
      <c r="F2006" s="512"/>
    </row>
    <row r="2007" spans="1:6">
      <c r="A2007" s="171"/>
      <c r="B2007" s="510"/>
      <c r="C2007" s="244"/>
      <c r="D2007" s="171"/>
      <c r="E2007" s="511"/>
      <c r="F2007" s="512"/>
    </row>
    <row r="2008" spans="1:6">
      <c r="A2008" s="171"/>
      <c r="B2008" s="510"/>
      <c r="C2008" s="244"/>
      <c r="D2008" s="171"/>
      <c r="E2008" s="511"/>
      <c r="F2008" s="512"/>
    </row>
    <row r="2009" spans="1:6">
      <c r="A2009" s="171"/>
      <c r="B2009" s="510"/>
      <c r="C2009" s="244"/>
      <c r="D2009" s="171"/>
      <c r="E2009" s="511"/>
      <c r="F2009" s="512"/>
    </row>
    <row r="2010" spans="1:6">
      <c r="A2010" s="171"/>
      <c r="B2010" s="510"/>
      <c r="C2010" s="244"/>
      <c r="D2010" s="171"/>
      <c r="E2010" s="511"/>
      <c r="F2010" s="512"/>
    </row>
    <row r="2011" spans="1:6">
      <c r="A2011" s="171"/>
      <c r="B2011" s="510"/>
      <c r="C2011" s="244"/>
      <c r="D2011" s="171"/>
      <c r="E2011" s="511"/>
      <c r="F2011" s="512"/>
    </row>
    <row r="2012" spans="1:6">
      <c r="A2012" s="171"/>
      <c r="B2012" s="510"/>
      <c r="C2012" s="244"/>
      <c r="D2012" s="171"/>
      <c r="E2012" s="511"/>
      <c r="F2012" s="512"/>
    </row>
    <row r="2013" spans="1:6">
      <c r="A2013" s="171"/>
      <c r="B2013" s="510"/>
      <c r="C2013" s="244"/>
      <c r="D2013" s="171"/>
      <c r="E2013" s="511"/>
      <c r="F2013" s="512"/>
    </row>
    <row r="2014" spans="1:6">
      <c r="A2014" s="171"/>
      <c r="B2014" s="510"/>
      <c r="C2014" s="244"/>
      <c r="D2014" s="171"/>
      <c r="E2014" s="511"/>
      <c r="F2014" s="512"/>
    </row>
    <row r="2015" spans="1:6">
      <c r="A2015" s="171"/>
      <c r="B2015" s="510"/>
      <c r="C2015" s="244"/>
      <c r="D2015" s="171"/>
      <c r="E2015" s="511"/>
      <c r="F2015" s="512"/>
    </row>
    <row r="2016" spans="1:6">
      <c r="A2016" s="171"/>
      <c r="B2016" s="510"/>
      <c r="C2016" s="244"/>
      <c r="D2016" s="171"/>
      <c r="E2016" s="511"/>
      <c r="F2016" s="512"/>
    </row>
    <row r="2017" spans="1:6">
      <c r="A2017" s="171"/>
      <c r="B2017" s="510"/>
      <c r="C2017" s="244"/>
      <c r="D2017" s="171"/>
      <c r="E2017" s="511"/>
      <c r="F2017" s="512"/>
    </row>
    <row r="2018" spans="1:6">
      <c r="A2018" s="171"/>
      <c r="B2018" s="510"/>
      <c r="C2018" s="244"/>
      <c r="D2018" s="171"/>
      <c r="E2018" s="511"/>
      <c r="F2018" s="512"/>
    </row>
    <row r="2019" spans="1:6">
      <c r="A2019" s="171"/>
      <c r="B2019" s="510"/>
      <c r="C2019" s="244"/>
      <c r="D2019" s="171"/>
      <c r="E2019" s="511"/>
      <c r="F2019" s="512"/>
    </row>
    <row r="2020" spans="1:6">
      <c r="A2020" s="171"/>
      <c r="B2020" s="510"/>
      <c r="C2020" s="244"/>
      <c r="D2020" s="171"/>
      <c r="E2020" s="511"/>
      <c r="F2020" s="512"/>
    </row>
    <row r="2021" spans="1:6">
      <c r="A2021" s="171"/>
      <c r="B2021" s="510"/>
      <c r="C2021" s="244"/>
      <c r="D2021" s="171"/>
      <c r="E2021" s="511"/>
      <c r="F2021" s="512"/>
    </row>
    <row r="2022" spans="1:6">
      <c r="A2022" s="171"/>
      <c r="B2022" s="510"/>
      <c r="C2022" s="244"/>
      <c r="D2022" s="171"/>
      <c r="E2022" s="511"/>
      <c r="F2022" s="512"/>
    </row>
    <row r="2023" spans="1:6">
      <c r="A2023" s="171"/>
      <c r="B2023" s="510"/>
      <c r="C2023" s="244"/>
      <c r="D2023" s="171"/>
      <c r="E2023" s="511"/>
      <c r="F2023" s="512"/>
    </row>
    <row r="2024" spans="1:6">
      <c r="A2024" s="171"/>
      <c r="B2024" s="510"/>
      <c r="C2024" s="244"/>
      <c r="D2024" s="171"/>
      <c r="E2024" s="511"/>
      <c r="F2024" s="512"/>
    </row>
    <row r="2025" spans="1:6">
      <c r="A2025" s="171"/>
      <c r="B2025" s="510"/>
      <c r="C2025" s="244"/>
      <c r="D2025" s="171"/>
      <c r="E2025" s="511"/>
      <c r="F2025" s="512"/>
    </row>
    <row r="2026" spans="1:6">
      <c r="A2026" s="171"/>
      <c r="B2026" s="510"/>
      <c r="C2026" s="244"/>
      <c r="D2026" s="171"/>
      <c r="E2026" s="511"/>
      <c r="F2026" s="512"/>
    </row>
    <row r="2027" spans="1:6">
      <c r="A2027" s="171"/>
      <c r="B2027" s="510"/>
      <c r="C2027" s="244"/>
      <c r="D2027" s="171"/>
      <c r="E2027" s="511"/>
      <c r="F2027" s="512"/>
    </row>
    <row r="2028" spans="1:6">
      <c r="A2028" s="171"/>
      <c r="B2028" s="510"/>
      <c r="C2028" s="244"/>
      <c r="D2028" s="171"/>
      <c r="E2028" s="511"/>
      <c r="F2028" s="512"/>
    </row>
    <row r="2029" spans="1:6">
      <c r="A2029" s="171"/>
      <c r="B2029" s="510"/>
      <c r="C2029" s="244"/>
      <c r="D2029" s="171"/>
      <c r="E2029" s="511"/>
      <c r="F2029" s="512"/>
    </row>
    <row r="2030" spans="1:6">
      <c r="A2030" s="171"/>
      <c r="B2030" s="510"/>
      <c r="C2030" s="244"/>
      <c r="D2030" s="171"/>
      <c r="E2030" s="511"/>
      <c r="F2030" s="512"/>
    </row>
    <row r="2031" spans="1:6">
      <c r="A2031" s="171"/>
      <c r="B2031" s="510"/>
      <c r="C2031" s="244"/>
      <c r="D2031" s="171"/>
      <c r="E2031" s="511"/>
      <c r="F2031" s="512"/>
    </row>
    <row r="2032" spans="1:6">
      <c r="A2032" s="171"/>
      <c r="B2032" s="510"/>
      <c r="C2032" s="244"/>
      <c r="D2032" s="171"/>
      <c r="E2032" s="511"/>
      <c r="F2032" s="512"/>
    </row>
    <row r="2033" spans="1:6">
      <c r="A2033" s="171"/>
      <c r="B2033" s="510"/>
      <c r="C2033" s="244"/>
      <c r="D2033" s="171"/>
      <c r="E2033" s="511"/>
      <c r="F2033" s="512"/>
    </row>
    <row r="2034" spans="1:6">
      <c r="A2034" s="171"/>
      <c r="B2034" s="510"/>
      <c r="C2034" s="244"/>
      <c r="D2034" s="171"/>
      <c r="E2034" s="511"/>
      <c r="F2034" s="512"/>
    </row>
    <row r="2035" spans="1:6">
      <c r="A2035" s="171"/>
      <c r="B2035" s="510"/>
      <c r="C2035" s="244"/>
      <c r="D2035" s="171"/>
      <c r="E2035" s="511"/>
      <c r="F2035" s="512"/>
    </row>
    <row r="2036" spans="1:6">
      <c r="A2036" s="171"/>
      <c r="B2036" s="510"/>
      <c r="C2036" s="244"/>
      <c r="D2036" s="171"/>
      <c r="E2036" s="511"/>
      <c r="F2036" s="512"/>
    </row>
    <row r="2037" spans="1:6">
      <c r="A2037" s="171"/>
      <c r="B2037" s="510"/>
      <c r="C2037" s="244"/>
      <c r="D2037" s="171"/>
      <c r="E2037" s="511"/>
      <c r="F2037" s="512"/>
    </row>
    <row r="2038" spans="1:6">
      <c r="A2038" s="171"/>
      <c r="B2038" s="510"/>
      <c r="C2038" s="244"/>
      <c r="D2038" s="171"/>
      <c r="E2038" s="511"/>
      <c r="F2038" s="512"/>
    </row>
    <row r="2039" spans="1:6">
      <c r="A2039" s="171"/>
      <c r="B2039" s="510"/>
      <c r="C2039" s="244"/>
      <c r="D2039" s="171"/>
      <c r="E2039" s="511"/>
      <c r="F2039" s="512"/>
    </row>
    <row r="2040" spans="1:6">
      <c r="A2040" s="171"/>
      <c r="B2040" s="510"/>
      <c r="C2040" s="244"/>
      <c r="D2040" s="171"/>
      <c r="E2040" s="511"/>
      <c r="F2040" s="512"/>
    </row>
    <row r="2041" spans="1:6">
      <c r="A2041" s="171"/>
      <c r="B2041" s="510"/>
      <c r="C2041" s="244"/>
      <c r="D2041" s="171"/>
      <c r="E2041" s="511"/>
      <c r="F2041" s="512"/>
    </row>
    <row r="2042" spans="1:6">
      <c r="A2042" s="171"/>
      <c r="B2042" s="510"/>
      <c r="C2042" s="244"/>
      <c r="D2042" s="171"/>
      <c r="E2042" s="511"/>
      <c r="F2042" s="512"/>
    </row>
    <row r="2043" spans="1:6">
      <c r="A2043" s="171"/>
      <c r="B2043" s="510"/>
      <c r="C2043" s="244"/>
      <c r="D2043" s="171"/>
      <c r="E2043" s="511"/>
      <c r="F2043" s="512"/>
    </row>
    <row r="2044" spans="1:6">
      <c r="A2044" s="171"/>
      <c r="B2044" s="510"/>
      <c r="C2044" s="244"/>
      <c r="D2044" s="171"/>
      <c r="E2044" s="511"/>
      <c r="F2044" s="512"/>
    </row>
    <row r="2045" spans="1:6">
      <c r="A2045" s="171"/>
      <c r="B2045" s="510"/>
      <c r="C2045" s="244"/>
      <c r="D2045" s="171"/>
      <c r="E2045" s="511"/>
      <c r="F2045" s="512"/>
    </row>
    <row r="2046" spans="1:6">
      <c r="A2046" s="171"/>
      <c r="B2046" s="510"/>
      <c r="C2046" s="244"/>
      <c r="D2046" s="171"/>
      <c r="E2046" s="511"/>
      <c r="F2046" s="512"/>
    </row>
    <row r="2047" spans="1:6">
      <c r="A2047" s="171"/>
      <c r="B2047" s="510"/>
      <c r="C2047" s="244"/>
      <c r="D2047" s="171"/>
      <c r="E2047" s="511"/>
      <c r="F2047" s="512"/>
    </row>
    <row r="2048" spans="1:6">
      <c r="A2048" s="171"/>
      <c r="B2048" s="510"/>
      <c r="C2048" s="244"/>
      <c r="D2048" s="171"/>
      <c r="E2048" s="511"/>
      <c r="F2048" s="512"/>
    </row>
    <row r="2049" spans="1:6">
      <c r="A2049" s="171"/>
      <c r="B2049" s="510"/>
      <c r="C2049" s="244"/>
      <c r="D2049" s="171"/>
      <c r="E2049" s="511"/>
      <c r="F2049" s="512"/>
    </row>
    <row r="2050" spans="1:6">
      <c r="A2050" s="171"/>
      <c r="B2050" s="510"/>
      <c r="C2050" s="244"/>
      <c r="D2050" s="171"/>
      <c r="E2050" s="511"/>
      <c r="F2050" s="512"/>
    </row>
    <row r="2051" spans="1:6">
      <c r="A2051" s="171"/>
      <c r="B2051" s="510"/>
      <c r="C2051" s="244"/>
      <c r="D2051" s="171"/>
      <c r="E2051" s="511"/>
      <c r="F2051" s="512"/>
    </row>
    <row r="2052" spans="1:6">
      <c r="A2052" s="171"/>
      <c r="B2052" s="510"/>
      <c r="C2052" s="244"/>
      <c r="D2052" s="171"/>
      <c r="E2052" s="511"/>
      <c r="F2052" s="512"/>
    </row>
    <row r="2053" spans="1:6">
      <c r="A2053" s="171"/>
      <c r="B2053" s="510"/>
      <c r="C2053" s="244"/>
      <c r="D2053" s="171"/>
      <c r="E2053" s="511"/>
      <c r="F2053" s="512"/>
    </row>
    <row r="2054" spans="1:6">
      <c r="A2054" s="171"/>
      <c r="B2054" s="510"/>
      <c r="C2054" s="244"/>
      <c r="D2054" s="171"/>
      <c r="E2054" s="511"/>
      <c r="F2054" s="512"/>
    </row>
    <row r="2055" spans="1:6">
      <c r="A2055" s="171"/>
      <c r="B2055" s="510"/>
      <c r="C2055" s="244"/>
      <c r="D2055" s="171"/>
      <c r="E2055" s="511"/>
      <c r="F2055" s="512"/>
    </row>
    <row r="2056" spans="1:6">
      <c r="A2056" s="171"/>
      <c r="B2056" s="510"/>
      <c r="C2056" s="244"/>
      <c r="D2056" s="171"/>
      <c r="E2056" s="511"/>
      <c r="F2056" s="512"/>
    </row>
    <row r="2057" spans="1:6">
      <c r="A2057" s="171"/>
      <c r="B2057" s="510"/>
      <c r="C2057" s="244"/>
      <c r="D2057" s="171"/>
      <c r="E2057" s="511"/>
      <c r="F2057" s="512"/>
    </row>
    <row r="2058" spans="1:6">
      <c r="A2058" s="171"/>
      <c r="B2058" s="510"/>
      <c r="C2058" s="244"/>
      <c r="D2058" s="171"/>
      <c r="E2058" s="511"/>
      <c r="F2058" s="512"/>
    </row>
    <row r="2059" spans="1:6">
      <c r="A2059" s="171"/>
      <c r="B2059" s="510"/>
      <c r="C2059" s="244"/>
      <c r="D2059" s="171"/>
      <c r="E2059" s="511"/>
      <c r="F2059" s="512"/>
    </row>
    <row r="2060" spans="1:6">
      <c r="A2060" s="171"/>
      <c r="B2060" s="510"/>
      <c r="C2060" s="244"/>
      <c r="D2060" s="171"/>
      <c r="E2060" s="511"/>
      <c r="F2060" s="512"/>
    </row>
    <row r="2061" spans="1:6">
      <c r="A2061" s="171"/>
      <c r="B2061" s="510"/>
      <c r="C2061" s="244"/>
      <c r="D2061" s="171"/>
      <c r="E2061" s="511"/>
      <c r="F2061" s="512"/>
    </row>
    <row r="2062" spans="1:6">
      <c r="A2062" s="171"/>
      <c r="B2062" s="510"/>
      <c r="C2062" s="244"/>
      <c r="D2062" s="171"/>
      <c r="E2062" s="511"/>
      <c r="F2062" s="512"/>
    </row>
    <row r="2063" spans="1:6">
      <c r="A2063" s="171"/>
      <c r="B2063" s="510"/>
      <c r="C2063" s="244"/>
      <c r="D2063" s="171"/>
      <c r="E2063" s="511"/>
      <c r="F2063" s="512"/>
    </row>
    <row r="2064" spans="1:6">
      <c r="A2064" s="171"/>
      <c r="B2064" s="510"/>
      <c r="C2064" s="244"/>
      <c r="D2064" s="171"/>
      <c r="E2064" s="511"/>
      <c r="F2064" s="512"/>
    </row>
    <row r="2065" spans="1:6">
      <c r="A2065" s="171"/>
      <c r="B2065" s="510"/>
      <c r="C2065" s="244"/>
      <c r="D2065" s="171"/>
      <c r="E2065" s="511"/>
      <c r="F2065" s="512"/>
    </row>
  </sheetData>
  <mergeCells count="41">
    <mergeCell ref="A5:B5"/>
    <mergeCell ref="E5:F5"/>
    <mergeCell ref="C188:C189"/>
    <mergeCell ref="D1:F1"/>
    <mergeCell ref="D2:F2"/>
    <mergeCell ref="D3:F3"/>
    <mergeCell ref="D4:F4"/>
    <mergeCell ref="C6:C7"/>
    <mergeCell ref="C31:C32"/>
    <mergeCell ref="D31:D32"/>
    <mergeCell ref="C65:C73"/>
    <mergeCell ref="C84:C85"/>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711:C1712"/>
    <mergeCell ref="C1777:C1778"/>
    <mergeCell ref="C1837:C1846"/>
    <mergeCell ref="C1849:C1850"/>
    <mergeCell ref="C1952:C1953"/>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defaultColWidth="10.85546875" defaultRowHeight="14.1"/>
  <cols>
    <col min="1" max="1" width="42.42578125" style="961" customWidth="1"/>
    <col min="2" max="2" width="17.28515625" style="1030" bestFit="1" customWidth="1"/>
    <col min="3" max="3" width="98.85546875" style="1004" customWidth="1"/>
    <col min="4" max="4" width="24" style="961" customWidth="1"/>
    <col min="5" max="5" width="15.42578125" style="330" customWidth="1"/>
    <col min="6" max="6" width="15.7109375" style="820" customWidth="1"/>
    <col min="7" max="8" width="12" style="961" bestFit="1" customWidth="1"/>
    <col min="9" max="9" width="11.42578125" style="961" bestFit="1" customWidth="1"/>
    <col min="10" max="13" width="10.85546875" style="961"/>
    <col min="14" max="60" width="10.85546875" style="963"/>
    <col min="61" max="16384" width="10.85546875" style="961"/>
  </cols>
  <sheetData>
    <row r="1" spans="1:60" ht="15" customHeight="1">
      <c r="A1" s="958"/>
      <c r="B1" s="959"/>
      <c r="C1" s="960"/>
      <c r="F1" s="962" t="s">
        <v>1458</v>
      </c>
      <c r="G1" s="751"/>
      <c r="H1" s="751"/>
      <c r="I1" s="751"/>
    </row>
    <row r="2" spans="1:60" s="968" customFormat="1" ht="27.75" customHeight="1">
      <c r="A2" s="964"/>
      <c r="B2" s="965"/>
      <c r="C2" s="966"/>
      <c r="D2" s="967" t="s">
        <v>1459</v>
      </c>
      <c r="G2" s="967"/>
      <c r="H2" s="967"/>
      <c r="I2" s="967"/>
    </row>
    <row r="3" spans="1:60" s="968" customFormat="1" ht="15" customHeight="1">
      <c r="A3" s="964"/>
      <c r="B3" s="965"/>
      <c r="C3" s="969"/>
      <c r="F3" s="759" t="s">
        <v>1460</v>
      </c>
      <c r="G3" s="759"/>
      <c r="H3" s="759"/>
      <c r="I3" s="759"/>
    </row>
    <row r="4" spans="1:60" s="968" customFormat="1" ht="15">
      <c r="A4" s="970"/>
      <c r="B4" s="971"/>
      <c r="C4" s="762"/>
      <c r="F4" s="763" t="s">
        <v>506</v>
      </c>
      <c r="G4" s="763"/>
      <c r="H4" s="763"/>
      <c r="I4" s="763"/>
    </row>
    <row r="5" spans="1:60" s="976" customFormat="1" ht="15" customHeight="1">
      <c r="A5" s="1553"/>
      <c r="B5" s="1554"/>
      <c r="C5" s="972" t="s">
        <v>507</v>
      </c>
      <c r="D5" s="973" t="s">
        <v>508</v>
      </c>
      <c r="E5" s="1509">
        <f ca="1">(TODAY())</f>
        <v>46278</v>
      </c>
      <c r="F5" s="1510"/>
      <c r="G5" s="974"/>
      <c r="H5" s="975"/>
      <c r="I5" s="975"/>
      <c r="J5" s="975"/>
      <c r="K5" s="975"/>
      <c r="L5" s="975"/>
      <c r="M5" s="975"/>
      <c r="N5" s="975"/>
      <c r="O5" s="975"/>
      <c r="P5" s="975"/>
      <c r="Q5" s="975"/>
      <c r="R5" s="975"/>
      <c r="S5" s="975"/>
      <c r="T5" s="975"/>
      <c r="U5" s="975"/>
    </row>
    <row r="6" spans="1:60" s="976" customFormat="1" ht="15" customHeight="1">
      <c r="A6" s="977" t="s">
        <v>2753</v>
      </c>
      <c r="B6" s="978"/>
      <c r="C6" s="1552" t="s">
        <v>2754</v>
      </c>
      <c r="D6" s="979"/>
      <c r="E6" s="772"/>
      <c r="F6" s="980"/>
      <c r="G6" s="968"/>
      <c r="H6" s="975"/>
      <c r="I6" s="975"/>
      <c r="J6" s="975"/>
      <c r="K6" s="975"/>
      <c r="L6" s="975"/>
      <c r="M6" s="975"/>
      <c r="N6" s="981"/>
      <c r="O6" s="981"/>
      <c r="P6" s="981"/>
      <c r="Q6" s="981"/>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81"/>
      <c r="AS6" s="981"/>
      <c r="AT6" s="981"/>
      <c r="AU6" s="981"/>
      <c r="AV6" s="981"/>
      <c r="AW6" s="981"/>
      <c r="AX6" s="981"/>
      <c r="AY6" s="981"/>
      <c r="AZ6" s="981"/>
      <c r="BA6" s="981"/>
      <c r="BB6" s="981"/>
      <c r="BC6" s="981"/>
      <c r="BD6" s="981"/>
      <c r="BE6" s="981"/>
      <c r="BF6" s="981"/>
      <c r="BG6" s="981"/>
      <c r="BH6" s="981"/>
    </row>
    <row r="7" spans="1:60" s="988" customFormat="1" ht="20.100000000000001" customHeight="1">
      <c r="A7" s="982" t="s">
        <v>2755</v>
      </c>
      <c r="B7" s="983"/>
      <c r="C7" s="1545"/>
      <c r="D7" s="984"/>
      <c r="E7" s="778"/>
      <c r="F7" s="985"/>
      <c r="G7" s="968"/>
      <c r="H7" s="986"/>
      <c r="I7" s="986"/>
      <c r="J7" s="986"/>
      <c r="K7" s="986"/>
      <c r="L7" s="986"/>
      <c r="M7" s="986"/>
      <c r="N7" s="987"/>
      <c r="O7" s="987"/>
      <c r="P7" s="987"/>
      <c r="Q7" s="987"/>
      <c r="R7" s="987"/>
      <c r="S7" s="987"/>
      <c r="T7" s="987"/>
      <c r="U7" s="987"/>
      <c r="V7" s="987"/>
      <c r="W7" s="987"/>
      <c r="X7" s="987"/>
      <c r="Y7" s="987"/>
      <c r="Z7" s="987"/>
      <c r="AA7" s="987"/>
      <c r="AB7" s="987"/>
      <c r="AC7" s="987"/>
      <c r="AD7" s="987"/>
      <c r="AE7" s="987"/>
      <c r="AF7" s="987"/>
      <c r="AG7" s="987"/>
      <c r="AH7" s="987"/>
      <c r="AI7" s="987"/>
      <c r="AJ7" s="987"/>
      <c r="AK7" s="987"/>
      <c r="AL7" s="987"/>
      <c r="AM7" s="987"/>
      <c r="AN7" s="987"/>
      <c r="AO7" s="987"/>
      <c r="AP7" s="987"/>
      <c r="AQ7" s="987"/>
      <c r="AR7" s="987"/>
      <c r="AS7" s="987"/>
      <c r="AT7" s="987"/>
      <c r="AU7" s="987"/>
      <c r="AV7" s="987"/>
      <c r="AW7" s="987"/>
      <c r="AX7" s="987"/>
      <c r="AY7" s="987"/>
      <c r="AZ7" s="987"/>
      <c r="BA7" s="987"/>
      <c r="BB7" s="987"/>
      <c r="BC7" s="987"/>
      <c r="BD7" s="987"/>
      <c r="BE7" s="987"/>
      <c r="BF7" s="987"/>
      <c r="BG7" s="987"/>
      <c r="BH7" s="987"/>
    </row>
    <row r="8" spans="1:60" s="991" customFormat="1">
      <c r="A8" s="989" t="s">
        <v>512</v>
      </c>
      <c r="B8" s="990" t="s">
        <v>513</v>
      </c>
      <c r="C8" s="201" t="s">
        <v>514</v>
      </c>
      <c r="D8" s="989" t="s">
        <v>515</v>
      </c>
      <c r="E8" s="202" t="s">
        <v>516</v>
      </c>
      <c r="F8" s="785" t="s">
        <v>517</v>
      </c>
      <c r="G8" s="976"/>
      <c r="N8" s="992"/>
      <c r="O8" s="992"/>
      <c r="P8" s="992"/>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92"/>
      <c r="AS8" s="992"/>
      <c r="AT8" s="992"/>
      <c r="AU8" s="992"/>
      <c r="AV8" s="992"/>
      <c r="AW8" s="992"/>
      <c r="AX8" s="992"/>
      <c r="AY8" s="992"/>
      <c r="AZ8" s="992"/>
      <c r="BA8" s="992"/>
      <c r="BB8" s="992"/>
      <c r="BC8" s="992"/>
      <c r="BD8" s="992"/>
      <c r="BE8" s="992"/>
      <c r="BF8" s="992"/>
      <c r="BG8" s="992"/>
      <c r="BH8" s="992"/>
    </row>
    <row r="9" spans="1:60" ht="15" customHeight="1">
      <c r="A9" s="993"/>
      <c r="B9" s="994"/>
      <c r="C9" s="995" t="s">
        <v>2756</v>
      </c>
      <c r="D9" s="996"/>
      <c r="E9" s="210"/>
      <c r="F9" s="792"/>
      <c r="G9" s="968"/>
    </row>
    <row r="10" spans="1:60" ht="14.1" customHeight="1">
      <c r="A10" s="997"/>
      <c r="B10" s="998" t="s">
        <v>2757</v>
      </c>
      <c r="C10" s="999" t="s">
        <v>2758</v>
      </c>
      <c r="D10" s="1000" t="s">
        <v>2759</v>
      </c>
      <c r="E10" s="216">
        <f>'[6]COSTO CR GLOBAL '!H10</f>
        <v>9136</v>
      </c>
      <c r="F10" s="259" t="s">
        <v>284</v>
      </c>
    </row>
    <row r="11" spans="1:60" ht="14.1" customHeight="1">
      <c r="A11" s="997"/>
      <c r="B11" s="998"/>
      <c r="C11" s="1001" t="s">
        <v>2760</v>
      </c>
      <c r="D11" s="1000"/>
      <c r="E11" s="216"/>
      <c r="F11" s="259"/>
    </row>
    <row r="12" spans="1:60" ht="14.1" customHeight="1">
      <c r="A12" s="997"/>
      <c r="B12" s="1002"/>
      <c r="C12" s="1003" t="s">
        <v>2761</v>
      </c>
      <c r="D12" s="1000"/>
      <c r="E12" s="216"/>
      <c r="F12" s="259"/>
    </row>
    <row r="13" spans="1:60" ht="14.1" customHeight="1">
      <c r="A13" s="997"/>
      <c r="B13" s="998"/>
      <c r="D13" s="1000"/>
      <c r="E13" s="216"/>
      <c r="F13" s="259"/>
    </row>
    <row r="14" spans="1:60" ht="14.1" customHeight="1">
      <c r="A14" s="997"/>
      <c r="B14" s="998"/>
      <c r="C14" s="1005" t="s">
        <v>2762</v>
      </c>
      <c r="D14" s="1000"/>
      <c r="E14" s="216"/>
      <c r="F14" s="259"/>
    </row>
    <row r="15" spans="1:60" ht="14.1" customHeight="1">
      <c r="A15" s="997"/>
      <c r="B15" s="998"/>
      <c r="C15" s="1006" t="s">
        <v>2763</v>
      </c>
      <c r="D15" s="1000"/>
      <c r="E15" s="216"/>
      <c r="F15" s="259"/>
    </row>
    <row r="16" spans="1:60" ht="14.1" customHeight="1">
      <c r="A16" s="997"/>
      <c r="B16" s="998"/>
      <c r="D16" s="1000"/>
      <c r="E16" s="216"/>
      <c r="F16" s="259"/>
    </row>
    <row r="17" spans="1:6" ht="14.1" customHeight="1">
      <c r="A17" s="997"/>
      <c r="B17" s="1007"/>
      <c r="C17" s="1008" t="s">
        <v>2764</v>
      </c>
      <c r="D17" s="1000"/>
      <c r="E17" s="222"/>
      <c r="F17" s="805"/>
    </row>
    <row r="18" spans="1:6" ht="14.1" customHeight="1">
      <c r="A18" s="997"/>
      <c r="B18" s="1009"/>
      <c r="C18" s="1010"/>
      <c r="D18" s="1011"/>
      <c r="E18" s="227"/>
      <c r="F18" s="809"/>
    </row>
    <row r="19" spans="1:6" ht="15" customHeight="1">
      <c r="A19" s="993"/>
      <c r="B19" s="994"/>
      <c r="C19" s="995" t="s">
        <v>2765</v>
      </c>
      <c r="D19" s="996"/>
      <c r="E19" s="210"/>
      <c r="F19" s="211"/>
    </row>
    <row r="20" spans="1:6" ht="14.1" customHeight="1">
      <c r="A20" s="997"/>
      <c r="B20" s="998" t="s">
        <v>2766</v>
      </c>
      <c r="C20" s="999" t="s">
        <v>2767</v>
      </c>
      <c r="D20" s="1000" t="s">
        <v>2759</v>
      </c>
      <c r="E20" s="216">
        <f>'[6]COSTO CR GLOBAL '!H20</f>
        <v>9980</v>
      </c>
      <c r="F20" s="259" t="s">
        <v>284</v>
      </c>
    </row>
    <row r="21" spans="1:6" ht="14.1" customHeight="1">
      <c r="A21" s="997"/>
      <c r="B21" s="998"/>
      <c r="C21" s="1001" t="s">
        <v>2768</v>
      </c>
      <c r="D21" s="1000"/>
      <c r="E21" s="810"/>
      <c r="F21" s="259"/>
    </row>
    <row r="22" spans="1:6" ht="14.1" customHeight="1">
      <c r="A22" s="997"/>
      <c r="B22" s="1002"/>
      <c r="C22" s="1003" t="s">
        <v>2769</v>
      </c>
      <c r="D22" s="1000"/>
      <c r="E22" s="810"/>
      <c r="F22" s="259"/>
    </row>
    <row r="23" spans="1:6" ht="14.1" customHeight="1">
      <c r="A23" s="997"/>
      <c r="B23" s="998"/>
      <c r="D23" s="1000"/>
      <c r="E23" s="810"/>
      <c r="F23" s="259"/>
    </row>
    <row r="24" spans="1:6" ht="14.1" customHeight="1">
      <c r="A24" s="997"/>
      <c r="B24" s="998"/>
      <c r="C24" s="1005" t="s">
        <v>2770</v>
      </c>
      <c r="D24" s="1000"/>
      <c r="E24" s="810"/>
      <c r="F24" s="259"/>
    </row>
    <row r="25" spans="1:6" ht="14.1" customHeight="1">
      <c r="A25" s="997"/>
      <c r="B25" s="998"/>
      <c r="C25" s="1006" t="s">
        <v>2763</v>
      </c>
      <c r="D25" s="1000"/>
      <c r="E25" s="810"/>
      <c r="F25" s="259"/>
    </row>
    <row r="26" spans="1:6" ht="14.1" customHeight="1">
      <c r="A26" s="997"/>
      <c r="B26" s="998"/>
      <c r="D26" s="1000"/>
      <c r="E26" s="810"/>
      <c r="F26" s="259"/>
    </row>
    <row r="27" spans="1:6" ht="14.1" customHeight="1">
      <c r="A27" s="997"/>
      <c r="B27" s="1002"/>
      <c r="C27" s="1008" t="s">
        <v>2764</v>
      </c>
      <c r="D27" s="1000"/>
      <c r="E27" s="810"/>
      <c r="F27" s="259"/>
    </row>
    <row r="28" spans="1:6" ht="14.1" customHeight="1">
      <c r="A28" s="997"/>
      <c r="B28" s="1002"/>
      <c r="C28" s="1012"/>
      <c r="D28" s="1000"/>
      <c r="E28" s="810"/>
      <c r="F28" s="259"/>
    </row>
    <row r="29" spans="1:6" ht="14.1" customHeight="1">
      <c r="A29" s="997"/>
      <c r="B29" s="1002"/>
      <c r="C29" s="1001"/>
      <c r="D29" s="1000"/>
      <c r="E29" s="810"/>
      <c r="F29" s="259"/>
    </row>
    <row r="30" spans="1:6">
      <c r="A30" s="993"/>
      <c r="B30" s="994"/>
      <c r="C30" s="995" t="s">
        <v>2771</v>
      </c>
      <c r="D30" s="996"/>
      <c r="E30" s="210"/>
      <c r="F30" s="211"/>
    </row>
    <row r="31" spans="1:6">
      <c r="A31" s="997"/>
      <c r="B31" s="998" t="s">
        <v>2772</v>
      </c>
      <c r="C31" s="999" t="s">
        <v>2773</v>
      </c>
      <c r="D31" s="1000" t="s">
        <v>2774</v>
      </c>
      <c r="E31" s="216">
        <f>'[6]COSTO CR GLOBAL '!H31</f>
        <v>11000</v>
      </c>
      <c r="F31" s="259" t="s">
        <v>284</v>
      </c>
    </row>
    <row r="32" spans="1:6">
      <c r="A32" s="997"/>
      <c r="B32" s="998"/>
      <c r="C32" s="1001" t="s">
        <v>2775</v>
      </c>
      <c r="D32" s="1000"/>
      <c r="E32" s="810"/>
      <c r="F32" s="259"/>
    </row>
    <row r="33" spans="1:6">
      <c r="A33" s="997"/>
      <c r="B33" s="1002"/>
      <c r="C33" s="1003" t="s">
        <v>2776</v>
      </c>
      <c r="D33" s="1000"/>
      <c r="E33" s="810"/>
      <c r="F33" s="259"/>
    </row>
    <row r="34" spans="1:6">
      <c r="A34" s="997"/>
      <c r="B34" s="998"/>
      <c r="C34" s="1013" t="s">
        <v>2777</v>
      </c>
      <c r="D34" s="1000"/>
      <c r="E34" s="810"/>
      <c r="F34" s="259"/>
    </row>
    <row r="35" spans="1:6">
      <c r="A35" s="997"/>
      <c r="B35" s="998"/>
      <c r="D35" s="1000"/>
      <c r="E35" s="810"/>
      <c r="F35" s="259"/>
    </row>
    <row r="36" spans="1:6">
      <c r="A36" s="997"/>
      <c r="B36" s="998"/>
      <c r="C36" s="1005" t="s">
        <v>2762</v>
      </c>
      <c r="D36" s="1000"/>
      <c r="E36" s="810"/>
      <c r="F36" s="259"/>
    </row>
    <row r="37" spans="1:6">
      <c r="A37" s="997"/>
      <c r="B37" s="998"/>
      <c r="C37" s="1006" t="s">
        <v>2763</v>
      </c>
      <c r="D37" s="1000"/>
      <c r="E37" s="810"/>
      <c r="F37" s="259"/>
    </row>
    <row r="38" spans="1:6">
      <c r="A38" s="997"/>
      <c r="B38" s="998"/>
      <c r="D38" s="1000"/>
      <c r="E38" s="810"/>
      <c r="F38" s="259"/>
    </row>
    <row r="39" spans="1:6">
      <c r="A39" s="997"/>
      <c r="B39" s="1007"/>
      <c r="C39" s="1008" t="s">
        <v>2764</v>
      </c>
      <c r="D39" s="1000"/>
      <c r="E39" s="230"/>
      <c r="F39" s="217"/>
    </row>
    <row r="40" spans="1:6">
      <c r="A40" s="997"/>
      <c r="B40" s="1007"/>
      <c r="C40" s="1014"/>
      <c r="D40" s="1000"/>
      <c r="E40" s="1015"/>
      <c r="F40" s="1016"/>
    </row>
    <row r="41" spans="1:6">
      <c r="A41" s="997"/>
      <c r="B41" s="1009"/>
      <c r="C41" s="1010"/>
      <c r="D41" s="1011"/>
      <c r="E41" s="1017"/>
      <c r="F41" s="1018"/>
    </row>
    <row r="42" spans="1:6">
      <c r="A42" s="993"/>
      <c r="B42" s="994"/>
      <c r="C42" s="995" t="s">
        <v>2778</v>
      </c>
      <c r="D42" s="996"/>
      <c r="E42" s="210"/>
      <c r="F42" s="211"/>
    </row>
    <row r="43" spans="1:6">
      <c r="A43" s="997"/>
      <c r="B43" s="998" t="s">
        <v>2779</v>
      </c>
      <c r="C43" s="999" t="s">
        <v>2780</v>
      </c>
      <c r="D43" s="1000" t="s">
        <v>2781</v>
      </c>
      <c r="E43" s="216">
        <f>'[6]COSTO CR GLOBAL '!H43</f>
        <v>15300</v>
      </c>
      <c r="F43" s="259" t="s">
        <v>284</v>
      </c>
    </row>
    <row r="44" spans="1:6">
      <c r="A44" s="997"/>
      <c r="B44" s="998"/>
      <c r="C44" s="1001" t="s">
        <v>2775</v>
      </c>
      <c r="D44" s="1000"/>
      <c r="E44" s="810"/>
      <c r="F44" s="259"/>
    </row>
    <row r="45" spans="1:6">
      <c r="A45" s="997"/>
      <c r="B45" s="998"/>
      <c r="C45" s="1003" t="s">
        <v>2782</v>
      </c>
      <c r="D45" s="1000"/>
      <c r="E45" s="810"/>
      <c r="F45" s="259"/>
    </row>
    <row r="46" spans="1:6">
      <c r="A46" s="997"/>
      <c r="B46" s="1002"/>
      <c r="C46" s="1013" t="s">
        <v>2783</v>
      </c>
      <c r="D46" s="1000"/>
      <c r="E46" s="810"/>
      <c r="F46" s="259"/>
    </row>
    <row r="47" spans="1:6">
      <c r="A47" s="997"/>
      <c r="B47" s="998"/>
      <c r="D47" s="1000"/>
      <c r="E47" s="810"/>
      <c r="F47" s="259"/>
    </row>
    <row r="48" spans="1:6">
      <c r="A48" s="997"/>
      <c r="B48" s="998"/>
      <c r="C48" s="1005" t="s">
        <v>2770</v>
      </c>
      <c r="D48" s="1000"/>
      <c r="E48" s="810"/>
      <c r="F48" s="259"/>
    </row>
    <row r="49" spans="1:6">
      <c r="A49" s="997"/>
      <c r="B49" s="998"/>
      <c r="C49" s="1006" t="s">
        <v>2763</v>
      </c>
      <c r="D49" s="1000"/>
      <c r="E49" s="810"/>
      <c r="F49" s="259"/>
    </row>
    <row r="50" spans="1:6">
      <c r="A50" s="997"/>
      <c r="B50" s="998"/>
      <c r="D50" s="1000"/>
      <c r="E50" s="810"/>
      <c r="F50" s="259"/>
    </row>
    <row r="51" spans="1:6">
      <c r="A51" s="997"/>
      <c r="B51" s="998"/>
      <c r="C51" s="1008" t="s">
        <v>2764</v>
      </c>
      <c r="D51" s="1000"/>
      <c r="E51" s="810"/>
      <c r="F51" s="259"/>
    </row>
    <row r="52" spans="1:6">
      <c r="A52" s="997"/>
      <c r="B52" s="1007"/>
      <c r="C52" s="1001"/>
      <c r="D52" s="1000"/>
      <c r="E52" s="810"/>
      <c r="F52" s="259"/>
    </row>
    <row r="53" spans="1:6">
      <c r="A53" s="997"/>
      <c r="B53" s="1009"/>
      <c r="C53" s="1010"/>
      <c r="D53" s="1011"/>
      <c r="E53" s="810"/>
      <c r="F53" s="259"/>
    </row>
    <row r="54" spans="1:6">
      <c r="A54" s="993"/>
      <c r="B54" s="994"/>
      <c r="C54" s="995" t="s">
        <v>2784</v>
      </c>
      <c r="D54" s="996"/>
      <c r="E54" s="210"/>
      <c r="F54" s="211"/>
    </row>
    <row r="55" spans="1:6">
      <c r="A55" s="997"/>
      <c r="B55" s="998" t="s">
        <v>2785</v>
      </c>
      <c r="C55" s="1543" t="s">
        <v>2786</v>
      </c>
      <c r="D55" s="1000" t="s">
        <v>2787</v>
      </c>
      <c r="E55" s="216">
        <f>'[6]COSTO CR GLOBAL '!H55</f>
        <v>9800</v>
      </c>
      <c r="F55" s="259" t="s">
        <v>284</v>
      </c>
    </row>
    <row r="56" spans="1:6">
      <c r="A56" s="997"/>
      <c r="B56" s="998"/>
      <c r="C56" s="1544"/>
      <c r="D56" s="1000"/>
      <c r="E56" s="810"/>
      <c r="F56" s="259"/>
    </row>
    <row r="57" spans="1:6">
      <c r="A57" s="997"/>
      <c r="B57" s="1002"/>
      <c r="C57" s="1544"/>
      <c r="D57" s="1000"/>
      <c r="E57" s="810"/>
      <c r="F57" s="259"/>
    </row>
    <row r="58" spans="1:6">
      <c r="A58" s="997"/>
      <c r="B58" s="998"/>
      <c r="C58" s="1014"/>
      <c r="D58" s="1000"/>
      <c r="E58" s="810"/>
      <c r="F58" s="259"/>
    </row>
    <row r="59" spans="1:6">
      <c r="A59" s="997"/>
      <c r="B59" s="998"/>
      <c r="D59" s="1000"/>
      <c r="E59" s="810"/>
      <c r="F59" s="259"/>
    </row>
    <row r="60" spans="1:6">
      <c r="A60" s="997"/>
      <c r="B60" s="998"/>
      <c r="C60" s="1005" t="s">
        <v>2788</v>
      </c>
      <c r="D60" s="1000"/>
      <c r="E60" s="810"/>
      <c r="F60" s="259"/>
    </row>
    <row r="61" spans="1:6">
      <c r="A61" s="997"/>
      <c r="B61" s="998"/>
      <c r="C61" s="1006" t="s">
        <v>2789</v>
      </c>
      <c r="D61" s="1000"/>
      <c r="E61" s="810"/>
      <c r="F61" s="259"/>
    </row>
    <row r="62" spans="1:6">
      <c r="A62" s="997"/>
      <c r="B62" s="998"/>
      <c r="D62" s="1000"/>
      <c r="E62" s="810"/>
      <c r="F62" s="259"/>
    </row>
    <row r="63" spans="1:6">
      <c r="A63" s="997"/>
      <c r="B63" s="998"/>
      <c r="C63" s="1008" t="s">
        <v>2764</v>
      </c>
      <c r="D63" s="1000"/>
      <c r="E63" s="810"/>
      <c r="F63" s="259"/>
    </row>
    <row r="64" spans="1:6">
      <c r="A64" s="997"/>
      <c r="B64" s="998"/>
      <c r="C64" s="1012"/>
      <c r="D64" s="1000"/>
      <c r="E64" s="810"/>
      <c r="F64" s="259"/>
    </row>
    <row r="65" spans="1:6">
      <c r="A65" s="997"/>
      <c r="B65" s="1007"/>
      <c r="C65" s="1001"/>
      <c r="D65" s="1000"/>
      <c r="E65" s="810"/>
      <c r="F65" s="259"/>
    </row>
    <row r="66" spans="1:6">
      <c r="A66" s="1020"/>
      <c r="B66" s="1009"/>
      <c r="C66" s="1021"/>
      <c r="D66" s="1022"/>
      <c r="E66" s="814"/>
      <c r="F66" s="815"/>
    </row>
    <row r="67" spans="1:6">
      <c r="A67" s="993"/>
      <c r="B67" s="994"/>
      <c r="C67" s="995" t="s">
        <v>2790</v>
      </c>
      <c r="D67" s="996"/>
      <c r="E67" s="210"/>
      <c r="F67" s="211"/>
    </row>
    <row r="68" spans="1:6">
      <c r="A68" s="997"/>
      <c r="B68" s="998" t="s">
        <v>2791</v>
      </c>
      <c r="C68" s="1543" t="s">
        <v>2792</v>
      </c>
      <c r="D68" s="1000" t="s">
        <v>2781</v>
      </c>
      <c r="E68" s="216">
        <f>'[6]COSTO CR GLOBAL '!H68</f>
        <v>15300</v>
      </c>
      <c r="F68" s="259" t="s">
        <v>284</v>
      </c>
    </row>
    <row r="69" spans="1:6">
      <c r="A69" s="997"/>
      <c r="B69" s="998"/>
      <c r="C69" s="1544"/>
      <c r="D69" s="1000"/>
      <c r="E69" s="810"/>
      <c r="F69" s="259"/>
    </row>
    <row r="70" spans="1:6">
      <c r="A70" s="997"/>
      <c r="B70" s="1002"/>
      <c r="C70" s="1544"/>
      <c r="D70" s="1000"/>
      <c r="E70" s="810"/>
      <c r="F70" s="259"/>
    </row>
    <row r="71" spans="1:6">
      <c r="A71" s="997"/>
      <c r="B71" s="998"/>
      <c r="C71" s="1544"/>
      <c r="D71" s="1000"/>
      <c r="E71" s="810"/>
      <c r="F71" s="259"/>
    </row>
    <row r="72" spans="1:6">
      <c r="A72" s="997"/>
      <c r="B72" s="998"/>
      <c r="D72" s="1000"/>
      <c r="E72" s="810"/>
      <c r="F72" s="259"/>
    </row>
    <row r="73" spans="1:6">
      <c r="A73" s="997"/>
      <c r="B73" s="998"/>
      <c r="C73" s="1005" t="s">
        <v>2770</v>
      </c>
      <c r="D73" s="1000"/>
      <c r="E73" s="810"/>
      <c r="F73" s="259"/>
    </row>
    <row r="74" spans="1:6">
      <c r="A74" s="997"/>
      <c r="B74" s="998"/>
      <c r="C74" s="1006" t="s">
        <v>2789</v>
      </c>
      <c r="D74" s="1000"/>
      <c r="E74" s="810"/>
      <c r="F74" s="259"/>
    </row>
    <row r="75" spans="1:6">
      <c r="A75" s="997"/>
      <c r="B75" s="998"/>
      <c r="D75" s="1000"/>
      <c r="E75" s="810"/>
      <c r="F75" s="259"/>
    </row>
    <row r="76" spans="1:6">
      <c r="A76" s="997"/>
      <c r="B76" s="998"/>
      <c r="C76" s="1008" t="s">
        <v>2764</v>
      </c>
      <c r="D76" s="1000"/>
      <c r="E76" s="810"/>
      <c r="F76" s="259"/>
    </row>
    <row r="77" spans="1:6">
      <c r="A77" s="997"/>
      <c r="B77" s="1007"/>
      <c r="C77" s="1001"/>
      <c r="D77" s="1000"/>
      <c r="E77" s="810"/>
      <c r="F77" s="259"/>
    </row>
    <row r="78" spans="1:6">
      <c r="A78" s="997"/>
      <c r="B78" s="1009"/>
      <c r="C78" s="1010"/>
      <c r="D78" s="1011"/>
      <c r="E78" s="810"/>
      <c r="F78" s="259"/>
    </row>
    <row r="79" spans="1:6">
      <c r="A79" s="993"/>
      <c r="B79" s="994"/>
      <c r="C79" s="995" t="s">
        <v>2790</v>
      </c>
      <c r="D79" s="996"/>
      <c r="E79" s="210"/>
      <c r="F79" s="211"/>
    </row>
    <row r="80" spans="1:6">
      <c r="A80" s="997"/>
      <c r="B80" s="998" t="s">
        <v>2791</v>
      </c>
      <c r="C80" s="999" t="s">
        <v>2793</v>
      </c>
      <c r="D80" s="1000" t="s">
        <v>2781</v>
      </c>
      <c r="E80" s="216">
        <f>'[6]COSTO CR GLOBAL '!H80</f>
        <v>15656</v>
      </c>
      <c r="F80" s="259" t="s">
        <v>284</v>
      </c>
    </row>
    <row r="81" spans="1:6">
      <c r="A81" s="997"/>
      <c r="B81" s="998"/>
      <c r="C81" s="1001" t="s">
        <v>2775</v>
      </c>
      <c r="D81" s="1000"/>
      <c r="E81" s="810"/>
      <c r="F81" s="259"/>
    </row>
    <row r="82" spans="1:6">
      <c r="A82" s="997"/>
      <c r="B82" s="1002"/>
      <c r="C82" s="1003" t="s">
        <v>2782</v>
      </c>
      <c r="D82" s="1000"/>
      <c r="E82" s="810"/>
      <c r="F82" s="259"/>
    </row>
    <row r="83" spans="1:6">
      <c r="A83" s="997"/>
      <c r="B83" s="998"/>
      <c r="C83" s="1013" t="s">
        <v>2783</v>
      </c>
      <c r="D83" s="1000"/>
      <c r="E83" s="810"/>
      <c r="F83" s="259"/>
    </row>
    <row r="84" spans="1:6">
      <c r="A84" s="997"/>
      <c r="B84" s="998"/>
      <c r="D84" s="1000"/>
      <c r="E84" s="810"/>
      <c r="F84" s="259"/>
    </row>
    <row r="85" spans="1:6">
      <c r="A85" s="997"/>
      <c r="B85" s="998"/>
      <c r="C85" s="1005" t="s">
        <v>2770</v>
      </c>
      <c r="D85" s="1000"/>
      <c r="E85" s="810"/>
      <c r="F85" s="259"/>
    </row>
    <row r="86" spans="1:6">
      <c r="A86" s="997"/>
      <c r="B86" s="998"/>
      <c r="C86" s="1006" t="s">
        <v>2763</v>
      </c>
      <c r="D86" s="1000"/>
      <c r="E86" s="810"/>
      <c r="F86" s="259"/>
    </row>
    <row r="87" spans="1:6">
      <c r="A87" s="997"/>
      <c r="B87" s="998"/>
      <c r="D87" s="1000"/>
      <c r="E87" s="810"/>
      <c r="F87" s="259"/>
    </row>
    <row r="88" spans="1:6">
      <c r="A88" s="997"/>
      <c r="B88" s="998"/>
      <c r="C88" s="1008" t="s">
        <v>2764</v>
      </c>
      <c r="D88" s="1000"/>
      <c r="E88" s="810"/>
      <c r="F88" s="259"/>
    </row>
    <row r="89" spans="1:6">
      <c r="A89" s="997"/>
      <c r="B89" s="1007"/>
      <c r="C89" s="1001"/>
      <c r="D89" s="1000"/>
      <c r="E89" s="810"/>
      <c r="F89" s="259"/>
    </row>
    <row r="90" spans="1:6">
      <c r="A90" s="997"/>
      <c r="B90" s="1009"/>
      <c r="C90" s="1010"/>
      <c r="D90" s="1011"/>
      <c r="E90" s="810"/>
      <c r="F90" s="259"/>
    </row>
    <row r="91" spans="1:6">
      <c r="A91" s="993"/>
      <c r="B91" s="994"/>
      <c r="C91" s="995" t="s">
        <v>2790</v>
      </c>
      <c r="D91" s="996"/>
      <c r="E91" s="210"/>
      <c r="F91" s="211"/>
    </row>
    <row r="92" spans="1:6">
      <c r="A92" s="997"/>
      <c r="B92" s="998" t="s">
        <v>2794</v>
      </c>
      <c r="C92" s="1543" t="s">
        <v>2795</v>
      </c>
      <c r="D92" s="1000" t="s">
        <v>2796</v>
      </c>
      <c r="E92" s="216">
        <f>'[6]COSTO CR GLOBAL '!H92</f>
        <v>23518</v>
      </c>
      <c r="F92" s="259" t="s">
        <v>284</v>
      </c>
    </row>
    <row r="93" spans="1:6">
      <c r="A93" s="997"/>
      <c r="B93" s="998"/>
      <c r="C93" s="1544"/>
      <c r="D93" s="1000"/>
      <c r="E93" s="810"/>
      <c r="F93" s="259"/>
    </row>
    <row r="94" spans="1:6">
      <c r="A94" s="997"/>
      <c r="B94" s="1002"/>
      <c r="C94" s="1544"/>
      <c r="D94" s="1000"/>
      <c r="E94" s="810"/>
      <c r="F94" s="259"/>
    </row>
    <row r="95" spans="1:6">
      <c r="A95" s="997"/>
      <c r="B95" s="998"/>
      <c r="C95" s="1544"/>
      <c r="D95" s="1000"/>
      <c r="E95" s="810"/>
      <c r="F95" s="259"/>
    </row>
    <row r="96" spans="1:6">
      <c r="A96" s="997"/>
      <c r="B96" s="998"/>
      <c r="D96" s="1000"/>
      <c r="E96" s="810"/>
      <c r="F96" s="259"/>
    </row>
    <row r="97" spans="1:6">
      <c r="A97" s="997"/>
      <c r="B97" s="998"/>
      <c r="C97" s="1005" t="s">
        <v>2770</v>
      </c>
      <c r="D97" s="1000"/>
      <c r="E97" s="810"/>
      <c r="F97" s="259"/>
    </row>
    <row r="98" spans="1:6">
      <c r="A98" s="997"/>
      <c r="B98" s="998"/>
      <c r="C98" s="1006" t="s">
        <v>2789</v>
      </c>
      <c r="D98" s="1000"/>
      <c r="E98" s="810"/>
      <c r="F98" s="259"/>
    </row>
    <row r="99" spans="1:6">
      <c r="A99" s="997"/>
      <c r="B99" s="998"/>
      <c r="D99" s="1000"/>
      <c r="E99" s="810"/>
      <c r="F99" s="259"/>
    </row>
    <row r="100" spans="1:6">
      <c r="A100" s="997"/>
      <c r="B100" s="998"/>
      <c r="C100" s="1008" t="s">
        <v>2764</v>
      </c>
      <c r="D100" s="1000"/>
      <c r="E100" s="810"/>
      <c r="F100" s="259"/>
    </row>
    <row r="101" spans="1:6">
      <c r="A101" s="997"/>
      <c r="B101" s="1007"/>
      <c r="C101" s="1001"/>
      <c r="D101" s="1000"/>
      <c r="E101" s="810"/>
      <c r="F101" s="259"/>
    </row>
    <row r="102" spans="1:6">
      <c r="A102" s="997"/>
      <c r="B102" s="1009"/>
      <c r="C102" s="1010"/>
      <c r="D102" s="1011"/>
      <c r="E102" s="810"/>
      <c r="F102" s="259"/>
    </row>
    <row r="103" spans="1:6">
      <c r="A103" s="993"/>
      <c r="B103" s="994"/>
      <c r="C103" s="995" t="s">
        <v>2784</v>
      </c>
      <c r="D103" s="996"/>
      <c r="E103" s="210"/>
      <c r="F103" s="211"/>
    </row>
    <row r="104" spans="1:6">
      <c r="A104" s="997"/>
      <c r="B104" s="998" t="s">
        <v>2797</v>
      </c>
      <c r="C104" s="999" t="s">
        <v>2798</v>
      </c>
      <c r="D104" s="1000"/>
      <c r="E104" s="216">
        <f>'[6]COSTO CR GLOBAL '!H104</f>
        <v>23520</v>
      </c>
      <c r="F104" s="259" t="s">
        <v>284</v>
      </c>
    </row>
    <row r="105" spans="1:6">
      <c r="A105" s="997"/>
      <c r="B105" s="998"/>
      <c r="C105" s="1001" t="s">
        <v>2775</v>
      </c>
      <c r="D105" s="1000"/>
      <c r="E105" s="810"/>
      <c r="F105" s="259"/>
    </row>
    <row r="106" spans="1:6">
      <c r="A106" s="997"/>
      <c r="B106" s="1002"/>
      <c r="C106" s="1003" t="s">
        <v>2782</v>
      </c>
      <c r="D106" s="1000"/>
      <c r="E106" s="810"/>
      <c r="F106" s="259"/>
    </row>
    <row r="107" spans="1:6">
      <c r="A107" s="997"/>
      <c r="B107" s="998"/>
      <c r="C107" s="1014" t="s">
        <v>2799</v>
      </c>
      <c r="D107" s="1000"/>
      <c r="E107" s="810"/>
      <c r="F107" s="259"/>
    </row>
    <row r="108" spans="1:6">
      <c r="A108" s="997"/>
      <c r="B108" s="998"/>
      <c r="D108" s="1000"/>
      <c r="E108" s="810"/>
      <c r="F108" s="259"/>
    </row>
    <row r="109" spans="1:6">
      <c r="A109" s="997"/>
      <c r="B109" s="998"/>
      <c r="C109" s="1005" t="s">
        <v>2770</v>
      </c>
      <c r="D109" s="1000"/>
      <c r="E109" s="810"/>
      <c r="F109" s="259"/>
    </row>
    <row r="110" spans="1:6">
      <c r="A110" s="997"/>
      <c r="B110" s="998"/>
      <c r="C110" s="1006" t="s">
        <v>2763</v>
      </c>
      <c r="D110" s="1000"/>
      <c r="E110" s="810"/>
      <c r="F110" s="259"/>
    </row>
    <row r="111" spans="1:6">
      <c r="A111" s="997"/>
      <c r="B111" s="998"/>
      <c r="D111" s="1000"/>
      <c r="E111" s="810"/>
      <c r="F111" s="259"/>
    </row>
    <row r="112" spans="1:6">
      <c r="A112" s="997"/>
      <c r="B112" s="998"/>
      <c r="C112" s="1008" t="s">
        <v>2764</v>
      </c>
      <c r="D112" s="1000"/>
      <c r="E112" s="810"/>
      <c r="F112" s="259"/>
    </row>
    <row r="113" spans="1:6">
      <c r="A113" s="997"/>
      <c r="B113" s="998"/>
      <c r="C113" s="1012"/>
      <c r="D113" s="1000"/>
      <c r="E113" s="810"/>
      <c r="F113" s="259"/>
    </row>
    <row r="114" spans="1:6">
      <c r="A114" s="997"/>
      <c r="B114" s="1007"/>
      <c r="C114" s="1001"/>
      <c r="D114" s="1000"/>
      <c r="E114" s="810"/>
      <c r="F114" s="259"/>
    </row>
    <row r="115" spans="1:6">
      <c r="A115" s="1020"/>
      <c r="B115" s="1009"/>
      <c r="C115" s="1021"/>
      <c r="D115" s="1022"/>
      <c r="E115" s="810"/>
      <c r="F115" s="259"/>
    </row>
    <row r="116" spans="1:6">
      <c r="A116" s="993"/>
      <c r="B116" s="994"/>
      <c r="C116" s="995" t="s">
        <v>2784</v>
      </c>
      <c r="D116" s="996"/>
      <c r="E116" s="210"/>
      <c r="F116" s="211"/>
    </row>
    <row r="117" spans="1:6">
      <c r="A117" s="997"/>
      <c r="B117" s="998" t="s">
        <v>2800</v>
      </c>
      <c r="C117" s="999" t="s">
        <v>2798</v>
      </c>
      <c r="D117" s="1000" t="s">
        <v>1498</v>
      </c>
      <c r="E117" s="216">
        <f>'[6]COSTO CR GLOBAL '!H117</f>
        <v>23520</v>
      </c>
      <c r="F117" s="259" t="s">
        <v>284</v>
      </c>
    </row>
    <row r="118" spans="1:6">
      <c r="A118" s="997"/>
      <c r="B118" s="998"/>
      <c r="C118" s="1001" t="s">
        <v>2775</v>
      </c>
      <c r="D118" s="1000"/>
      <c r="E118" s="810"/>
      <c r="F118" s="259"/>
    </row>
    <row r="119" spans="1:6">
      <c r="A119" s="997"/>
      <c r="B119" s="1002"/>
      <c r="C119" s="1003" t="s">
        <v>2782</v>
      </c>
      <c r="D119" s="1000"/>
      <c r="E119" s="810"/>
      <c r="F119" s="259"/>
    </row>
    <row r="120" spans="1:6">
      <c r="A120" s="997"/>
      <c r="B120" s="998"/>
      <c r="C120" s="1014" t="s">
        <v>2801</v>
      </c>
      <c r="D120" s="1000"/>
      <c r="E120" s="810"/>
      <c r="F120" s="259"/>
    </row>
    <row r="121" spans="1:6">
      <c r="A121" s="997"/>
      <c r="B121" s="998"/>
      <c r="D121" s="1000"/>
      <c r="E121" s="810"/>
      <c r="F121" s="259"/>
    </row>
    <row r="122" spans="1:6">
      <c r="A122" s="997"/>
      <c r="B122" s="998"/>
      <c r="C122" s="1005" t="s">
        <v>2770</v>
      </c>
      <c r="D122" s="1000"/>
      <c r="E122" s="810"/>
      <c r="F122" s="259"/>
    </row>
    <row r="123" spans="1:6">
      <c r="A123" s="997"/>
      <c r="B123" s="998"/>
      <c r="C123" s="1006" t="s">
        <v>2763</v>
      </c>
      <c r="D123" s="1000"/>
      <c r="E123" s="810"/>
      <c r="F123" s="259"/>
    </row>
    <row r="124" spans="1:6">
      <c r="A124" s="997"/>
      <c r="B124" s="998"/>
      <c r="D124" s="1000"/>
      <c r="E124" s="810"/>
      <c r="F124" s="259"/>
    </row>
    <row r="125" spans="1:6">
      <c r="A125" s="997"/>
      <c r="B125" s="998"/>
      <c r="C125" s="1008" t="s">
        <v>2764</v>
      </c>
      <c r="D125" s="1000"/>
      <c r="E125" s="810"/>
      <c r="F125" s="259"/>
    </row>
    <row r="126" spans="1:6">
      <c r="A126" s="997"/>
      <c r="B126" s="998"/>
      <c r="C126" s="1012"/>
      <c r="D126" s="1000"/>
      <c r="E126" s="810"/>
      <c r="F126" s="259"/>
    </row>
    <row r="127" spans="1:6">
      <c r="A127" s="997"/>
      <c r="B127" s="1007"/>
      <c r="C127" s="1001"/>
      <c r="D127" s="1000"/>
      <c r="E127" s="810"/>
      <c r="F127" s="259"/>
    </row>
    <row r="128" spans="1:6">
      <c r="A128" s="1020"/>
      <c r="B128" s="1009"/>
      <c r="C128" s="1021"/>
      <c r="D128" s="1023"/>
      <c r="E128" s="814"/>
      <c r="F128" s="815"/>
    </row>
    <row r="129" spans="1:60">
      <c r="A129" s="993"/>
      <c r="B129" s="994"/>
      <c r="C129" s="995" t="s">
        <v>2802</v>
      </c>
      <c r="D129" s="996"/>
      <c r="E129" s="210"/>
      <c r="F129" s="211"/>
    </row>
    <row r="130" spans="1:60">
      <c r="A130" s="997"/>
      <c r="B130" s="998" t="s">
        <v>2803</v>
      </c>
      <c r="C130" s="1543" t="s">
        <v>2804</v>
      </c>
      <c r="D130" s="1000" t="s">
        <v>2805</v>
      </c>
      <c r="E130" s="216">
        <f>'[6]COSTO CR GLOBAL '!H130</f>
        <v>33244</v>
      </c>
      <c r="F130" s="259" t="s">
        <v>284</v>
      </c>
    </row>
    <row r="131" spans="1:60">
      <c r="A131" s="997"/>
      <c r="B131" s="998"/>
      <c r="C131" s="1544"/>
      <c r="D131" s="1000"/>
      <c r="E131" s="810"/>
      <c r="F131" s="259"/>
    </row>
    <row r="132" spans="1:60">
      <c r="A132" s="997"/>
      <c r="B132" s="1002"/>
      <c r="C132" s="1544"/>
      <c r="D132" s="1000"/>
      <c r="E132" s="810"/>
      <c r="F132" s="259"/>
    </row>
    <row r="133" spans="1:60">
      <c r="A133" s="997"/>
      <c r="B133" s="998"/>
      <c r="C133" s="1014"/>
      <c r="D133" s="1000"/>
      <c r="E133" s="810"/>
      <c r="F133" s="259"/>
    </row>
    <row r="134" spans="1:60">
      <c r="A134" s="997"/>
      <c r="B134" s="998"/>
      <c r="D134" s="1000"/>
      <c r="E134" s="810"/>
      <c r="F134" s="259"/>
    </row>
    <row r="135" spans="1:60">
      <c r="A135" s="997"/>
      <c r="B135" s="998"/>
      <c r="C135" s="1005" t="s">
        <v>2788</v>
      </c>
      <c r="D135" s="1000"/>
      <c r="E135" s="810"/>
      <c r="F135" s="259"/>
    </row>
    <row r="136" spans="1:60">
      <c r="A136" s="997"/>
      <c r="B136" s="998"/>
      <c r="C136" s="1006" t="s">
        <v>2789</v>
      </c>
      <c r="D136" s="1000"/>
      <c r="E136" s="810"/>
      <c r="F136" s="259"/>
    </row>
    <row r="137" spans="1:60">
      <c r="A137" s="997"/>
      <c r="B137" s="998"/>
      <c r="D137" s="1000"/>
      <c r="E137" s="810"/>
      <c r="F137" s="259"/>
    </row>
    <row r="138" spans="1:60">
      <c r="A138" s="997"/>
      <c r="B138" s="998"/>
      <c r="C138" s="1008" t="s">
        <v>2764</v>
      </c>
      <c r="D138" s="1000"/>
      <c r="E138" s="810"/>
      <c r="F138" s="259"/>
    </row>
    <row r="139" spans="1:60">
      <c r="A139" s="997"/>
      <c r="B139" s="998"/>
      <c r="C139" s="1012"/>
      <c r="D139" s="1000"/>
      <c r="E139" s="810"/>
      <c r="F139" s="259"/>
    </row>
    <row r="140" spans="1:60">
      <c r="A140" s="997"/>
      <c r="B140" s="1007"/>
      <c r="C140" s="1001"/>
      <c r="D140" s="1000"/>
      <c r="E140" s="810"/>
      <c r="F140" s="259"/>
    </row>
    <row r="141" spans="1:60">
      <c r="A141" s="1020"/>
      <c r="B141" s="1009"/>
      <c r="C141" s="1021"/>
      <c r="D141" s="1022"/>
      <c r="E141" s="814"/>
      <c r="F141" s="815"/>
    </row>
    <row r="142" spans="1:60" s="976" customFormat="1" ht="15" customHeight="1">
      <c r="A142" s="977" t="s">
        <v>2753</v>
      </c>
      <c r="B142" s="978"/>
      <c r="C142" s="1552" t="s">
        <v>2014</v>
      </c>
      <c r="D142" s="979"/>
      <c r="E142" s="772"/>
      <c r="F142" s="980"/>
      <c r="G142" s="968"/>
      <c r="H142" s="975"/>
      <c r="I142" s="975"/>
      <c r="J142" s="975"/>
      <c r="K142" s="975"/>
      <c r="L142" s="975"/>
      <c r="M142" s="975"/>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row>
    <row r="143" spans="1:60" s="988" customFormat="1" ht="20.100000000000001" customHeight="1">
      <c r="A143" s="982" t="s">
        <v>2015</v>
      </c>
      <c r="B143" s="983"/>
      <c r="C143" s="1545"/>
      <c r="D143" s="984"/>
      <c r="E143" s="778"/>
      <c r="F143" s="985"/>
      <c r="G143" s="968"/>
      <c r="H143" s="986"/>
      <c r="I143" s="986"/>
      <c r="J143" s="986"/>
      <c r="K143" s="986"/>
      <c r="L143" s="986"/>
      <c r="M143" s="986"/>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row>
    <row r="144" spans="1:60">
      <c r="A144" s="993"/>
      <c r="B144" s="994"/>
      <c r="C144" s="995" t="s">
        <v>2806</v>
      </c>
      <c r="D144" s="996"/>
      <c r="E144" s="996"/>
      <c r="F144" s="996"/>
    </row>
    <row r="145" spans="1:6">
      <c r="A145" s="997"/>
      <c r="B145" s="998" t="s">
        <v>2807</v>
      </c>
      <c r="C145" s="1543" t="s">
        <v>2808</v>
      </c>
      <c r="D145" s="1000" t="s">
        <v>2809</v>
      </c>
      <c r="E145" s="1024">
        <f>'[6]COSTO CR GLOBAL '!H145</f>
        <v>3396</v>
      </c>
      <c r="F145" s="259" t="s">
        <v>284</v>
      </c>
    </row>
    <row r="146" spans="1:6">
      <c r="A146" s="997"/>
      <c r="B146" s="998"/>
      <c r="C146" s="1544"/>
      <c r="D146" s="1000"/>
      <c r="E146" s="1000"/>
      <c r="F146" s="998"/>
    </row>
    <row r="147" spans="1:6">
      <c r="A147" s="997"/>
      <c r="B147" s="1002"/>
      <c r="C147" s="1544"/>
      <c r="D147" s="1000"/>
      <c r="E147" s="1000"/>
      <c r="F147" s="998"/>
    </row>
    <row r="148" spans="1:6">
      <c r="A148" s="997"/>
      <c r="B148" s="1002"/>
      <c r="C148" s="1014"/>
      <c r="D148" s="1002"/>
      <c r="E148" s="1002"/>
      <c r="F148" s="1002"/>
    </row>
    <row r="149" spans="1:6">
      <c r="B149" s="1002"/>
      <c r="C149" s="1006" t="s">
        <v>2810</v>
      </c>
      <c r="D149" s="1002"/>
      <c r="E149" s="1002"/>
      <c r="F149" s="1002"/>
    </row>
    <row r="150" spans="1:6">
      <c r="B150" s="1002"/>
      <c r="D150" s="1002"/>
      <c r="E150" s="1002"/>
      <c r="F150" s="1002"/>
    </row>
    <row r="151" spans="1:6">
      <c r="A151" s="1025"/>
      <c r="B151" s="1026"/>
      <c r="C151" s="1027"/>
      <c r="D151" s="1026"/>
      <c r="E151" s="1026"/>
      <c r="F151" s="1026"/>
    </row>
    <row r="152" spans="1:6">
      <c r="A152" s="993"/>
      <c r="B152" s="994"/>
      <c r="C152" s="995" t="s">
        <v>2811</v>
      </c>
      <c r="D152" s="996"/>
      <c r="E152" s="996"/>
      <c r="F152" s="996"/>
    </row>
    <row r="153" spans="1:6">
      <c r="A153" s="997"/>
      <c r="B153" s="998" t="s">
        <v>2812</v>
      </c>
      <c r="C153" s="1543" t="s">
        <v>2813</v>
      </c>
      <c r="D153" s="1000" t="s">
        <v>2809</v>
      </c>
      <c r="E153" s="1024">
        <f>'[6]COSTO CR GLOBAL '!H153</f>
        <v>1696</v>
      </c>
      <c r="F153" s="259" t="s">
        <v>284</v>
      </c>
    </row>
    <row r="154" spans="1:6">
      <c r="A154" s="997"/>
      <c r="B154" s="998"/>
      <c r="C154" s="1544"/>
      <c r="D154" s="1000"/>
      <c r="E154" s="1000"/>
      <c r="F154" s="998"/>
    </row>
    <row r="155" spans="1:6">
      <c r="A155" s="997"/>
      <c r="B155" s="1002"/>
      <c r="C155" s="1544"/>
      <c r="D155" s="1000"/>
      <c r="E155" s="1000"/>
      <c r="F155" s="998"/>
    </row>
    <row r="156" spans="1:6">
      <c r="A156" s="997"/>
      <c r="B156" s="1002"/>
      <c r="C156" s="1005" t="s">
        <v>2814</v>
      </c>
      <c r="D156" s="1002"/>
      <c r="E156" s="1002"/>
      <c r="F156" s="1002"/>
    </row>
    <row r="157" spans="1:6">
      <c r="B157" s="1002"/>
      <c r="C157" s="1006" t="s">
        <v>2810</v>
      </c>
      <c r="D157" s="1002"/>
      <c r="E157" s="1002"/>
      <c r="F157" s="1002"/>
    </row>
    <row r="158" spans="1:6">
      <c r="B158" s="1002"/>
      <c r="C158" s="1028"/>
      <c r="D158" s="1002"/>
      <c r="E158" s="1002"/>
      <c r="F158" s="1002"/>
    </row>
    <row r="159" spans="1:6">
      <c r="B159" s="1002"/>
      <c r="C159" s="1028"/>
      <c r="D159" s="1002"/>
      <c r="E159" s="1002"/>
      <c r="F159" s="1002"/>
    </row>
    <row r="160" spans="1:6">
      <c r="B160" s="1002"/>
      <c r="D160" s="1002"/>
      <c r="E160" s="1002"/>
      <c r="F160" s="1002"/>
    </row>
    <row r="161" spans="1:6">
      <c r="A161" s="1025"/>
      <c r="B161" s="1026"/>
      <c r="C161" s="1027"/>
      <c r="D161" s="1026"/>
      <c r="E161" s="1002"/>
      <c r="F161" s="1002"/>
    </row>
    <row r="162" spans="1:6">
      <c r="A162" s="993"/>
      <c r="B162" s="994"/>
      <c r="C162" s="995" t="s">
        <v>2815</v>
      </c>
      <c r="D162" s="996"/>
      <c r="E162" s="996"/>
      <c r="F162" s="996"/>
    </row>
    <row r="163" spans="1:6">
      <c r="A163" s="997"/>
      <c r="B163" s="998" t="s">
        <v>2816</v>
      </c>
      <c r="C163" s="1543" t="s">
        <v>2817</v>
      </c>
      <c r="D163" s="1000"/>
      <c r="E163" s="1024">
        <f>'[6]COSTO CR GLOBAL '!H163</f>
        <v>1696</v>
      </c>
      <c r="F163" s="259" t="s">
        <v>284</v>
      </c>
    </row>
    <row r="164" spans="1:6">
      <c r="A164" s="997"/>
      <c r="B164" s="998"/>
      <c r="C164" s="1544"/>
      <c r="D164" s="1000"/>
      <c r="E164" s="1000"/>
      <c r="F164" s="998"/>
    </row>
    <row r="165" spans="1:6">
      <c r="A165" s="997"/>
      <c r="B165" s="1002"/>
      <c r="C165" s="1544"/>
      <c r="D165" s="1000"/>
      <c r="E165" s="1000"/>
      <c r="F165" s="998"/>
    </row>
    <row r="166" spans="1:6">
      <c r="A166" s="997"/>
      <c r="B166" s="1002"/>
      <c r="C166" s="1005" t="s">
        <v>2814</v>
      </c>
      <c r="D166" s="1002"/>
      <c r="E166" s="1002"/>
      <c r="F166" s="1002"/>
    </row>
    <row r="167" spans="1:6">
      <c r="B167" s="1002"/>
      <c r="C167" s="1006" t="s">
        <v>2810</v>
      </c>
      <c r="D167" s="1002"/>
      <c r="E167" s="1002"/>
      <c r="F167" s="1002"/>
    </row>
    <row r="168" spans="1:6">
      <c r="B168" s="1002"/>
      <c r="C168" s="1028"/>
      <c r="D168" s="1002"/>
      <c r="E168" s="1002"/>
      <c r="F168" s="1002"/>
    </row>
    <row r="169" spans="1:6">
      <c r="B169" s="1002"/>
      <c r="C169" s="1028"/>
      <c r="D169" s="1002"/>
      <c r="E169" s="1002"/>
      <c r="F169" s="1002"/>
    </row>
    <row r="170" spans="1:6">
      <c r="B170" s="1002"/>
      <c r="D170" s="1002"/>
      <c r="E170" s="1002"/>
      <c r="F170" s="1002"/>
    </row>
    <row r="171" spans="1:6">
      <c r="A171" s="1025"/>
      <c r="B171" s="1026"/>
      <c r="C171" s="1027"/>
      <c r="D171" s="1026"/>
      <c r="E171" s="1002"/>
      <c r="F171" s="1002"/>
    </row>
    <row r="172" spans="1:6">
      <c r="A172" s="993"/>
      <c r="B172" s="994"/>
      <c r="C172" s="995" t="s">
        <v>2818</v>
      </c>
      <c r="D172" s="996"/>
      <c r="E172" s="996"/>
      <c r="F172" s="996"/>
    </row>
    <row r="173" spans="1:6">
      <c r="A173" s="997"/>
      <c r="B173" s="998" t="s">
        <v>2819</v>
      </c>
      <c r="C173" s="1543" t="s">
        <v>2820</v>
      </c>
      <c r="D173" s="1000"/>
      <c r="E173" s="1024">
        <f>'[6]COSTO CR GLOBAL '!H173</f>
        <v>1696</v>
      </c>
      <c r="F173" s="259" t="s">
        <v>284</v>
      </c>
    </row>
    <row r="174" spans="1:6">
      <c r="A174" s="997"/>
      <c r="B174" s="998"/>
      <c r="C174" s="1544"/>
      <c r="D174" s="1000"/>
      <c r="E174" s="1000"/>
      <c r="F174" s="998"/>
    </row>
    <row r="175" spans="1:6">
      <c r="A175" s="997"/>
      <c r="B175" s="1002"/>
      <c r="C175" s="1544"/>
      <c r="D175" s="1000"/>
      <c r="E175" s="1000"/>
      <c r="F175" s="998"/>
    </row>
    <row r="176" spans="1:6">
      <c r="A176" s="997"/>
      <c r="B176" s="1002"/>
      <c r="C176" s="1005" t="s">
        <v>2814</v>
      </c>
      <c r="D176" s="1002"/>
      <c r="E176" s="1002"/>
      <c r="F176" s="1002"/>
    </row>
    <row r="177" spans="1:60">
      <c r="B177" s="1002"/>
      <c r="C177" s="1006" t="s">
        <v>2810</v>
      </c>
      <c r="D177" s="1002"/>
      <c r="E177" s="1002"/>
      <c r="F177" s="1002"/>
    </row>
    <row r="178" spans="1:60">
      <c r="B178" s="1002"/>
      <c r="C178" s="1028"/>
      <c r="D178" s="1002"/>
      <c r="E178" s="1002"/>
      <c r="F178" s="1002"/>
    </row>
    <row r="179" spans="1:60">
      <c r="B179" s="1002"/>
      <c r="C179" s="1028"/>
      <c r="D179" s="1002"/>
      <c r="E179" s="1002"/>
      <c r="F179" s="1002"/>
    </row>
    <row r="180" spans="1:60">
      <c r="B180" s="1002"/>
      <c r="D180" s="1002"/>
      <c r="E180" s="1002"/>
      <c r="F180" s="1002"/>
    </row>
    <row r="181" spans="1:60">
      <c r="A181" s="1025"/>
      <c r="B181" s="1026"/>
      <c r="C181" s="1027"/>
      <c r="D181" s="1026"/>
      <c r="E181" s="1002"/>
      <c r="F181" s="1002"/>
    </row>
    <row r="182" spans="1:60">
      <c r="A182" s="993"/>
      <c r="B182" s="994"/>
      <c r="C182" s="995" t="s">
        <v>2818</v>
      </c>
      <c r="D182" s="996"/>
      <c r="E182" s="996"/>
      <c r="F182" s="996"/>
    </row>
    <row r="183" spans="1:60">
      <c r="A183" s="997"/>
      <c r="B183" s="1541" t="s">
        <v>2821</v>
      </c>
      <c r="C183" s="1543" t="s">
        <v>2822</v>
      </c>
      <c r="D183" s="1000"/>
      <c r="E183" s="1024">
        <f>'[6]COSTO CR GLOBAL '!H183</f>
        <v>4196</v>
      </c>
      <c r="F183" s="259" t="s">
        <v>284</v>
      </c>
    </row>
    <row r="184" spans="1:60">
      <c r="A184" s="997"/>
      <c r="B184" s="1542"/>
      <c r="C184" s="1544"/>
      <c r="D184" s="1000"/>
      <c r="E184" s="1000"/>
      <c r="F184" s="998"/>
    </row>
    <row r="185" spans="1:60">
      <c r="A185" s="997"/>
      <c r="B185" s="1002"/>
      <c r="C185" s="1544"/>
      <c r="D185" s="1000"/>
      <c r="E185" s="1000"/>
      <c r="F185" s="998"/>
    </row>
    <row r="186" spans="1:60">
      <c r="A186" s="997"/>
      <c r="B186" s="1002"/>
      <c r="C186" s="1005" t="s">
        <v>2823</v>
      </c>
      <c r="D186" s="1002"/>
      <c r="E186" s="1002"/>
      <c r="F186" s="1002"/>
    </row>
    <row r="187" spans="1:60">
      <c r="B187" s="1002"/>
      <c r="C187" s="1006" t="s">
        <v>2810</v>
      </c>
      <c r="D187" s="1002"/>
      <c r="E187" s="1002"/>
      <c r="F187" s="1002"/>
    </row>
    <row r="188" spans="1:60">
      <c r="B188" s="1002"/>
      <c r="C188" s="1028"/>
      <c r="D188" s="1002"/>
      <c r="E188" s="1002"/>
      <c r="F188" s="1002"/>
    </row>
    <row r="189" spans="1:60">
      <c r="B189" s="1002"/>
      <c r="C189" s="1028"/>
      <c r="D189" s="1002"/>
      <c r="E189" s="1002"/>
      <c r="F189" s="1002"/>
    </row>
    <row r="190" spans="1:60">
      <c r="B190" s="1002"/>
      <c r="D190" s="1002"/>
      <c r="E190" s="1002"/>
      <c r="F190" s="1002"/>
    </row>
    <row r="191" spans="1:60">
      <c r="A191" s="1025"/>
      <c r="B191" s="1026"/>
      <c r="C191" s="1027"/>
      <c r="D191" s="1026"/>
      <c r="E191" s="1026"/>
      <c r="F191" s="1026"/>
    </row>
    <row r="192" spans="1:60" s="976" customFormat="1" ht="15" customHeight="1">
      <c r="A192" s="977" t="s">
        <v>2753</v>
      </c>
      <c r="B192" s="978"/>
      <c r="C192" s="1552" t="s">
        <v>2824</v>
      </c>
      <c r="D192" s="979"/>
      <c r="E192" s="772"/>
      <c r="F192" s="980"/>
      <c r="G192" s="968"/>
      <c r="H192" s="975"/>
      <c r="I192" s="975"/>
      <c r="J192" s="975"/>
      <c r="K192" s="975"/>
      <c r="L192" s="975"/>
      <c r="M192" s="975"/>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row>
    <row r="193" spans="1:60" s="988" customFormat="1" ht="20.100000000000001" customHeight="1">
      <c r="A193" s="982" t="s">
        <v>2755</v>
      </c>
      <c r="B193" s="983"/>
      <c r="C193" s="1545"/>
      <c r="D193" s="984"/>
      <c r="E193" s="778"/>
      <c r="F193" s="985"/>
      <c r="G193" s="968"/>
      <c r="H193" s="986"/>
      <c r="I193" s="986"/>
      <c r="J193" s="986"/>
      <c r="K193" s="986"/>
      <c r="L193" s="986"/>
      <c r="M193" s="986"/>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row>
    <row r="194" spans="1:60">
      <c r="A194" s="993"/>
      <c r="B194" s="994"/>
      <c r="C194" s="995" t="s">
        <v>2802</v>
      </c>
      <c r="D194" s="994"/>
      <c r="E194" s="994"/>
      <c r="F194" s="994"/>
    </row>
    <row r="195" spans="1:60">
      <c r="A195" s="997"/>
      <c r="B195" s="998" t="s">
        <v>2825</v>
      </c>
      <c r="C195" s="1543" t="s">
        <v>2804</v>
      </c>
      <c r="D195" s="998" t="s">
        <v>2805</v>
      </c>
      <c r="E195" s="1024">
        <f>'[6]COSTO CR GLOBAL '!H195</f>
        <v>35692</v>
      </c>
      <c r="F195" s="259" t="s">
        <v>284</v>
      </c>
    </row>
    <row r="196" spans="1:60">
      <c r="A196" s="997"/>
      <c r="B196" s="998"/>
      <c r="C196" s="1544"/>
      <c r="D196" s="998"/>
      <c r="E196" s="998"/>
      <c r="F196" s="998"/>
    </row>
    <row r="197" spans="1:60">
      <c r="A197" s="997"/>
      <c r="B197" s="1002"/>
      <c r="C197" s="1544"/>
      <c r="D197" s="998"/>
      <c r="E197" s="998"/>
      <c r="F197" s="998"/>
    </row>
    <row r="198" spans="1:60">
      <c r="A198" s="997"/>
      <c r="B198" s="998"/>
      <c r="C198" s="1014"/>
      <c r="D198" s="998"/>
      <c r="E198" s="998"/>
      <c r="F198" s="998"/>
    </row>
    <row r="199" spans="1:60">
      <c r="A199" s="997"/>
      <c r="B199" s="998"/>
      <c r="D199" s="998"/>
      <c r="E199" s="998"/>
      <c r="F199" s="998"/>
    </row>
    <row r="200" spans="1:60">
      <c r="A200" s="997"/>
      <c r="B200" s="998"/>
      <c r="C200" s="1005" t="s">
        <v>2814</v>
      </c>
      <c r="D200" s="998"/>
      <c r="E200" s="998"/>
      <c r="F200" s="998"/>
    </row>
    <row r="201" spans="1:60">
      <c r="A201" s="997"/>
      <c r="B201" s="998"/>
      <c r="C201" s="1006" t="s">
        <v>2789</v>
      </c>
      <c r="D201" s="998"/>
      <c r="E201" s="998"/>
      <c r="F201" s="998"/>
    </row>
    <row r="202" spans="1:60">
      <c r="A202" s="997"/>
      <c r="B202" s="998"/>
      <c r="D202" s="998"/>
      <c r="E202" s="998"/>
      <c r="F202" s="998"/>
    </row>
    <row r="203" spans="1:60">
      <c r="A203" s="997"/>
      <c r="B203" s="998"/>
      <c r="C203" s="1008" t="s">
        <v>2764</v>
      </c>
      <c r="D203" s="998"/>
      <c r="E203" s="998"/>
      <c r="F203" s="998"/>
    </row>
    <row r="204" spans="1:60">
      <c r="A204" s="997"/>
      <c r="B204" s="998"/>
      <c r="C204" s="1012"/>
      <c r="D204" s="998"/>
      <c r="E204" s="998"/>
      <c r="F204" s="998"/>
    </row>
    <row r="205" spans="1:60">
      <c r="A205" s="997"/>
      <c r="B205" s="1007"/>
      <c r="C205" s="1001"/>
      <c r="D205" s="998"/>
      <c r="E205" s="998"/>
      <c r="F205" s="998"/>
    </row>
    <row r="206" spans="1:60">
      <c r="A206" s="1020"/>
      <c r="B206" s="1009"/>
      <c r="C206" s="1021"/>
      <c r="D206" s="1009"/>
      <c r="E206" s="1009"/>
      <c r="F206" s="1009"/>
    </row>
    <row r="207" spans="1:60">
      <c r="A207" s="993"/>
      <c r="B207" s="994"/>
      <c r="C207" s="995" t="s">
        <v>2802</v>
      </c>
      <c r="D207" s="994"/>
      <c r="E207" s="994"/>
      <c r="F207" s="994"/>
    </row>
    <row r="208" spans="1:60">
      <c r="A208" s="997"/>
      <c r="B208" s="998" t="s">
        <v>2826</v>
      </c>
      <c r="C208" s="1543" t="s">
        <v>2804</v>
      </c>
      <c r="D208" s="998" t="s">
        <v>2805</v>
      </c>
      <c r="E208" s="1024">
        <f>'[6]COSTO CR GLOBAL '!H208</f>
        <v>34796</v>
      </c>
      <c r="F208" s="259" t="s">
        <v>284</v>
      </c>
    </row>
    <row r="209" spans="1:6">
      <c r="A209" s="997"/>
      <c r="B209" s="998"/>
      <c r="C209" s="1544"/>
      <c r="D209" s="998"/>
      <c r="E209" s="998"/>
      <c r="F209" s="998"/>
    </row>
    <row r="210" spans="1:6">
      <c r="A210" s="997"/>
      <c r="B210" s="1002"/>
      <c r="C210" s="1544"/>
      <c r="D210" s="998"/>
      <c r="E210" s="998"/>
      <c r="F210" s="998"/>
    </row>
    <row r="211" spans="1:6">
      <c r="A211" s="997"/>
      <c r="B211" s="998"/>
      <c r="C211" s="1014"/>
      <c r="D211" s="998"/>
      <c r="E211" s="998"/>
      <c r="F211" s="998"/>
    </row>
    <row r="212" spans="1:6">
      <c r="A212" s="997"/>
      <c r="B212" s="998"/>
      <c r="D212" s="998"/>
      <c r="E212" s="998"/>
      <c r="F212" s="998"/>
    </row>
    <row r="213" spans="1:6">
      <c r="A213" s="997"/>
      <c r="B213" s="998"/>
      <c r="C213" s="1005" t="s">
        <v>2823</v>
      </c>
      <c r="D213" s="998"/>
      <c r="E213" s="998"/>
      <c r="F213" s="998"/>
    </row>
    <row r="214" spans="1:6">
      <c r="A214" s="997"/>
      <c r="B214" s="998"/>
      <c r="C214" s="1006" t="s">
        <v>2789</v>
      </c>
      <c r="D214" s="998"/>
      <c r="E214" s="998"/>
      <c r="F214" s="998"/>
    </row>
    <row r="215" spans="1:6">
      <c r="A215" s="997"/>
      <c r="B215" s="998"/>
      <c r="D215" s="998"/>
      <c r="E215" s="998"/>
      <c r="F215" s="998"/>
    </row>
    <row r="216" spans="1:6">
      <c r="A216" s="997"/>
      <c r="B216" s="998"/>
      <c r="C216" s="1008" t="s">
        <v>2764</v>
      </c>
      <c r="D216" s="998"/>
      <c r="E216" s="998"/>
      <c r="F216" s="998"/>
    </row>
    <row r="217" spans="1:6">
      <c r="A217" s="997"/>
      <c r="B217" s="998"/>
      <c r="C217" s="1012"/>
      <c r="D217" s="998"/>
      <c r="E217" s="998"/>
      <c r="F217" s="998"/>
    </row>
    <row r="218" spans="1:6">
      <c r="A218" s="997"/>
      <c r="B218" s="1007"/>
      <c r="C218" s="1001"/>
      <c r="D218" s="998"/>
      <c r="E218" s="998"/>
      <c r="F218" s="998"/>
    </row>
    <row r="219" spans="1:6">
      <c r="A219" s="1020"/>
      <c r="B219" s="1009"/>
      <c r="C219" s="1021"/>
      <c r="D219" s="1009"/>
      <c r="E219" s="1009"/>
      <c r="F219" s="1009"/>
    </row>
    <row r="220" spans="1:6">
      <c r="A220" s="993"/>
      <c r="B220" s="994"/>
      <c r="C220" s="995" t="s">
        <v>2827</v>
      </c>
      <c r="D220" s="994"/>
      <c r="E220" s="994"/>
      <c r="F220" s="994"/>
    </row>
    <row r="221" spans="1:6">
      <c r="A221" s="997"/>
      <c r="B221" s="998" t="s">
        <v>2828</v>
      </c>
      <c r="C221" s="999" t="s">
        <v>2829</v>
      </c>
      <c r="D221" s="998" t="s">
        <v>2830</v>
      </c>
      <c r="E221" s="1024">
        <f>'[6]COSTO CR GLOBAL '!H221</f>
        <v>23520</v>
      </c>
      <c r="F221" s="259" t="s">
        <v>284</v>
      </c>
    </row>
    <row r="222" spans="1:6">
      <c r="A222" s="997"/>
      <c r="B222" s="998"/>
      <c r="C222" s="1001" t="s">
        <v>2775</v>
      </c>
      <c r="D222" s="998"/>
      <c r="E222" s="998"/>
      <c r="F222" s="998"/>
    </row>
    <row r="223" spans="1:6">
      <c r="A223" s="997"/>
      <c r="B223" s="1002"/>
      <c r="C223" s="1003" t="s">
        <v>2782</v>
      </c>
      <c r="D223" s="998"/>
      <c r="E223" s="998"/>
      <c r="F223" s="998"/>
    </row>
    <row r="224" spans="1:6">
      <c r="A224" s="997"/>
      <c r="B224" s="998"/>
      <c r="C224" s="1014" t="s">
        <v>2831</v>
      </c>
      <c r="D224" s="998"/>
      <c r="E224" s="998"/>
      <c r="F224" s="998"/>
    </row>
    <row r="225" spans="1:60">
      <c r="A225" s="997"/>
      <c r="B225" s="998"/>
      <c r="D225" s="998"/>
      <c r="E225" s="998"/>
      <c r="F225" s="998"/>
    </row>
    <row r="226" spans="1:60">
      <c r="A226" s="997"/>
      <c r="B226" s="998"/>
      <c r="C226" s="1005" t="s">
        <v>2788</v>
      </c>
      <c r="D226" s="998"/>
      <c r="E226" s="998"/>
      <c r="F226" s="998"/>
    </row>
    <row r="227" spans="1:60">
      <c r="A227" s="997"/>
      <c r="B227" s="998"/>
      <c r="C227" s="1006" t="s">
        <v>2789</v>
      </c>
      <c r="D227" s="998"/>
      <c r="E227" s="998"/>
      <c r="F227" s="998"/>
    </row>
    <row r="228" spans="1:60">
      <c r="A228" s="997"/>
      <c r="B228" s="998"/>
      <c r="D228" s="998"/>
      <c r="E228" s="998"/>
      <c r="F228" s="998"/>
    </row>
    <row r="229" spans="1:60">
      <c r="A229" s="997"/>
      <c r="B229" s="998"/>
      <c r="C229" s="1008" t="s">
        <v>2764</v>
      </c>
      <c r="D229" s="998"/>
      <c r="E229" s="998"/>
      <c r="F229" s="998"/>
    </row>
    <row r="230" spans="1:60">
      <c r="A230" s="997"/>
      <c r="B230" s="998"/>
      <c r="C230" s="1012"/>
      <c r="D230" s="998"/>
      <c r="E230" s="998"/>
      <c r="F230" s="998"/>
    </row>
    <row r="231" spans="1:60">
      <c r="A231" s="997"/>
      <c r="B231" s="1007"/>
      <c r="C231" s="1001"/>
      <c r="D231" s="998"/>
      <c r="E231" s="998"/>
      <c r="F231" s="998"/>
    </row>
    <row r="232" spans="1:60">
      <c r="A232" s="1020"/>
      <c r="B232" s="1009"/>
      <c r="C232" s="1021"/>
      <c r="D232" s="1009"/>
      <c r="E232" s="1009"/>
      <c r="F232" s="1009"/>
    </row>
    <row r="233" spans="1:60" s="976" customFormat="1" ht="15" customHeight="1">
      <c r="A233" s="977" t="s">
        <v>2753</v>
      </c>
      <c r="B233" s="978"/>
      <c r="C233" s="1552" t="s">
        <v>2832</v>
      </c>
      <c r="D233" s="979"/>
      <c r="E233" s="772"/>
      <c r="F233" s="980"/>
      <c r="G233" s="968"/>
      <c r="H233" s="975"/>
      <c r="I233" s="975"/>
      <c r="J233" s="975"/>
      <c r="K233" s="975"/>
      <c r="L233" s="975"/>
      <c r="M233" s="975"/>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row>
    <row r="234" spans="1:60" s="988" customFormat="1" ht="20.100000000000001" customHeight="1">
      <c r="A234" s="982" t="s">
        <v>2833</v>
      </c>
      <c r="B234" s="983"/>
      <c r="C234" s="1545"/>
      <c r="D234" s="984"/>
      <c r="E234" s="778"/>
      <c r="F234" s="985"/>
      <c r="G234" s="968"/>
      <c r="H234" s="986"/>
      <c r="I234" s="986"/>
      <c r="J234" s="986"/>
      <c r="K234" s="986"/>
      <c r="L234" s="986"/>
      <c r="M234" s="986"/>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row>
    <row r="235" spans="1:60">
      <c r="A235" s="993"/>
      <c r="B235" s="994"/>
      <c r="C235" s="995" t="s">
        <v>2834</v>
      </c>
      <c r="D235" s="996"/>
      <c r="E235" s="996"/>
      <c r="F235" s="996"/>
    </row>
    <row r="236" spans="1:60">
      <c r="A236" s="997"/>
      <c r="B236" s="1541" t="s">
        <v>2835</v>
      </c>
      <c r="C236" s="1543" t="s">
        <v>2836</v>
      </c>
      <c r="D236" s="1029"/>
      <c r="E236" s="1024">
        <f>'[6]COSTO CR GLOBAL '!H236</f>
        <v>17998</v>
      </c>
      <c r="F236" s="259" t="s">
        <v>284</v>
      </c>
    </row>
    <row r="237" spans="1:60">
      <c r="A237" s="997"/>
      <c r="B237" s="1542"/>
      <c r="C237" s="1544"/>
      <c r="D237" s="998"/>
      <c r="E237" s="1024"/>
      <c r="F237" s="998"/>
    </row>
    <row r="238" spans="1:60">
      <c r="A238" s="997"/>
      <c r="B238" s="1002"/>
      <c r="C238" s="1544"/>
      <c r="D238" s="998"/>
      <c r="E238" s="998"/>
      <c r="F238" s="998"/>
    </row>
    <row r="239" spans="1:60">
      <c r="A239" s="997"/>
      <c r="B239" s="1002"/>
      <c r="C239" s="1019"/>
      <c r="D239" s="998"/>
      <c r="E239" s="998"/>
      <c r="F239" s="998"/>
    </row>
    <row r="240" spans="1:60">
      <c r="A240" s="997"/>
      <c r="B240" s="1002"/>
      <c r="C240" s="1005" t="s">
        <v>2837</v>
      </c>
      <c r="D240" s="1002"/>
      <c r="E240" s="1002"/>
      <c r="F240" s="1002"/>
    </row>
    <row r="241" spans="1:6">
      <c r="B241" s="1002"/>
      <c r="C241" s="1006" t="s">
        <v>2789</v>
      </c>
      <c r="D241" s="1002"/>
      <c r="E241" s="1002"/>
      <c r="F241" s="1002"/>
    </row>
    <row r="242" spans="1:6">
      <c r="B242" s="1002"/>
      <c r="C242" s="1028"/>
      <c r="D242" s="1002"/>
      <c r="E242" s="1002"/>
      <c r="F242" s="1002"/>
    </row>
    <row r="243" spans="1:6">
      <c r="B243" s="1002"/>
      <c r="C243" s="1028"/>
      <c r="D243" s="1002"/>
      <c r="E243" s="1002"/>
      <c r="F243" s="1002"/>
    </row>
    <row r="244" spans="1:6">
      <c r="B244" s="1002"/>
      <c r="D244" s="1002"/>
      <c r="E244" s="1002"/>
      <c r="F244" s="1002"/>
    </row>
    <row r="245" spans="1:6">
      <c r="A245" s="1025"/>
      <c r="B245" s="1026"/>
      <c r="C245" s="1027"/>
      <c r="D245" s="1026"/>
      <c r="E245" s="1026"/>
      <c r="F245" s="1026"/>
    </row>
    <row r="246" spans="1:6">
      <c r="A246" s="993"/>
      <c r="B246" s="994"/>
      <c r="C246" s="995" t="s">
        <v>2834</v>
      </c>
      <c r="D246" s="996"/>
      <c r="E246" s="996"/>
      <c r="F246" s="996"/>
    </row>
    <row r="247" spans="1:6">
      <c r="A247" s="997"/>
      <c r="B247" s="1541" t="s">
        <v>2838</v>
      </c>
      <c r="C247" s="1543" t="s">
        <v>2839</v>
      </c>
      <c r="D247" s="1029"/>
      <c r="E247" s="1024">
        <f>'[6]COSTO CR GLOBAL '!H247</f>
        <v>18838</v>
      </c>
      <c r="F247" s="259" t="s">
        <v>284</v>
      </c>
    </row>
    <row r="248" spans="1:6">
      <c r="A248" s="997"/>
      <c r="B248" s="1542"/>
      <c r="C248" s="1544"/>
      <c r="D248" s="998"/>
      <c r="E248" s="998"/>
      <c r="F248" s="998"/>
    </row>
    <row r="249" spans="1:6">
      <c r="A249" s="997"/>
      <c r="B249" s="1002"/>
      <c r="C249" s="1544"/>
      <c r="D249" s="998"/>
      <c r="E249" s="998"/>
      <c r="F249" s="998"/>
    </row>
    <row r="250" spans="1:6">
      <c r="A250" s="997"/>
      <c r="B250" s="1002"/>
      <c r="C250" s="1019"/>
      <c r="D250" s="998"/>
      <c r="E250" s="998"/>
      <c r="F250" s="998"/>
    </row>
    <row r="251" spans="1:6">
      <c r="A251" s="997"/>
      <c r="B251" s="1002"/>
      <c r="C251" s="1005" t="s">
        <v>2840</v>
      </c>
      <c r="D251" s="1002"/>
      <c r="E251" s="1002"/>
      <c r="F251" s="1002"/>
    </row>
    <row r="252" spans="1:6">
      <c r="B252" s="1002"/>
      <c r="C252" s="1006" t="s">
        <v>2789</v>
      </c>
      <c r="D252" s="1002"/>
      <c r="E252" s="1002"/>
      <c r="F252" s="1002"/>
    </row>
    <row r="253" spans="1:6">
      <c r="B253" s="1002"/>
      <c r="C253" s="1028"/>
      <c r="D253" s="1002"/>
      <c r="E253" s="1002"/>
      <c r="F253" s="1002"/>
    </row>
    <row r="254" spans="1:6">
      <c r="B254" s="1002"/>
      <c r="C254" s="1028"/>
      <c r="D254" s="1002"/>
      <c r="E254" s="1002"/>
      <c r="F254" s="1002"/>
    </row>
    <row r="255" spans="1:6">
      <c r="B255" s="1002"/>
      <c r="D255" s="1002"/>
      <c r="E255" s="1002"/>
      <c r="F255" s="1002"/>
    </row>
    <row r="256" spans="1:6">
      <c r="A256" s="1025"/>
      <c r="B256" s="1026"/>
      <c r="C256" s="1027"/>
      <c r="D256" s="1026"/>
      <c r="E256" s="1026"/>
      <c r="F256" s="1026"/>
    </row>
    <row r="257" spans="1:6">
      <c r="A257" s="993"/>
      <c r="B257" s="994"/>
      <c r="C257" s="995" t="s">
        <v>2834</v>
      </c>
      <c r="D257" s="996"/>
      <c r="E257" s="996"/>
      <c r="F257" s="996"/>
    </row>
    <row r="258" spans="1:6">
      <c r="A258" s="997"/>
      <c r="B258" s="1541" t="s">
        <v>2841</v>
      </c>
      <c r="C258" s="1543" t="s">
        <v>2842</v>
      </c>
      <c r="D258" s="1029"/>
      <c r="E258" s="1024">
        <f>'[6]COSTO CR GLOBAL '!H258</f>
        <v>18838</v>
      </c>
      <c r="F258" s="259" t="s">
        <v>284</v>
      </c>
    </row>
    <row r="259" spans="1:6">
      <c r="A259" s="997"/>
      <c r="B259" s="1542"/>
      <c r="C259" s="1544"/>
      <c r="D259" s="998"/>
      <c r="E259" s="998"/>
      <c r="F259" s="998"/>
    </row>
    <row r="260" spans="1:6">
      <c r="A260" s="997"/>
      <c r="B260" s="1002"/>
      <c r="C260" s="1544"/>
      <c r="D260" s="998"/>
      <c r="E260" s="998"/>
      <c r="F260" s="998"/>
    </row>
    <row r="261" spans="1:6">
      <c r="A261" s="997"/>
      <c r="B261" s="1002"/>
      <c r="C261" s="1019"/>
      <c r="D261" s="998"/>
      <c r="E261" s="998"/>
      <c r="F261" s="998"/>
    </row>
    <row r="262" spans="1:6">
      <c r="A262" s="997"/>
      <c r="B262" s="1002"/>
      <c r="C262" s="1005" t="s">
        <v>2843</v>
      </c>
      <c r="D262" s="1002"/>
      <c r="E262" s="1002"/>
      <c r="F262" s="1002"/>
    </row>
    <row r="263" spans="1:6">
      <c r="B263" s="1002"/>
      <c r="C263" s="1006" t="s">
        <v>2789</v>
      </c>
      <c r="D263" s="1002"/>
      <c r="E263" s="1002"/>
      <c r="F263" s="1002"/>
    </row>
    <row r="264" spans="1:6">
      <c r="B264" s="1002"/>
      <c r="C264" s="1028"/>
      <c r="D264" s="1002"/>
      <c r="E264" s="1002"/>
      <c r="F264" s="1002"/>
    </row>
    <row r="265" spans="1:6">
      <c r="B265" s="1002"/>
      <c r="C265" s="1028"/>
      <c r="D265" s="1002"/>
      <c r="E265" s="1002"/>
      <c r="F265" s="1002"/>
    </row>
    <row r="266" spans="1:6">
      <c r="B266" s="1002"/>
      <c r="D266" s="1002"/>
      <c r="E266" s="1002"/>
      <c r="F266" s="1002"/>
    </row>
    <row r="267" spans="1:6">
      <c r="A267" s="1025"/>
      <c r="B267" s="1026"/>
      <c r="C267" s="1027"/>
      <c r="D267" s="1026"/>
      <c r="E267" s="1026"/>
      <c r="F267" s="1026"/>
    </row>
    <row r="268" spans="1:6">
      <c r="A268" s="993"/>
      <c r="B268" s="994"/>
      <c r="C268" s="995" t="s">
        <v>2834</v>
      </c>
      <c r="D268" s="996"/>
      <c r="E268" s="996"/>
      <c r="F268" s="996"/>
    </row>
    <row r="269" spans="1:6">
      <c r="A269" s="997"/>
      <c r="B269" s="1541" t="s">
        <v>2844</v>
      </c>
      <c r="C269" s="1543" t="s">
        <v>2845</v>
      </c>
      <c r="D269" s="1029"/>
      <c r="E269" s="1024">
        <f>'[6]COSTO CR GLOBAL '!H269</f>
        <v>29784</v>
      </c>
      <c r="F269" s="259" t="s">
        <v>284</v>
      </c>
    </row>
    <row r="270" spans="1:6">
      <c r="A270" s="997"/>
      <c r="B270" s="1542"/>
      <c r="C270" s="1544"/>
      <c r="D270" s="998"/>
      <c r="E270" s="998"/>
      <c r="F270" s="998"/>
    </row>
    <row r="271" spans="1:6">
      <c r="A271" s="997"/>
      <c r="B271" s="1002"/>
      <c r="C271" s="1544"/>
      <c r="D271" s="998"/>
      <c r="E271" s="998"/>
      <c r="F271" s="998"/>
    </row>
    <row r="272" spans="1:6">
      <c r="A272" s="997"/>
      <c r="B272" s="1002"/>
      <c r="C272" s="1019"/>
      <c r="D272" s="998"/>
      <c r="E272" s="998"/>
      <c r="F272" s="998"/>
    </row>
    <row r="273" spans="1:6">
      <c r="A273" s="997"/>
      <c r="B273" s="1002"/>
      <c r="C273" s="1005" t="s">
        <v>2846</v>
      </c>
      <c r="D273" s="1002"/>
      <c r="E273" s="1002"/>
      <c r="F273" s="1002"/>
    </row>
    <row r="274" spans="1:6">
      <c r="B274" s="1002"/>
      <c r="C274" s="1006" t="s">
        <v>2789</v>
      </c>
      <c r="D274" s="1002"/>
      <c r="E274" s="1002"/>
      <c r="F274" s="1002"/>
    </row>
    <row r="275" spans="1:6">
      <c r="B275" s="1002"/>
      <c r="C275" s="1028"/>
      <c r="D275" s="1002"/>
      <c r="E275" s="1002"/>
      <c r="F275" s="1002"/>
    </row>
    <row r="276" spans="1:6">
      <c r="B276" s="1002"/>
      <c r="C276" s="1028"/>
      <c r="D276" s="1002"/>
      <c r="E276" s="1002"/>
      <c r="F276" s="1002"/>
    </row>
    <row r="277" spans="1:6">
      <c r="B277" s="1002"/>
      <c r="D277" s="1002"/>
      <c r="E277" s="1002"/>
      <c r="F277" s="1002"/>
    </row>
    <row r="278" spans="1:6">
      <c r="A278" s="1025"/>
      <c r="B278" s="1026"/>
      <c r="C278" s="1027"/>
      <c r="D278" s="1026"/>
      <c r="E278" s="1026"/>
      <c r="F278" s="1026"/>
    </row>
    <row r="279" spans="1:6">
      <c r="A279" s="993"/>
      <c r="B279" s="994"/>
      <c r="C279" s="995" t="s">
        <v>2834</v>
      </c>
      <c r="D279" s="996"/>
      <c r="E279" s="996"/>
      <c r="F279" s="996"/>
    </row>
    <row r="280" spans="1:6">
      <c r="A280" s="997"/>
      <c r="B280" s="1541" t="s">
        <v>2847</v>
      </c>
      <c r="C280" s="1543" t="s">
        <v>2848</v>
      </c>
      <c r="D280" s="1029"/>
      <c r="E280" s="1024">
        <f>'[6]COSTO CR GLOBAL '!H280</f>
        <v>21870</v>
      </c>
      <c r="F280" s="259" t="s">
        <v>284</v>
      </c>
    </row>
    <row r="281" spans="1:6">
      <c r="A281" s="997"/>
      <c r="B281" s="1542"/>
      <c r="C281" s="1544"/>
      <c r="D281" s="998"/>
      <c r="E281" s="998"/>
      <c r="F281" s="998"/>
    </row>
    <row r="282" spans="1:6">
      <c r="A282" s="997"/>
      <c r="B282" s="1002"/>
      <c r="C282" s="1544"/>
      <c r="D282" s="998"/>
      <c r="E282" s="998"/>
      <c r="F282" s="998"/>
    </row>
    <row r="283" spans="1:6">
      <c r="A283" s="997"/>
      <c r="B283" s="1002"/>
      <c r="C283" s="1019"/>
      <c r="D283" s="998"/>
      <c r="E283" s="998"/>
      <c r="F283" s="998"/>
    </row>
    <row r="284" spans="1:6">
      <c r="A284" s="997"/>
      <c r="B284" s="1002"/>
      <c r="C284" s="1005" t="s">
        <v>2846</v>
      </c>
      <c r="D284" s="1002"/>
      <c r="E284" s="1002"/>
      <c r="F284" s="1002"/>
    </row>
    <row r="285" spans="1:6">
      <c r="B285" s="1002"/>
      <c r="C285" s="1006" t="s">
        <v>2789</v>
      </c>
      <c r="D285" s="1002"/>
      <c r="E285" s="1002"/>
      <c r="F285" s="1002"/>
    </row>
    <row r="286" spans="1:6">
      <c r="B286" s="1002"/>
      <c r="C286" s="1028"/>
      <c r="D286" s="1002"/>
      <c r="E286" s="1002"/>
      <c r="F286" s="1002"/>
    </row>
    <row r="287" spans="1:6">
      <c r="B287" s="1002"/>
      <c r="C287" s="1028"/>
      <c r="D287" s="1002"/>
      <c r="E287" s="1002"/>
      <c r="F287" s="1002"/>
    </row>
    <row r="288" spans="1:6">
      <c r="B288" s="1002"/>
      <c r="D288" s="1002"/>
      <c r="E288" s="1002"/>
      <c r="F288" s="1002"/>
    </row>
    <row r="289" spans="1:60">
      <c r="A289" s="1025"/>
      <c r="B289" s="1026"/>
      <c r="C289" s="1027"/>
      <c r="D289" s="1026"/>
      <c r="E289" s="1026"/>
      <c r="F289" s="1026"/>
    </row>
    <row r="290" spans="1:60">
      <c r="A290" s="993"/>
      <c r="B290" s="994"/>
      <c r="C290" s="995" t="s">
        <v>2834</v>
      </c>
      <c r="D290" s="996"/>
      <c r="E290" s="996"/>
      <c r="F290" s="996"/>
    </row>
    <row r="291" spans="1:60">
      <c r="A291" s="997"/>
      <c r="B291" s="1541" t="s">
        <v>2849</v>
      </c>
      <c r="C291" s="1543" t="s">
        <v>2850</v>
      </c>
      <c r="D291" s="1029"/>
      <c r="E291" s="1024">
        <f>'[6]COSTO CR GLOBAL '!H291</f>
        <v>15792</v>
      </c>
      <c r="F291" s="259" t="s">
        <v>284</v>
      </c>
    </row>
    <row r="292" spans="1:60">
      <c r="A292" s="997"/>
      <c r="B292" s="1542"/>
      <c r="C292" s="1544"/>
      <c r="D292" s="998"/>
      <c r="E292" s="998"/>
      <c r="F292" s="998"/>
    </row>
    <row r="293" spans="1:60">
      <c r="A293" s="997"/>
      <c r="B293" s="1002"/>
      <c r="C293" s="1544"/>
      <c r="D293" s="998"/>
      <c r="E293" s="998"/>
      <c r="F293" s="998"/>
    </row>
    <row r="294" spans="1:60">
      <c r="A294" s="997"/>
      <c r="B294" s="1002"/>
      <c r="C294" s="1019"/>
      <c r="D294" s="998"/>
      <c r="E294" s="998"/>
      <c r="F294" s="998"/>
    </row>
    <row r="295" spans="1:60">
      <c r="A295" s="997"/>
      <c r="B295" s="1002"/>
      <c r="C295" s="1005" t="s">
        <v>2851</v>
      </c>
      <c r="D295" s="1002"/>
      <c r="E295" s="1002"/>
      <c r="F295" s="1002"/>
    </row>
    <row r="296" spans="1:60">
      <c r="B296" s="1002"/>
      <c r="C296" s="1006" t="s">
        <v>2789</v>
      </c>
      <c r="D296" s="1002"/>
      <c r="E296" s="1002"/>
      <c r="F296" s="1002"/>
    </row>
    <row r="297" spans="1:60">
      <c r="B297" s="1002"/>
      <c r="C297" s="1028"/>
      <c r="D297" s="1002"/>
      <c r="E297" s="1002"/>
      <c r="F297" s="1002"/>
    </row>
    <row r="298" spans="1:60">
      <c r="B298" s="1002"/>
      <c r="C298" s="1028"/>
      <c r="D298" s="1002"/>
      <c r="E298" s="1002"/>
      <c r="F298" s="1002"/>
    </row>
    <row r="299" spans="1:60">
      <c r="B299" s="1002"/>
      <c r="D299" s="1002"/>
      <c r="E299" s="1002"/>
      <c r="F299" s="1002"/>
    </row>
    <row r="300" spans="1:60">
      <c r="A300" s="1025"/>
      <c r="B300" s="1026"/>
      <c r="C300" s="1027"/>
      <c r="D300" s="1026"/>
      <c r="E300" s="1026"/>
      <c r="F300" s="1026"/>
    </row>
    <row r="301" spans="1:60" s="976" customFormat="1" ht="15" customHeight="1">
      <c r="A301" s="977" t="s">
        <v>2753</v>
      </c>
      <c r="B301" s="978"/>
      <c r="C301" s="1552" t="s">
        <v>2852</v>
      </c>
      <c r="D301" s="979"/>
      <c r="E301" s="772"/>
      <c r="F301" s="980"/>
      <c r="G301" s="968"/>
      <c r="H301" s="975"/>
      <c r="I301" s="975"/>
      <c r="J301" s="975"/>
      <c r="K301" s="975"/>
      <c r="L301" s="975"/>
      <c r="M301" s="975"/>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row>
    <row r="302" spans="1:60" s="988" customFormat="1" ht="20.100000000000001" customHeight="1">
      <c r="A302" s="982" t="s">
        <v>2853</v>
      </c>
      <c r="B302" s="983"/>
      <c r="C302" s="1545"/>
      <c r="D302" s="984"/>
      <c r="E302" s="778"/>
      <c r="F302" s="985"/>
      <c r="G302" s="968"/>
      <c r="H302" s="986"/>
      <c r="I302" s="986"/>
      <c r="J302" s="986"/>
      <c r="K302" s="986"/>
      <c r="L302" s="986"/>
      <c r="M302" s="986"/>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row>
    <row r="303" spans="1:60">
      <c r="A303" s="993"/>
      <c r="B303" s="994"/>
      <c r="C303" s="995" t="s">
        <v>2854</v>
      </c>
      <c r="D303" s="996"/>
      <c r="E303" s="996"/>
      <c r="F303" s="996"/>
    </row>
    <row r="304" spans="1:60">
      <c r="A304" s="997"/>
      <c r="B304" s="1541" t="s">
        <v>2855</v>
      </c>
      <c r="C304" s="1543" t="s">
        <v>2856</v>
      </c>
      <c r="D304" s="1029"/>
      <c r="E304" s="1024">
        <f>'[6]COSTO CR GLOBAL '!H304</f>
        <v>8946</v>
      </c>
      <c r="F304" s="259" t="s">
        <v>284</v>
      </c>
    </row>
    <row r="305" spans="1:6">
      <c r="A305" s="997"/>
      <c r="B305" s="1542"/>
      <c r="C305" s="1544"/>
      <c r="D305" s="998"/>
      <c r="E305" s="998"/>
      <c r="F305" s="998"/>
    </row>
    <row r="306" spans="1:6">
      <c r="A306" s="997"/>
      <c r="B306" s="1002"/>
      <c r="C306" s="1544"/>
      <c r="D306" s="998"/>
      <c r="E306" s="998"/>
      <c r="F306" s="998"/>
    </row>
    <row r="307" spans="1:6">
      <c r="A307" s="997"/>
      <c r="B307" s="1002"/>
      <c r="C307" s="1019"/>
      <c r="D307" s="998"/>
      <c r="E307" s="998"/>
      <c r="F307" s="998"/>
    </row>
    <row r="308" spans="1:6">
      <c r="A308" s="997"/>
      <c r="B308" s="1002"/>
      <c r="C308" s="1005" t="s">
        <v>2857</v>
      </c>
      <c r="D308" s="1002"/>
      <c r="E308" s="1002"/>
      <c r="F308" s="1002"/>
    </row>
    <row r="309" spans="1:6">
      <c r="B309" s="1002"/>
      <c r="C309" s="1006" t="s">
        <v>2789</v>
      </c>
      <c r="D309" s="1002"/>
      <c r="E309" s="1002"/>
      <c r="F309" s="1002"/>
    </row>
    <row r="310" spans="1:6">
      <c r="B310" s="1002"/>
      <c r="C310" s="1028"/>
      <c r="D310" s="1002"/>
      <c r="E310" s="1002"/>
      <c r="F310" s="1002"/>
    </row>
    <row r="311" spans="1:6">
      <c r="B311" s="1002"/>
      <c r="C311" s="1028"/>
      <c r="D311" s="1002"/>
      <c r="E311" s="1002"/>
      <c r="F311" s="1002"/>
    </row>
    <row r="312" spans="1:6">
      <c r="B312" s="1002"/>
      <c r="D312" s="1002"/>
      <c r="E312" s="1002"/>
      <c r="F312" s="1002"/>
    </row>
    <row r="313" spans="1:6">
      <c r="A313" s="1025"/>
      <c r="B313" s="1026"/>
      <c r="C313" s="1027"/>
      <c r="D313" s="1026"/>
      <c r="E313" s="1026"/>
      <c r="F313" s="1026"/>
    </row>
    <row r="314" spans="1:6">
      <c r="A314" s="993"/>
      <c r="B314" s="994"/>
      <c r="C314" s="995" t="s">
        <v>2854</v>
      </c>
      <c r="D314" s="996"/>
      <c r="E314" s="996"/>
      <c r="F314" s="996"/>
    </row>
    <row r="315" spans="1:6">
      <c r="A315" s="997"/>
      <c r="B315" s="1541" t="s">
        <v>2858</v>
      </c>
      <c r="C315" s="1543" t="s">
        <v>2859</v>
      </c>
      <c r="D315" s="1000"/>
      <c r="E315" s="1024">
        <f>'[6]COSTO CR GLOBAL '!H315</f>
        <v>10574</v>
      </c>
      <c r="F315" s="259" t="s">
        <v>284</v>
      </c>
    </row>
    <row r="316" spans="1:6">
      <c r="A316" s="997"/>
      <c r="B316" s="1542"/>
      <c r="C316" s="1544"/>
      <c r="D316" s="1000"/>
      <c r="E316" s="998"/>
      <c r="F316" s="998"/>
    </row>
    <row r="317" spans="1:6">
      <c r="A317" s="997"/>
      <c r="B317" s="1002"/>
      <c r="C317" s="1544"/>
      <c r="D317" s="1000"/>
      <c r="E317" s="998"/>
      <c r="F317" s="998"/>
    </row>
    <row r="318" spans="1:6">
      <c r="A318" s="997"/>
      <c r="B318" s="1002"/>
      <c r="C318" s="1019"/>
      <c r="D318" s="1000"/>
      <c r="E318" s="998"/>
      <c r="F318" s="998"/>
    </row>
    <row r="319" spans="1:6">
      <c r="A319" s="997"/>
      <c r="B319" s="1002"/>
      <c r="C319" s="1005" t="s">
        <v>2814</v>
      </c>
      <c r="D319" s="1002"/>
      <c r="E319" s="1002"/>
      <c r="F319" s="1002"/>
    </row>
    <row r="320" spans="1:6">
      <c r="B320" s="1002"/>
      <c r="C320" s="1006" t="s">
        <v>2789</v>
      </c>
      <c r="D320" s="1002"/>
      <c r="E320" s="1002"/>
      <c r="F320" s="1002"/>
    </row>
    <row r="321" spans="1:6">
      <c r="B321" s="1002"/>
      <c r="C321" s="1028"/>
      <c r="D321" s="1002"/>
      <c r="E321" s="1002"/>
      <c r="F321" s="1002"/>
    </row>
    <row r="322" spans="1:6">
      <c r="B322" s="1002"/>
      <c r="C322" s="1028"/>
      <c r="D322" s="1002"/>
      <c r="E322" s="1002"/>
      <c r="F322" s="1002"/>
    </row>
    <row r="323" spans="1:6">
      <c r="B323" s="1002"/>
      <c r="D323" s="1002"/>
      <c r="E323" s="1002"/>
      <c r="F323" s="1002"/>
    </row>
    <row r="324" spans="1:6">
      <c r="A324" s="1025"/>
      <c r="B324" s="1026"/>
      <c r="C324" s="1027"/>
      <c r="D324" s="1026"/>
      <c r="E324" s="1026"/>
      <c r="F324" s="1026"/>
    </row>
    <row r="325" spans="1:6">
      <c r="A325" s="993"/>
      <c r="B325" s="994"/>
      <c r="C325" s="995" t="s">
        <v>2854</v>
      </c>
      <c r="D325" s="996"/>
      <c r="E325" s="996"/>
      <c r="F325" s="996"/>
    </row>
    <row r="326" spans="1:6">
      <c r="A326" s="997"/>
      <c r="B326" s="1541" t="s">
        <v>2860</v>
      </c>
      <c r="C326" s="1543" t="s">
        <v>2861</v>
      </c>
      <c r="D326" s="1000"/>
      <c r="E326" s="1024">
        <f>'[6]COSTO CR GLOBAL '!H326</f>
        <v>10574</v>
      </c>
      <c r="F326" s="259" t="s">
        <v>284</v>
      </c>
    </row>
    <row r="327" spans="1:6">
      <c r="A327" s="997"/>
      <c r="B327" s="1542"/>
      <c r="C327" s="1544"/>
      <c r="D327" s="1000"/>
      <c r="E327" s="998"/>
      <c r="F327" s="998"/>
    </row>
    <row r="328" spans="1:6">
      <c r="A328" s="997"/>
      <c r="B328" s="1002"/>
      <c r="C328" s="1544"/>
      <c r="D328" s="1000"/>
      <c r="E328" s="998"/>
      <c r="F328" s="998"/>
    </row>
    <row r="329" spans="1:6">
      <c r="A329" s="997"/>
      <c r="B329" s="1002"/>
      <c r="C329" s="1019"/>
      <c r="D329" s="1000"/>
      <c r="E329" s="998"/>
      <c r="F329" s="998"/>
    </row>
    <row r="330" spans="1:6">
      <c r="A330" s="997"/>
      <c r="B330" s="1002"/>
      <c r="C330" s="1005" t="s">
        <v>2814</v>
      </c>
      <c r="D330" s="1002"/>
      <c r="E330" s="1002"/>
      <c r="F330" s="1002"/>
    </row>
    <row r="331" spans="1:6">
      <c r="B331" s="1002"/>
      <c r="C331" s="1006" t="s">
        <v>2789</v>
      </c>
      <c r="D331" s="1002"/>
      <c r="E331" s="1002"/>
      <c r="F331" s="1002"/>
    </row>
    <row r="332" spans="1:6">
      <c r="B332" s="1002"/>
      <c r="C332" s="1028"/>
      <c r="D332" s="1002"/>
      <c r="E332" s="1002"/>
      <c r="F332" s="1002"/>
    </row>
    <row r="333" spans="1:6">
      <c r="B333" s="1002"/>
      <c r="C333" s="1028"/>
      <c r="D333" s="1002"/>
      <c r="E333" s="1002"/>
      <c r="F333" s="1002"/>
    </row>
    <row r="334" spans="1:6">
      <c r="B334" s="1002"/>
      <c r="D334" s="1002"/>
      <c r="E334" s="1002"/>
      <c r="F334" s="1002"/>
    </row>
    <row r="335" spans="1:6">
      <c r="A335" s="1025"/>
      <c r="B335" s="1026"/>
      <c r="C335" s="1027"/>
      <c r="D335" s="1026"/>
      <c r="E335" s="1026"/>
      <c r="F335" s="1026"/>
    </row>
    <row r="336" spans="1:6">
      <c r="A336" s="993"/>
      <c r="B336" s="994"/>
      <c r="C336" s="995" t="s">
        <v>2854</v>
      </c>
      <c r="D336" s="996"/>
      <c r="E336" s="996"/>
      <c r="F336" s="996"/>
    </row>
    <row r="337" spans="1:6">
      <c r="A337" s="997"/>
      <c r="B337" s="1541" t="s">
        <v>2862</v>
      </c>
      <c r="C337" s="1543" t="s">
        <v>2863</v>
      </c>
      <c r="D337" s="1000"/>
      <c r="E337" s="1024">
        <f>'[6]COSTO CR GLOBAL '!H337</f>
        <v>11760</v>
      </c>
      <c r="F337" s="259" t="s">
        <v>284</v>
      </c>
    </row>
    <row r="338" spans="1:6">
      <c r="A338" s="997"/>
      <c r="B338" s="1542"/>
      <c r="C338" s="1544"/>
      <c r="D338" s="1000"/>
      <c r="E338" s="998"/>
      <c r="F338" s="998"/>
    </row>
    <row r="339" spans="1:6">
      <c r="A339" s="997"/>
      <c r="B339" s="1002"/>
      <c r="C339" s="1544"/>
      <c r="D339" s="1000"/>
      <c r="E339" s="998"/>
      <c r="F339" s="998"/>
    </row>
    <row r="340" spans="1:6">
      <c r="A340" s="997"/>
      <c r="B340" s="1002"/>
      <c r="C340" s="1019"/>
      <c r="D340" s="1000"/>
      <c r="E340" s="998"/>
      <c r="F340" s="998"/>
    </row>
    <row r="341" spans="1:6">
      <c r="A341" s="997"/>
      <c r="B341" s="1002"/>
      <c r="C341" s="1005" t="s">
        <v>2814</v>
      </c>
      <c r="D341" s="1002"/>
      <c r="E341" s="1002"/>
      <c r="F341" s="1002"/>
    </row>
    <row r="342" spans="1:6">
      <c r="B342" s="1002"/>
      <c r="C342" s="1006" t="s">
        <v>2789</v>
      </c>
      <c r="D342" s="1002"/>
      <c r="E342" s="1002"/>
      <c r="F342" s="1002"/>
    </row>
    <row r="343" spans="1:6">
      <c r="B343" s="1002"/>
      <c r="C343" s="1028"/>
      <c r="D343" s="1002"/>
      <c r="E343" s="1002"/>
      <c r="F343" s="1002"/>
    </row>
    <row r="344" spans="1:6">
      <c r="B344" s="1002"/>
      <c r="C344" s="1028"/>
      <c r="D344" s="1002"/>
      <c r="E344" s="1002"/>
      <c r="F344" s="1002"/>
    </row>
    <row r="345" spans="1:6">
      <c r="B345" s="1002"/>
      <c r="D345" s="1002"/>
      <c r="E345" s="1002"/>
      <c r="F345" s="1002"/>
    </row>
    <row r="346" spans="1:6">
      <c r="A346" s="1025"/>
      <c r="B346" s="1026"/>
      <c r="C346" s="1027"/>
      <c r="D346" s="1026"/>
      <c r="E346" s="1026"/>
      <c r="F346" s="1026"/>
    </row>
    <row r="347" spans="1:6">
      <c r="A347" s="993"/>
      <c r="B347" s="994"/>
      <c r="C347" s="995" t="s">
        <v>2854</v>
      </c>
      <c r="D347" s="996"/>
      <c r="E347" s="996"/>
      <c r="F347" s="996"/>
    </row>
    <row r="348" spans="1:6">
      <c r="A348" s="997"/>
      <c r="B348" s="1541" t="s">
        <v>2864</v>
      </c>
      <c r="C348" s="1543" t="s">
        <v>2865</v>
      </c>
      <c r="D348" s="1000"/>
      <c r="E348" s="1024">
        <f>'[6]COSTO CR GLOBAL '!H348</f>
        <v>15268</v>
      </c>
      <c r="F348" s="259" t="s">
        <v>284</v>
      </c>
    </row>
    <row r="349" spans="1:6">
      <c r="A349" s="997"/>
      <c r="B349" s="1542"/>
      <c r="C349" s="1544"/>
      <c r="D349" s="1000"/>
      <c r="E349" s="998"/>
      <c r="F349" s="998"/>
    </row>
    <row r="350" spans="1:6">
      <c r="A350" s="997"/>
      <c r="B350" s="1002"/>
      <c r="C350" s="1544"/>
      <c r="D350" s="1000"/>
      <c r="E350" s="998"/>
      <c r="F350" s="998"/>
    </row>
    <row r="351" spans="1:6">
      <c r="A351" s="997"/>
      <c r="B351" s="1002"/>
      <c r="C351" s="1019"/>
      <c r="D351" s="1000"/>
      <c r="E351" s="998"/>
      <c r="F351" s="998"/>
    </row>
    <row r="352" spans="1:6">
      <c r="A352" s="997"/>
      <c r="B352" s="1002"/>
      <c r="C352" s="1005" t="s">
        <v>2814</v>
      </c>
      <c r="D352" s="1002"/>
      <c r="E352" s="1002"/>
      <c r="F352" s="1002"/>
    </row>
    <row r="353" spans="1:60">
      <c r="B353" s="1002"/>
      <c r="C353" s="1006" t="s">
        <v>2789</v>
      </c>
      <c r="D353" s="1002"/>
      <c r="E353" s="1002"/>
      <c r="F353" s="1002"/>
    </row>
    <row r="354" spans="1:60">
      <c r="B354" s="1002"/>
      <c r="C354" s="1028"/>
      <c r="D354" s="1002"/>
      <c r="E354" s="1002"/>
      <c r="F354" s="1002"/>
    </row>
    <row r="355" spans="1:60">
      <c r="B355" s="1002"/>
      <c r="C355" s="1028"/>
      <c r="D355" s="1002"/>
      <c r="E355" s="1002"/>
      <c r="F355" s="1002"/>
    </row>
    <row r="356" spans="1:60">
      <c r="B356" s="1002"/>
      <c r="D356" s="1002"/>
      <c r="E356" s="1002"/>
      <c r="F356" s="1002"/>
    </row>
    <row r="357" spans="1:60">
      <c r="A357" s="1025"/>
      <c r="B357" s="1026"/>
      <c r="C357" s="1027"/>
      <c r="D357" s="1026"/>
      <c r="E357" s="1026"/>
      <c r="F357" s="1026"/>
    </row>
    <row r="358" spans="1:60" s="976" customFormat="1" ht="15" customHeight="1">
      <c r="A358" s="977" t="s">
        <v>2753</v>
      </c>
      <c r="B358" s="978"/>
      <c r="C358" s="1552" t="s">
        <v>2866</v>
      </c>
      <c r="D358" s="979"/>
      <c r="E358" s="772"/>
      <c r="F358" s="980"/>
      <c r="G358" s="968"/>
      <c r="H358" s="975"/>
      <c r="I358" s="975"/>
      <c r="J358" s="975"/>
      <c r="K358" s="975"/>
      <c r="L358" s="975"/>
      <c r="M358" s="975"/>
      <c r="N358" s="981"/>
      <c r="O358" s="981"/>
      <c r="P358" s="981"/>
      <c r="Q358" s="981"/>
      <c r="R358" s="981"/>
      <c r="S358" s="981"/>
      <c r="T358" s="981"/>
      <c r="U358" s="981"/>
      <c r="V358" s="981"/>
      <c r="W358" s="981"/>
      <c r="X358" s="981"/>
      <c r="Y358" s="981"/>
      <c r="Z358" s="981"/>
      <c r="AA358" s="981"/>
      <c r="AB358" s="981"/>
      <c r="AC358" s="981"/>
      <c r="AD358" s="981"/>
      <c r="AE358" s="981"/>
      <c r="AF358" s="981"/>
      <c r="AG358" s="981"/>
      <c r="AH358" s="981"/>
      <c r="AI358" s="981"/>
      <c r="AJ358" s="981"/>
      <c r="AK358" s="981"/>
      <c r="AL358" s="981"/>
      <c r="AM358" s="981"/>
      <c r="AN358" s="981"/>
      <c r="AO358" s="981"/>
      <c r="AP358" s="981"/>
      <c r="AQ358" s="981"/>
      <c r="AR358" s="981"/>
      <c r="AS358" s="981"/>
      <c r="AT358" s="981"/>
      <c r="AU358" s="981"/>
      <c r="AV358" s="981"/>
      <c r="AW358" s="981"/>
      <c r="AX358" s="981"/>
      <c r="AY358" s="981"/>
      <c r="AZ358" s="981"/>
      <c r="BA358" s="981"/>
      <c r="BB358" s="981"/>
      <c r="BC358" s="981"/>
      <c r="BD358" s="981"/>
      <c r="BE358" s="981"/>
      <c r="BF358" s="981"/>
      <c r="BG358" s="981"/>
      <c r="BH358" s="981"/>
    </row>
    <row r="359" spans="1:60" s="988" customFormat="1" ht="20.100000000000001" customHeight="1">
      <c r="A359" s="982" t="s">
        <v>2867</v>
      </c>
      <c r="B359" s="983"/>
      <c r="C359" s="1545"/>
      <c r="D359" s="984"/>
      <c r="E359" s="778"/>
      <c r="F359" s="985"/>
      <c r="G359" s="968"/>
      <c r="H359" s="986"/>
      <c r="I359" s="986"/>
      <c r="J359" s="986"/>
      <c r="K359" s="986"/>
      <c r="L359" s="986"/>
      <c r="M359" s="986"/>
      <c r="N359" s="987"/>
      <c r="O359" s="987"/>
      <c r="P359" s="987"/>
      <c r="Q359" s="987"/>
      <c r="R359" s="987"/>
      <c r="S359" s="987"/>
      <c r="T359" s="987"/>
      <c r="U359" s="987"/>
      <c r="V359" s="987"/>
      <c r="W359" s="987"/>
      <c r="X359" s="987"/>
      <c r="Y359" s="987"/>
      <c r="Z359" s="987"/>
      <c r="AA359" s="987"/>
      <c r="AB359" s="987"/>
      <c r="AC359" s="987"/>
      <c r="AD359" s="987"/>
      <c r="AE359" s="987"/>
      <c r="AF359" s="987"/>
      <c r="AG359" s="987"/>
      <c r="AH359" s="987"/>
      <c r="AI359" s="987"/>
      <c r="AJ359" s="987"/>
      <c r="AK359" s="987"/>
      <c r="AL359" s="987"/>
      <c r="AM359" s="987"/>
      <c r="AN359" s="987"/>
      <c r="AO359" s="987"/>
      <c r="AP359" s="987"/>
      <c r="AQ359" s="987"/>
      <c r="AR359" s="987"/>
      <c r="AS359" s="987"/>
      <c r="AT359" s="987"/>
      <c r="AU359" s="987"/>
      <c r="AV359" s="987"/>
      <c r="AW359" s="987"/>
      <c r="AX359" s="987"/>
      <c r="AY359" s="987"/>
      <c r="AZ359" s="987"/>
      <c r="BA359" s="987"/>
      <c r="BB359" s="987"/>
      <c r="BC359" s="987"/>
      <c r="BD359" s="987"/>
      <c r="BE359" s="987"/>
      <c r="BF359" s="987"/>
      <c r="BG359" s="987"/>
      <c r="BH359" s="987"/>
    </row>
    <row r="360" spans="1:60">
      <c r="A360" s="993"/>
      <c r="B360" s="994"/>
      <c r="C360" s="995" t="s">
        <v>2854</v>
      </c>
      <c r="D360" s="996"/>
      <c r="E360" s="996"/>
      <c r="F360" s="996"/>
    </row>
    <row r="361" spans="1:60">
      <c r="A361" s="997"/>
      <c r="B361" s="1541" t="s">
        <v>2868</v>
      </c>
      <c r="C361" s="1543" t="s">
        <v>2869</v>
      </c>
      <c r="D361" s="1000"/>
      <c r="E361" s="1024">
        <f>'[6]COSTO CR GLOBAL '!H361</f>
        <v>7764</v>
      </c>
      <c r="F361" s="259" t="s">
        <v>284</v>
      </c>
    </row>
    <row r="362" spans="1:60">
      <c r="A362" s="997"/>
      <c r="B362" s="1542"/>
      <c r="C362" s="1544"/>
      <c r="D362" s="1000"/>
      <c r="E362" s="1000"/>
      <c r="F362" s="998"/>
    </row>
    <row r="363" spans="1:60">
      <c r="A363" s="997"/>
      <c r="B363" s="1002"/>
      <c r="C363" s="1544"/>
      <c r="D363" s="1000"/>
      <c r="E363" s="1000"/>
      <c r="F363" s="998"/>
    </row>
    <row r="364" spans="1:60">
      <c r="A364" s="997"/>
      <c r="B364" s="1002"/>
      <c r="C364" s="1019"/>
      <c r="D364" s="1000"/>
      <c r="E364" s="1000"/>
      <c r="F364" s="998"/>
    </row>
    <row r="365" spans="1:60">
      <c r="A365" s="997"/>
      <c r="B365" s="1002"/>
      <c r="C365" s="1005" t="s">
        <v>2870</v>
      </c>
      <c r="D365" s="1002"/>
      <c r="E365" s="1002"/>
      <c r="F365" s="1002"/>
    </row>
    <row r="366" spans="1:60">
      <c r="B366" s="1002"/>
      <c r="C366" s="1006" t="s">
        <v>2810</v>
      </c>
      <c r="D366" s="1002"/>
      <c r="E366" s="1002"/>
      <c r="F366" s="1002"/>
    </row>
    <row r="367" spans="1:60">
      <c r="B367" s="1002"/>
      <c r="C367" s="1028"/>
      <c r="D367" s="1002"/>
      <c r="E367" s="1002"/>
      <c r="F367" s="1002"/>
    </row>
    <row r="368" spans="1:60">
      <c r="B368" s="1002"/>
      <c r="C368" s="1028"/>
      <c r="D368" s="1002"/>
      <c r="E368" s="1002"/>
      <c r="F368" s="1002"/>
    </row>
    <row r="369" spans="1:6">
      <c r="B369" s="1002"/>
      <c r="D369" s="1002"/>
      <c r="E369" s="1002"/>
      <c r="F369" s="1002"/>
    </row>
    <row r="370" spans="1:6">
      <c r="A370" s="1025"/>
      <c r="B370" s="1026"/>
      <c r="C370" s="1027"/>
      <c r="D370" s="1026"/>
      <c r="E370" s="1026"/>
      <c r="F370" s="1026"/>
    </row>
    <row r="371" spans="1:6">
      <c r="A371" s="993"/>
      <c r="B371" s="994"/>
      <c r="C371" s="995" t="s">
        <v>2854</v>
      </c>
      <c r="D371" s="996"/>
      <c r="E371" s="996"/>
      <c r="F371" s="996"/>
    </row>
    <row r="372" spans="1:6">
      <c r="A372" s="997"/>
      <c r="B372" s="1541" t="s">
        <v>2871</v>
      </c>
      <c r="C372" s="1543" t="s">
        <v>2872</v>
      </c>
      <c r="D372" s="1000"/>
      <c r="E372" s="1024">
        <f>'[6]COSTO CR GLOBAL '!H372</f>
        <v>10980</v>
      </c>
      <c r="F372" s="259" t="s">
        <v>284</v>
      </c>
    </row>
    <row r="373" spans="1:6">
      <c r="A373" s="997"/>
      <c r="B373" s="1542"/>
      <c r="C373" s="1544"/>
      <c r="D373" s="1000"/>
      <c r="E373" s="1000"/>
      <c r="F373" s="998"/>
    </row>
    <row r="374" spans="1:6">
      <c r="A374" s="997"/>
      <c r="B374" s="1002"/>
      <c r="C374" s="1544"/>
      <c r="D374" s="1000"/>
      <c r="E374" s="1000"/>
      <c r="F374" s="998"/>
    </row>
    <row r="375" spans="1:6">
      <c r="A375" s="997"/>
      <c r="B375" s="1002"/>
      <c r="C375" s="1019"/>
      <c r="D375" s="1000"/>
      <c r="E375" s="1000"/>
      <c r="F375" s="998"/>
    </row>
    <row r="376" spans="1:6">
      <c r="A376" s="997"/>
      <c r="B376" s="1002"/>
      <c r="C376" s="1005" t="s">
        <v>2873</v>
      </c>
      <c r="D376" s="1002"/>
      <c r="E376" s="1002"/>
      <c r="F376" s="1002"/>
    </row>
    <row r="377" spans="1:6">
      <c r="B377" s="1002"/>
      <c r="C377" s="1006" t="s">
        <v>2810</v>
      </c>
      <c r="D377" s="1002"/>
      <c r="E377" s="1002"/>
      <c r="F377" s="1002"/>
    </row>
    <row r="378" spans="1:6">
      <c r="B378" s="1002"/>
      <c r="C378" s="1028"/>
      <c r="D378" s="1002"/>
      <c r="E378" s="1002"/>
      <c r="F378" s="1002"/>
    </row>
    <row r="379" spans="1:6">
      <c r="B379" s="1002"/>
      <c r="C379" s="1028"/>
      <c r="D379" s="1002"/>
      <c r="E379" s="1002"/>
      <c r="F379" s="1002"/>
    </row>
    <row r="380" spans="1:6">
      <c r="B380" s="1002"/>
      <c r="D380" s="1002"/>
      <c r="E380" s="1002"/>
      <c r="F380" s="1002"/>
    </row>
    <row r="381" spans="1:6">
      <c r="A381" s="1025"/>
      <c r="B381" s="1026"/>
      <c r="C381" s="1027"/>
      <c r="D381" s="1026"/>
      <c r="E381" s="1026"/>
      <c r="F381" s="1026"/>
    </row>
    <row r="382" spans="1:6">
      <c r="A382" s="993"/>
      <c r="B382" s="994"/>
      <c r="C382" s="995" t="s">
        <v>2854</v>
      </c>
      <c r="D382" s="996"/>
      <c r="E382" s="996"/>
      <c r="F382" s="996"/>
    </row>
    <row r="383" spans="1:6">
      <c r="A383" s="997"/>
      <c r="B383" s="1541" t="s">
        <v>2874</v>
      </c>
      <c r="C383" s="1543" t="s">
        <v>2875</v>
      </c>
      <c r="D383" s="1000"/>
      <c r="E383" s="1024">
        <f>'[6]COSTO CR GLOBAL '!H383</f>
        <v>11200</v>
      </c>
      <c r="F383" s="259" t="s">
        <v>284</v>
      </c>
    </row>
    <row r="384" spans="1:6">
      <c r="A384" s="997"/>
      <c r="B384" s="1542"/>
      <c r="C384" s="1544"/>
      <c r="D384" s="1000"/>
      <c r="E384" s="1000"/>
      <c r="F384" s="998"/>
    </row>
    <row r="385" spans="1:60">
      <c r="A385" s="997"/>
      <c r="B385" s="1002"/>
      <c r="C385" s="1544"/>
      <c r="D385" s="1000"/>
      <c r="E385" s="1000"/>
      <c r="F385" s="998"/>
    </row>
    <row r="386" spans="1:60">
      <c r="A386" s="997"/>
      <c r="B386" s="1002"/>
      <c r="C386" s="1019"/>
      <c r="D386" s="1000"/>
      <c r="E386" s="1000"/>
      <c r="F386" s="998"/>
    </row>
    <row r="387" spans="1:60">
      <c r="A387" s="997"/>
      <c r="B387" s="1002"/>
      <c r="C387" s="1005" t="s">
        <v>2873</v>
      </c>
      <c r="D387" s="1002"/>
      <c r="E387" s="1002"/>
      <c r="F387" s="1002"/>
    </row>
    <row r="388" spans="1:60">
      <c r="B388" s="1002"/>
      <c r="C388" s="1006" t="s">
        <v>2810</v>
      </c>
      <c r="D388" s="1002"/>
      <c r="E388" s="1002"/>
      <c r="F388" s="1002"/>
    </row>
    <row r="389" spans="1:60">
      <c r="B389" s="1002"/>
      <c r="C389" s="1028"/>
      <c r="D389" s="1002"/>
      <c r="E389" s="1002"/>
      <c r="F389" s="1002"/>
    </row>
    <row r="390" spans="1:60">
      <c r="B390" s="1002"/>
      <c r="C390" s="1028"/>
      <c r="D390" s="1002"/>
      <c r="E390" s="1002"/>
      <c r="F390" s="1002"/>
    </row>
    <row r="391" spans="1:60">
      <c r="B391" s="1002"/>
      <c r="D391" s="1002"/>
      <c r="E391" s="1002"/>
      <c r="F391" s="1002"/>
    </row>
    <row r="392" spans="1:60">
      <c r="A392" s="1025"/>
      <c r="B392" s="1026"/>
      <c r="C392" s="1027"/>
      <c r="D392" s="1026"/>
      <c r="E392" s="1026"/>
      <c r="F392" s="1026"/>
    </row>
    <row r="393" spans="1:60" s="976" customFormat="1" ht="15" customHeight="1">
      <c r="A393" s="977" t="s">
        <v>2753</v>
      </c>
      <c r="B393" s="978"/>
      <c r="C393" s="1552" t="s">
        <v>2876</v>
      </c>
      <c r="D393" s="979"/>
      <c r="E393" s="772"/>
      <c r="F393" s="980"/>
      <c r="G393" s="968"/>
      <c r="H393" s="975"/>
      <c r="I393" s="975"/>
      <c r="J393" s="975"/>
      <c r="K393" s="975"/>
      <c r="L393" s="975"/>
      <c r="M393" s="975"/>
      <c r="N393" s="981"/>
      <c r="O393" s="981"/>
      <c r="P393" s="981"/>
      <c r="Q393" s="981"/>
      <c r="R393" s="981"/>
      <c r="S393" s="981"/>
      <c r="T393" s="981"/>
      <c r="U393" s="981"/>
      <c r="V393" s="981"/>
      <c r="W393" s="981"/>
      <c r="X393" s="981"/>
      <c r="Y393" s="981"/>
      <c r="Z393" s="981"/>
      <c r="AA393" s="981"/>
      <c r="AB393" s="981"/>
      <c r="AC393" s="981"/>
      <c r="AD393" s="981"/>
      <c r="AE393" s="981"/>
      <c r="AF393" s="981"/>
      <c r="AG393" s="981"/>
      <c r="AH393" s="981"/>
      <c r="AI393" s="981"/>
      <c r="AJ393" s="981"/>
      <c r="AK393" s="981"/>
      <c r="AL393" s="981"/>
      <c r="AM393" s="981"/>
      <c r="AN393" s="981"/>
      <c r="AO393" s="981"/>
      <c r="AP393" s="981"/>
      <c r="AQ393" s="981"/>
      <c r="AR393" s="981"/>
      <c r="AS393" s="981"/>
      <c r="AT393" s="981"/>
      <c r="AU393" s="981"/>
      <c r="AV393" s="981"/>
      <c r="AW393" s="981"/>
      <c r="AX393" s="981"/>
      <c r="AY393" s="981"/>
      <c r="AZ393" s="981"/>
      <c r="BA393" s="981"/>
      <c r="BB393" s="981"/>
      <c r="BC393" s="981"/>
      <c r="BD393" s="981"/>
      <c r="BE393" s="981"/>
      <c r="BF393" s="981"/>
      <c r="BG393" s="981"/>
      <c r="BH393" s="981"/>
    </row>
    <row r="394" spans="1:60" s="988" customFormat="1" ht="20.100000000000001" customHeight="1">
      <c r="A394" s="982" t="s">
        <v>2015</v>
      </c>
      <c r="B394" s="983"/>
      <c r="C394" s="1545"/>
      <c r="D394" s="984"/>
      <c r="E394" s="778"/>
      <c r="F394" s="985"/>
      <c r="G394" s="968"/>
      <c r="H394" s="986"/>
      <c r="I394" s="986"/>
      <c r="J394" s="986"/>
      <c r="K394" s="986"/>
      <c r="L394" s="986"/>
      <c r="M394" s="986"/>
      <c r="N394" s="987"/>
      <c r="O394" s="987"/>
      <c r="P394" s="987"/>
      <c r="Q394" s="987"/>
      <c r="R394" s="987"/>
      <c r="S394" s="987"/>
      <c r="T394" s="987"/>
      <c r="U394" s="987"/>
      <c r="V394" s="987"/>
      <c r="W394" s="987"/>
      <c r="X394" s="987"/>
      <c r="Y394" s="987"/>
      <c r="Z394" s="987"/>
      <c r="AA394" s="987"/>
      <c r="AB394" s="987"/>
      <c r="AC394" s="987"/>
      <c r="AD394" s="987"/>
      <c r="AE394" s="987"/>
      <c r="AF394" s="987"/>
      <c r="AG394" s="987"/>
      <c r="AH394" s="987"/>
      <c r="AI394" s="987"/>
      <c r="AJ394" s="987"/>
      <c r="AK394" s="987"/>
      <c r="AL394" s="987"/>
      <c r="AM394" s="987"/>
      <c r="AN394" s="987"/>
      <c r="AO394" s="987"/>
      <c r="AP394" s="987"/>
      <c r="AQ394" s="987"/>
      <c r="AR394" s="987"/>
      <c r="AS394" s="987"/>
      <c r="AT394" s="987"/>
      <c r="AU394" s="987"/>
      <c r="AV394" s="987"/>
      <c r="AW394" s="987"/>
      <c r="AX394" s="987"/>
      <c r="AY394" s="987"/>
      <c r="AZ394" s="987"/>
      <c r="BA394" s="987"/>
      <c r="BB394" s="987"/>
      <c r="BC394" s="987"/>
      <c r="BD394" s="987"/>
      <c r="BE394" s="987"/>
      <c r="BF394" s="987"/>
      <c r="BG394" s="987"/>
      <c r="BH394" s="987"/>
    </row>
    <row r="395" spans="1:60">
      <c r="A395" s="993"/>
      <c r="B395" s="994"/>
      <c r="C395" s="995" t="s">
        <v>2877</v>
      </c>
      <c r="D395" s="994"/>
      <c r="E395" s="994"/>
      <c r="F395" s="994"/>
    </row>
    <row r="396" spans="1:60">
      <c r="A396" s="997"/>
      <c r="B396" s="1541" t="s">
        <v>2878</v>
      </c>
      <c r="C396" s="1543" t="s">
        <v>2879</v>
      </c>
      <c r="D396" s="1029"/>
      <c r="E396" s="1024">
        <f>'[6]COSTO CR GLOBAL '!H396</f>
        <v>11508</v>
      </c>
      <c r="F396" s="259" t="s">
        <v>284</v>
      </c>
    </row>
    <row r="397" spans="1:60">
      <c r="A397" s="997"/>
      <c r="B397" s="1542"/>
      <c r="C397" s="1544"/>
      <c r="D397" s="998"/>
      <c r="E397" s="998"/>
      <c r="F397" s="998"/>
    </row>
    <row r="398" spans="1:60">
      <c r="A398" s="997"/>
      <c r="B398" s="1002"/>
      <c r="C398" s="1544"/>
      <c r="D398" s="998"/>
      <c r="E398" s="998"/>
      <c r="F398" s="998"/>
    </row>
    <row r="399" spans="1:60">
      <c r="A399" s="997"/>
      <c r="B399" s="1002"/>
      <c r="C399" s="1019"/>
      <c r="D399" s="998"/>
      <c r="E399" s="998"/>
      <c r="F399" s="998"/>
    </row>
    <row r="400" spans="1:60">
      <c r="A400" s="997"/>
      <c r="B400" s="1002"/>
      <c r="C400" s="1005" t="s">
        <v>1529</v>
      </c>
      <c r="D400" s="1002"/>
      <c r="E400" s="1002"/>
      <c r="F400" s="1002"/>
    </row>
    <row r="401" spans="1:6">
      <c r="B401" s="1002"/>
      <c r="C401" s="1006" t="s">
        <v>2880</v>
      </c>
      <c r="D401" s="1002"/>
      <c r="E401" s="1002"/>
      <c r="F401" s="1002"/>
    </row>
    <row r="402" spans="1:6">
      <c r="B402" s="1002"/>
      <c r="C402" s="1028"/>
      <c r="D402" s="1002"/>
      <c r="E402" s="1002"/>
      <c r="F402" s="1002"/>
    </row>
    <row r="403" spans="1:6">
      <c r="B403" s="1002"/>
      <c r="C403" s="1028"/>
      <c r="D403" s="1002"/>
      <c r="E403" s="1002"/>
      <c r="F403" s="1002"/>
    </row>
    <row r="404" spans="1:6">
      <c r="B404" s="1002"/>
      <c r="D404" s="1002"/>
      <c r="E404" s="1002"/>
      <c r="F404" s="1002"/>
    </row>
    <row r="405" spans="1:6">
      <c r="A405" s="1025"/>
      <c r="B405" s="1026"/>
      <c r="C405" s="1027"/>
      <c r="D405" s="1026"/>
      <c r="E405" s="1026"/>
      <c r="F405" s="1026"/>
    </row>
    <row r="406" spans="1:6">
      <c r="A406" s="993"/>
      <c r="B406" s="994"/>
      <c r="C406" s="995" t="s">
        <v>2877</v>
      </c>
      <c r="D406" s="994"/>
      <c r="E406" s="994"/>
      <c r="F406" s="994"/>
    </row>
    <row r="407" spans="1:6">
      <c r="A407" s="997"/>
      <c r="B407" s="1541" t="s">
        <v>2881</v>
      </c>
      <c r="C407" s="1543" t="s">
        <v>2882</v>
      </c>
      <c r="D407" s="1029"/>
      <c r="E407" s="1024">
        <f>'[6]COSTO CR GLOBAL '!H407</f>
        <v>16202</v>
      </c>
      <c r="F407" s="259" t="s">
        <v>284</v>
      </c>
    </row>
    <row r="408" spans="1:6">
      <c r="A408" s="997"/>
      <c r="B408" s="1542"/>
      <c r="C408" s="1544"/>
      <c r="D408" s="998"/>
      <c r="E408" s="998"/>
      <c r="F408" s="998"/>
    </row>
    <row r="409" spans="1:6">
      <c r="A409" s="997"/>
      <c r="B409" s="1002"/>
      <c r="C409" s="1544"/>
      <c r="D409" s="998"/>
      <c r="E409" s="998"/>
      <c r="F409" s="998"/>
    </row>
    <row r="410" spans="1:6">
      <c r="A410" s="997"/>
      <c r="B410" s="1002"/>
      <c r="C410" s="1019"/>
      <c r="D410" s="998"/>
      <c r="E410" s="998"/>
      <c r="F410" s="998"/>
    </row>
    <row r="411" spans="1:6">
      <c r="A411" s="997"/>
      <c r="B411" s="1002"/>
      <c r="C411" s="1005" t="s">
        <v>1529</v>
      </c>
      <c r="D411" s="1002"/>
      <c r="E411" s="1002"/>
      <c r="F411" s="1002"/>
    </row>
    <row r="412" spans="1:6">
      <c r="B412" s="1002"/>
      <c r="C412" s="1006" t="s">
        <v>2880</v>
      </c>
      <c r="D412" s="1002"/>
      <c r="E412" s="1002"/>
      <c r="F412" s="1002"/>
    </row>
    <row r="413" spans="1:6">
      <c r="B413" s="1002"/>
      <c r="C413" s="1028"/>
      <c r="D413" s="1002"/>
      <c r="E413" s="1002"/>
      <c r="F413" s="1002"/>
    </row>
    <row r="414" spans="1:6">
      <c r="B414" s="1002"/>
      <c r="C414" s="1028"/>
      <c r="D414" s="1002"/>
      <c r="E414" s="1002"/>
      <c r="F414" s="1002"/>
    </row>
    <row r="415" spans="1:6">
      <c r="B415" s="1002"/>
      <c r="D415" s="1002"/>
      <c r="E415" s="1002"/>
      <c r="F415" s="1002"/>
    </row>
    <row r="416" spans="1:6">
      <c r="A416" s="1025"/>
      <c r="B416" s="1026"/>
      <c r="C416" s="1027"/>
      <c r="D416" s="1026"/>
      <c r="E416" s="1026"/>
      <c r="F416" s="1026"/>
    </row>
    <row r="417" spans="1:6">
      <c r="A417" s="993"/>
      <c r="B417" s="994"/>
      <c r="C417" s="995" t="s">
        <v>2877</v>
      </c>
      <c r="D417" s="994"/>
      <c r="E417" s="994"/>
      <c r="F417" s="994"/>
    </row>
    <row r="418" spans="1:6">
      <c r="A418" s="997"/>
      <c r="B418" s="1541" t="s">
        <v>2883</v>
      </c>
      <c r="C418" s="1543" t="s">
        <v>2884</v>
      </c>
      <c r="D418" s="1029"/>
      <c r="E418" s="1024">
        <f>'[6]COSTO CR GLOBAL '!H418</f>
        <v>1686</v>
      </c>
      <c r="F418" s="259" t="s">
        <v>284</v>
      </c>
    </row>
    <row r="419" spans="1:6">
      <c r="A419" s="997"/>
      <c r="B419" s="1542"/>
      <c r="C419" s="1544"/>
      <c r="D419" s="998"/>
      <c r="E419" s="998"/>
      <c r="F419" s="998"/>
    </row>
    <row r="420" spans="1:6">
      <c r="A420" s="997"/>
      <c r="B420" s="1002"/>
      <c r="C420" s="1544"/>
      <c r="D420" s="998"/>
      <c r="E420" s="998"/>
      <c r="F420" s="998"/>
    </row>
    <row r="421" spans="1:6">
      <c r="A421" s="997"/>
      <c r="B421" s="1002"/>
      <c r="C421" s="1019"/>
      <c r="D421" s="998"/>
      <c r="E421" s="998"/>
      <c r="F421" s="998"/>
    </row>
    <row r="422" spans="1:6">
      <c r="A422" s="997"/>
      <c r="B422" s="1002"/>
      <c r="C422" s="1005" t="s">
        <v>1529</v>
      </c>
      <c r="D422" s="1002"/>
      <c r="E422" s="1002"/>
      <c r="F422" s="1002"/>
    </row>
    <row r="423" spans="1:6">
      <c r="B423" s="1002"/>
      <c r="C423" s="1006" t="s">
        <v>2810</v>
      </c>
      <c r="D423" s="1002"/>
      <c r="E423" s="1002"/>
      <c r="F423" s="1002"/>
    </row>
    <row r="424" spans="1:6">
      <c r="B424" s="1002"/>
      <c r="C424" s="1028"/>
      <c r="D424" s="1002"/>
      <c r="E424" s="1002"/>
      <c r="F424" s="1002"/>
    </row>
    <row r="425" spans="1:6">
      <c r="B425" s="1002"/>
      <c r="C425" s="1028"/>
      <c r="D425" s="1002"/>
      <c r="E425" s="1002"/>
      <c r="F425" s="1002"/>
    </row>
    <row r="426" spans="1:6">
      <c r="B426" s="1002"/>
      <c r="D426" s="1002"/>
      <c r="E426" s="1002"/>
      <c r="F426" s="1002"/>
    </row>
    <row r="427" spans="1:6">
      <c r="A427" s="1025"/>
      <c r="B427" s="1026"/>
      <c r="C427" s="1027"/>
      <c r="D427" s="1026"/>
      <c r="E427" s="1026"/>
      <c r="F427" s="1026"/>
    </row>
    <row r="428" spans="1:6">
      <c r="A428" s="993"/>
      <c r="B428" s="994"/>
      <c r="C428" s="995" t="s">
        <v>2877</v>
      </c>
      <c r="D428" s="994"/>
      <c r="E428" s="994"/>
      <c r="F428" s="994"/>
    </row>
    <row r="429" spans="1:6">
      <c r="A429" s="997"/>
      <c r="B429" s="1541" t="s">
        <v>2885</v>
      </c>
      <c r="C429" s="1543" t="s">
        <v>2886</v>
      </c>
      <c r="D429" s="1029"/>
      <c r="E429" s="1024">
        <f>'[6]COSTO CR GLOBAL '!H429</f>
        <v>5292</v>
      </c>
      <c r="F429" s="259" t="s">
        <v>284</v>
      </c>
    </row>
    <row r="430" spans="1:6">
      <c r="A430" s="997"/>
      <c r="B430" s="1542"/>
      <c r="C430" s="1544"/>
      <c r="D430" s="998"/>
      <c r="E430" s="998"/>
      <c r="F430" s="998"/>
    </row>
    <row r="431" spans="1:6">
      <c r="A431" s="997"/>
      <c r="B431" s="1002"/>
      <c r="C431" s="1544"/>
      <c r="D431" s="998"/>
      <c r="E431" s="998"/>
      <c r="F431" s="998"/>
    </row>
    <row r="432" spans="1:6">
      <c r="A432" s="997"/>
      <c r="B432" s="1002"/>
      <c r="C432" s="1019"/>
      <c r="D432" s="998"/>
      <c r="E432" s="998"/>
      <c r="F432" s="998"/>
    </row>
    <row r="433" spans="1:6">
      <c r="A433" s="997"/>
      <c r="B433" s="1002"/>
      <c r="C433" s="1005" t="s">
        <v>1529</v>
      </c>
      <c r="D433" s="1002"/>
      <c r="E433" s="1002"/>
      <c r="F433" s="1002"/>
    </row>
    <row r="434" spans="1:6">
      <c r="B434" s="1002"/>
      <c r="C434" s="1006" t="s">
        <v>2810</v>
      </c>
      <c r="D434" s="1002"/>
      <c r="E434" s="1002"/>
      <c r="F434" s="1002"/>
    </row>
    <row r="435" spans="1:6">
      <c r="B435" s="1002"/>
      <c r="C435" s="1028"/>
      <c r="D435" s="1002"/>
      <c r="E435" s="1002"/>
      <c r="F435" s="1002"/>
    </row>
    <row r="436" spans="1:6">
      <c r="B436" s="1002"/>
      <c r="C436" s="1028"/>
      <c r="D436" s="1002"/>
      <c r="E436" s="1002"/>
      <c r="F436" s="1002"/>
    </row>
    <row r="437" spans="1:6">
      <c r="B437" s="1002"/>
      <c r="D437" s="1002"/>
      <c r="E437" s="1002"/>
      <c r="F437" s="1002"/>
    </row>
    <row r="438" spans="1:6">
      <c r="A438" s="1025"/>
      <c r="B438" s="1026"/>
      <c r="C438" s="1027"/>
      <c r="D438" s="1026"/>
      <c r="E438" s="1026"/>
      <c r="F438" s="1026"/>
    </row>
    <row r="439" spans="1:6">
      <c r="A439" s="993"/>
      <c r="B439" s="994"/>
      <c r="C439" s="995" t="s">
        <v>2877</v>
      </c>
      <c r="D439" s="994"/>
      <c r="E439" s="994"/>
      <c r="F439" s="994"/>
    </row>
    <row r="440" spans="1:6">
      <c r="A440" s="997"/>
      <c r="B440" s="1541" t="s">
        <v>2887</v>
      </c>
      <c r="C440" s="1543" t="s">
        <v>2888</v>
      </c>
      <c r="D440" s="1029"/>
      <c r="E440" s="1024">
        <f>'[6]COSTO CR GLOBAL '!H440</f>
        <v>4288</v>
      </c>
      <c r="F440" s="259" t="s">
        <v>284</v>
      </c>
    </row>
    <row r="441" spans="1:6">
      <c r="A441" s="997"/>
      <c r="B441" s="1542"/>
      <c r="C441" s="1544"/>
      <c r="D441" s="998"/>
      <c r="E441" s="998"/>
      <c r="F441" s="998"/>
    </row>
    <row r="442" spans="1:6">
      <c r="A442" s="997"/>
      <c r="B442" s="1002"/>
      <c r="C442" s="1544"/>
      <c r="D442" s="998"/>
      <c r="E442" s="998"/>
      <c r="F442" s="998"/>
    </row>
    <row r="443" spans="1:6">
      <c r="A443" s="997"/>
      <c r="B443" s="1002"/>
      <c r="C443" s="1019"/>
      <c r="D443" s="998"/>
      <c r="E443" s="998"/>
      <c r="F443" s="998"/>
    </row>
    <row r="444" spans="1:6">
      <c r="A444" s="997"/>
      <c r="B444" s="1002"/>
      <c r="C444" s="1005" t="s">
        <v>1529</v>
      </c>
      <c r="D444" s="1002"/>
      <c r="E444" s="1002"/>
      <c r="F444" s="1002"/>
    </row>
    <row r="445" spans="1:6">
      <c r="B445" s="1002"/>
      <c r="C445" s="1006" t="s">
        <v>2810</v>
      </c>
      <c r="D445" s="1002"/>
      <c r="E445" s="1002"/>
      <c r="F445" s="1002"/>
    </row>
    <row r="446" spans="1:6">
      <c r="B446" s="1002"/>
      <c r="C446" s="1028"/>
      <c r="D446" s="1002"/>
      <c r="E446" s="1002"/>
      <c r="F446" s="1002"/>
    </row>
    <row r="447" spans="1:6">
      <c r="B447" s="1002"/>
      <c r="C447" s="1028"/>
      <c r="D447" s="1002"/>
      <c r="E447" s="1002"/>
      <c r="F447" s="1002"/>
    </row>
    <row r="448" spans="1:6">
      <c r="B448" s="1002"/>
      <c r="D448" s="1002"/>
      <c r="E448" s="1002"/>
      <c r="F448" s="1002"/>
    </row>
    <row r="449" spans="1:60">
      <c r="A449" s="1025"/>
      <c r="B449" s="1026"/>
      <c r="C449" s="1027"/>
      <c r="D449" s="1026"/>
      <c r="E449" s="1026"/>
      <c r="F449" s="1026"/>
    </row>
    <row r="450" spans="1:60" s="976" customFormat="1" ht="15" customHeight="1">
      <c r="A450" s="977" t="s">
        <v>2753</v>
      </c>
      <c r="B450" s="978"/>
      <c r="C450" s="1552" t="s">
        <v>2876</v>
      </c>
      <c r="D450" s="979"/>
      <c r="E450" s="772"/>
      <c r="F450" s="980"/>
      <c r="G450" s="968"/>
      <c r="H450" s="975"/>
      <c r="I450" s="975"/>
      <c r="J450" s="975"/>
      <c r="K450" s="975"/>
      <c r="L450" s="975"/>
      <c r="M450" s="975"/>
      <c r="N450" s="981"/>
      <c r="O450" s="981"/>
      <c r="P450" s="981"/>
      <c r="Q450" s="981"/>
      <c r="R450" s="981"/>
      <c r="S450" s="981"/>
      <c r="T450" s="981"/>
      <c r="U450" s="981"/>
      <c r="V450" s="981"/>
      <c r="W450" s="981"/>
      <c r="X450" s="981"/>
      <c r="Y450" s="981"/>
      <c r="Z450" s="981"/>
      <c r="AA450" s="981"/>
      <c r="AB450" s="981"/>
      <c r="AC450" s="981"/>
      <c r="AD450" s="981"/>
      <c r="AE450" s="981"/>
      <c r="AF450" s="981"/>
      <c r="AG450" s="981"/>
      <c r="AH450" s="981"/>
      <c r="AI450" s="981"/>
      <c r="AJ450" s="981"/>
      <c r="AK450" s="981"/>
      <c r="AL450" s="981"/>
      <c r="AM450" s="981"/>
      <c r="AN450" s="981"/>
      <c r="AO450" s="981"/>
      <c r="AP450" s="981"/>
      <c r="AQ450" s="981"/>
      <c r="AR450" s="981"/>
      <c r="AS450" s="981"/>
      <c r="AT450" s="981"/>
      <c r="AU450" s="981"/>
      <c r="AV450" s="981"/>
      <c r="AW450" s="981"/>
      <c r="AX450" s="981"/>
      <c r="AY450" s="981"/>
      <c r="AZ450" s="981"/>
      <c r="BA450" s="981"/>
      <c r="BB450" s="981"/>
      <c r="BC450" s="981"/>
      <c r="BD450" s="981"/>
      <c r="BE450" s="981"/>
      <c r="BF450" s="981"/>
      <c r="BG450" s="981"/>
      <c r="BH450" s="981"/>
    </row>
    <row r="451" spans="1:60" s="988" customFormat="1" ht="20.100000000000001" customHeight="1">
      <c r="A451" s="982" t="s">
        <v>2015</v>
      </c>
      <c r="B451" s="983"/>
      <c r="C451" s="1545"/>
      <c r="D451" s="984"/>
      <c r="E451" s="778"/>
      <c r="F451" s="985"/>
      <c r="G451" s="968"/>
      <c r="H451" s="986"/>
      <c r="I451" s="986"/>
      <c r="J451" s="986"/>
      <c r="K451" s="986"/>
      <c r="L451" s="986"/>
      <c r="M451" s="986"/>
      <c r="N451" s="987"/>
      <c r="O451" s="987"/>
      <c r="P451" s="987"/>
      <c r="Q451" s="987"/>
      <c r="R451" s="987"/>
      <c r="S451" s="987"/>
      <c r="T451" s="987"/>
      <c r="U451" s="987"/>
      <c r="V451" s="987"/>
      <c r="W451" s="987"/>
      <c r="X451" s="987"/>
      <c r="Y451" s="987"/>
      <c r="Z451" s="987"/>
      <c r="AA451" s="987"/>
      <c r="AB451" s="987"/>
      <c r="AC451" s="987"/>
      <c r="AD451" s="987"/>
      <c r="AE451" s="987"/>
      <c r="AF451" s="987"/>
      <c r="AG451" s="987"/>
      <c r="AH451" s="987"/>
      <c r="AI451" s="987"/>
      <c r="AJ451" s="987"/>
      <c r="AK451" s="987"/>
      <c r="AL451" s="987"/>
      <c r="AM451" s="987"/>
      <c r="AN451" s="987"/>
      <c r="AO451" s="987"/>
      <c r="AP451" s="987"/>
      <c r="AQ451" s="987"/>
      <c r="AR451" s="987"/>
      <c r="AS451" s="987"/>
      <c r="AT451" s="987"/>
      <c r="AU451" s="987"/>
      <c r="AV451" s="987"/>
      <c r="AW451" s="987"/>
      <c r="AX451" s="987"/>
      <c r="AY451" s="987"/>
      <c r="AZ451" s="987"/>
      <c r="BA451" s="987"/>
      <c r="BB451" s="987"/>
      <c r="BC451" s="987"/>
      <c r="BD451" s="987"/>
      <c r="BE451" s="987"/>
      <c r="BF451" s="987"/>
      <c r="BG451" s="987"/>
      <c r="BH451" s="987"/>
    </row>
    <row r="452" spans="1:60">
      <c r="A452" s="993"/>
      <c r="B452" s="994"/>
      <c r="C452" s="995" t="s">
        <v>2877</v>
      </c>
      <c r="D452" s="996"/>
      <c r="E452" s="994"/>
      <c r="F452" s="994"/>
    </row>
    <row r="453" spans="1:60">
      <c r="A453" s="997"/>
      <c r="B453" s="1541" t="s">
        <v>2889</v>
      </c>
      <c r="C453" s="1543" t="s">
        <v>2890</v>
      </c>
      <c r="D453" s="1000"/>
      <c r="E453" s="1024">
        <f>'[6]COSTO CR GLOBAL '!H453</f>
        <v>1710</v>
      </c>
      <c r="F453" s="259" t="s">
        <v>284</v>
      </c>
    </row>
    <row r="454" spans="1:60">
      <c r="A454" s="997"/>
      <c r="B454" s="1542"/>
      <c r="C454" s="1544"/>
      <c r="D454" s="1000"/>
      <c r="E454" s="998"/>
      <c r="F454" s="998"/>
    </row>
    <row r="455" spans="1:60">
      <c r="A455" s="997"/>
      <c r="B455" s="1002"/>
      <c r="C455" s="1544"/>
      <c r="D455" s="1000"/>
      <c r="E455" s="998"/>
      <c r="F455" s="998"/>
    </row>
    <row r="456" spans="1:60">
      <c r="A456" s="997"/>
      <c r="B456" s="1002"/>
      <c r="C456" s="1019"/>
      <c r="D456" s="1000"/>
      <c r="E456" s="998"/>
      <c r="F456" s="998"/>
    </row>
    <row r="457" spans="1:60">
      <c r="A457" s="997"/>
      <c r="B457" s="1002"/>
      <c r="C457" s="1005" t="s">
        <v>2891</v>
      </c>
      <c r="D457" s="1002"/>
      <c r="E457" s="1002"/>
      <c r="F457" s="1002"/>
    </row>
    <row r="458" spans="1:60">
      <c r="B458" s="1002"/>
      <c r="C458" s="1006" t="s">
        <v>2810</v>
      </c>
      <c r="D458" s="1002"/>
      <c r="E458" s="1002"/>
      <c r="F458" s="1002"/>
    </row>
    <row r="459" spans="1:60">
      <c r="B459" s="1002"/>
      <c r="C459" s="1028"/>
      <c r="D459" s="1002"/>
      <c r="E459" s="1002"/>
      <c r="F459" s="1002"/>
    </row>
    <row r="460" spans="1:60">
      <c r="B460" s="1002"/>
      <c r="C460" s="1028"/>
      <c r="D460" s="1002"/>
      <c r="E460" s="1002"/>
      <c r="F460" s="1002"/>
    </row>
    <row r="461" spans="1:60">
      <c r="B461" s="1002"/>
      <c r="D461" s="1002"/>
      <c r="E461" s="1002"/>
      <c r="F461" s="1002"/>
    </row>
    <row r="462" spans="1:60">
      <c r="A462" s="1025"/>
      <c r="B462" s="1026"/>
      <c r="C462" s="1027"/>
      <c r="D462" s="1026"/>
      <c r="E462" s="1026"/>
      <c r="F462" s="1026"/>
    </row>
    <row r="463" spans="1:60">
      <c r="A463" s="993"/>
      <c r="B463" s="994"/>
      <c r="C463" s="995" t="s">
        <v>2877</v>
      </c>
      <c r="D463" s="996"/>
      <c r="E463" s="994"/>
      <c r="F463" s="994"/>
    </row>
    <row r="464" spans="1:60">
      <c r="A464" s="997"/>
      <c r="B464" s="1541" t="s">
        <v>2892</v>
      </c>
      <c r="C464" s="1543" t="s">
        <v>2893</v>
      </c>
      <c r="D464" s="1000"/>
      <c r="E464" s="1024">
        <f>'[6]COSTO CR GLOBAL '!H464</f>
        <v>1240</v>
      </c>
      <c r="F464" s="259" t="s">
        <v>284</v>
      </c>
    </row>
    <row r="465" spans="1:6">
      <c r="A465" s="997"/>
      <c r="B465" s="1542"/>
      <c r="C465" s="1544"/>
      <c r="D465" s="1000"/>
      <c r="E465" s="998"/>
      <c r="F465" s="998"/>
    </row>
    <row r="466" spans="1:6">
      <c r="A466" s="997"/>
      <c r="B466" s="1002"/>
      <c r="C466" s="1544"/>
      <c r="D466" s="1000"/>
      <c r="E466" s="998"/>
      <c r="F466" s="998"/>
    </row>
    <row r="467" spans="1:6">
      <c r="A467" s="997"/>
      <c r="B467" s="1002"/>
      <c r="C467" s="1019"/>
      <c r="D467" s="1000"/>
      <c r="E467" s="998"/>
      <c r="F467" s="998"/>
    </row>
    <row r="468" spans="1:6">
      <c r="A468" s="997"/>
      <c r="B468" s="1002"/>
      <c r="C468" s="1005" t="s">
        <v>2894</v>
      </c>
      <c r="D468" s="1002"/>
      <c r="E468" s="1002"/>
      <c r="F468" s="1002"/>
    </row>
    <row r="469" spans="1:6">
      <c r="B469" s="1002"/>
      <c r="C469" s="1006" t="s">
        <v>2810</v>
      </c>
      <c r="D469" s="1002"/>
      <c r="E469" s="1002"/>
      <c r="F469" s="1002"/>
    </row>
    <row r="470" spans="1:6">
      <c r="B470" s="1002"/>
      <c r="C470" s="1028"/>
      <c r="D470" s="1002"/>
      <c r="E470" s="1002"/>
      <c r="F470" s="1002"/>
    </row>
    <row r="471" spans="1:6">
      <c r="B471" s="1002"/>
      <c r="C471" s="1028"/>
      <c r="D471" s="1002"/>
      <c r="E471" s="1002"/>
      <c r="F471" s="1002"/>
    </row>
    <row r="472" spans="1:6">
      <c r="B472" s="1002"/>
      <c r="D472" s="1002"/>
      <c r="E472" s="1002"/>
      <c r="F472" s="1002"/>
    </row>
    <row r="473" spans="1:6">
      <c r="A473" s="1025"/>
      <c r="B473" s="1026"/>
      <c r="C473" s="1027"/>
      <c r="D473" s="1026"/>
      <c r="E473" s="1026"/>
      <c r="F473" s="1026"/>
    </row>
    <row r="474" spans="1:6">
      <c r="A474" s="993"/>
      <c r="B474" s="994"/>
      <c r="C474" s="995" t="s">
        <v>2877</v>
      </c>
      <c r="D474" s="996"/>
      <c r="E474" s="994"/>
      <c r="F474" s="994"/>
    </row>
    <row r="475" spans="1:6">
      <c r="A475" s="997"/>
      <c r="B475" s="1541" t="s">
        <v>2895</v>
      </c>
      <c r="C475" s="1543" t="s">
        <v>2896</v>
      </c>
      <c r="D475" s="1000"/>
      <c r="E475" s="1024">
        <f>'[6]COSTO CR GLOBAL '!H475</f>
        <v>3738</v>
      </c>
      <c r="F475" s="259" t="s">
        <v>284</v>
      </c>
    </row>
    <row r="476" spans="1:6">
      <c r="A476" s="997"/>
      <c r="B476" s="1542"/>
      <c r="C476" s="1544"/>
      <c r="D476" s="1000"/>
      <c r="E476" s="998"/>
      <c r="F476" s="998"/>
    </row>
    <row r="477" spans="1:6">
      <c r="A477" s="997"/>
      <c r="B477" s="1002"/>
      <c r="C477" s="1544"/>
      <c r="D477" s="1000"/>
      <c r="E477" s="998"/>
      <c r="F477" s="998"/>
    </row>
    <row r="478" spans="1:6">
      <c r="A478" s="997"/>
      <c r="B478" s="1002"/>
      <c r="C478" s="1019"/>
      <c r="D478" s="1000"/>
      <c r="E478" s="998"/>
      <c r="F478" s="998"/>
    </row>
    <row r="479" spans="1:6">
      <c r="A479" s="997"/>
      <c r="B479" s="1002"/>
      <c r="C479" s="1005" t="s">
        <v>2891</v>
      </c>
      <c r="D479" s="1002"/>
      <c r="E479" s="1002"/>
      <c r="F479" s="1002"/>
    </row>
    <row r="480" spans="1:6">
      <c r="B480" s="1002"/>
      <c r="C480" s="1006" t="s">
        <v>2810</v>
      </c>
      <c r="D480" s="1002"/>
      <c r="E480" s="1002"/>
      <c r="F480" s="1002"/>
    </row>
    <row r="481" spans="1:6">
      <c r="B481" s="1002"/>
      <c r="C481" s="1028"/>
      <c r="D481" s="1002"/>
      <c r="E481" s="1002"/>
      <c r="F481" s="1002"/>
    </row>
    <row r="482" spans="1:6">
      <c r="B482" s="1002"/>
      <c r="C482" s="1028"/>
      <c r="D482" s="1002"/>
      <c r="E482" s="1002"/>
      <c r="F482" s="1002"/>
    </row>
    <row r="483" spans="1:6">
      <c r="B483" s="1002"/>
      <c r="D483" s="1002"/>
      <c r="E483" s="1002"/>
      <c r="F483" s="1002"/>
    </row>
    <row r="484" spans="1:6">
      <c r="A484" s="1025"/>
      <c r="B484" s="1026"/>
      <c r="C484" s="1027"/>
      <c r="D484" s="1026"/>
      <c r="E484" s="1026"/>
      <c r="F484" s="1026"/>
    </row>
    <row r="485" spans="1:6">
      <c r="A485" s="993"/>
      <c r="B485" s="994"/>
      <c r="C485" s="995" t="s">
        <v>2877</v>
      </c>
      <c r="D485" s="996"/>
      <c r="E485" s="994"/>
      <c r="F485" s="994"/>
    </row>
    <row r="486" spans="1:6">
      <c r="A486" s="997"/>
      <c r="B486" s="1541" t="s">
        <v>2897</v>
      </c>
      <c r="C486" s="1543" t="s">
        <v>2898</v>
      </c>
      <c r="D486" s="1000"/>
      <c r="E486" s="1024">
        <f>'[6]COSTO CR GLOBAL '!H486</f>
        <v>2500</v>
      </c>
      <c r="F486" s="259" t="s">
        <v>284</v>
      </c>
    </row>
    <row r="487" spans="1:6">
      <c r="A487" s="997"/>
      <c r="B487" s="1542"/>
      <c r="C487" s="1544"/>
      <c r="D487" s="1000"/>
      <c r="E487" s="998"/>
      <c r="F487" s="998"/>
    </row>
    <row r="488" spans="1:6">
      <c r="A488" s="997"/>
      <c r="B488" s="1002"/>
      <c r="C488" s="1544"/>
      <c r="D488" s="1000"/>
      <c r="E488" s="998"/>
      <c r="F488" s="998"/>
    </row>
    <row r="489" spans="1:6">
      <c r="A489" s="997"/>
      <c r="B489" s="1002"/>
      <c r="C489" s="1019"/>
      <c r="D489" s="1000"/>
      <c r="E489" s="998"/>
      <c r="F489" s="998"/>
    </row>
    <row r="490" spans="1:6">
      <c r="A490" s="997"/>
      <c r="B490" s="1002"/>
      <c r="C490" s="1005" t="s">
        <v>2899</v>
      </c>
      <c r="D490" s="1002"/>
      <c r="E490" s="1002"/>
      <c r="F490" s="1002"/>
    </row>
    <row r="491" spans="1:6">
      <c r="B491" s="1002"/>
      <c r="C491" s="1006" t="s">
        <v>2810</v>
      </c>
      <c r="D491" s="1002"/>
      <c r="E491" s="1002"/>
      <c r="F491" s="1002"/>
    </row>
    <row r="492" spans="1:6">
      <c r="B492" s="1002"/>
      <c r="C492" s="1028"/>
      <c r="D492" s="1002"/>
      <c r="E492" s="1002"/>
      <c r="F492" s="1002"/>
    </row>
    <row r="493" spans="1:6">
      <c r="B493" s="1002"/>
      <c r="C493" s="1028"/>
      <c r="D493" s="1002"/>
      <c r="E493" s="1002"/>
      <c r="F493" s="1002"/>
    </row>
    <row r="494" spans="1:6">
      <c r="B494" s="1002"/>
      <c r="D494" s="1002"/>
      <c r="E494" s="1002"/>
      <c r="F494" s="1002"/>
    </row>
    <row r="495" spans="1:6">
      <c r="A495" s="1025"/>
      <c r="B495" s="1026"/>
      <c r="C495" s="1027"/>
      <c r="D495" s="1026"/>
      <c r="E495" s="1026"/>
      <c r="F495" s="1026"/>
    </row>
    <row r="496" spans="1:6">
      <c r="A496" s="993"/>
      <c r="B496" s="994"/>
      <c r="C496" s="995" t="s">
        <v>2877</v>
      </c>
      <c r="D496" s="996"/>
      <c r="E496" s="994"/>
      <c r="F496" s="994"/>
    </row>
    <row r="497" spans="1:6">
      <c r="A497" s="997"/>
      <c r="B497" s="1541" t="s">
        <v>2900</v>
      </c>
      <c r="C497" s="1543" t="s">
        <v>2901</v>
      </c>
      <c r="D497" s="1000"/>
      <c r="E497" s="1024">
        <f>'[6]COSTO CR GLOBAL '!H497</f>
        <v>1710</v>
      </c>
      <c r="F497" s="259" t="s">
        <v>284</v>
      </c>
    </row>
    <row r="498" spans="1:6">
      <c r="A498" s="997"/>
      <c r="B498" s="1542"/>
      <c r="C498" s="1544"/>
      <c r="D498" s="1000"/>
      <c r="E498" s="998"/>
      <c r="F498" s="998"/>
    </row>
    <row r="499" spans="1:6">
      <c r="A499" s="997"/>
      <c r="B499" s="1002"/>
      <c r="C499" s="1544"/>
      <c r="D499" s="1000"/>
      <c r="E499" s="998"/>
      <c r="F499" s="998"/>
    </row>
    <row r="500" spans="1:6">
      <c r="A500" s="997"/>
      <c r="B500" s="1002"/>
      <c r="C500" s="1019"/>
      <c r="D500" s="1000"/>
      <c r="E500" s="998"/>
      <c r="F500" s="998"/>
    </row>
    <row r="501" spans="1:6">
      <c r="A501" s="997"/>
      <c r="B501" s="1002"/>
      <c r="C501" s="1005" t="s">
        <v>2902</v>
      </c>
      <c r="D501" s="1002"/>
      <c r="E501" s="1002"/>
      <c r="F501" s="1002"/>
    </row>
    <row r="502" spans="1:6">
      <c r="B502" s="961"/>
      <c r="C502" s="1006" t="s">
        <v>2810</v>
      </c>
      <c r="D502" s="1002"/>
      <c r="E502" s="1002"/>
      <c r="F502" s="1002"/>
    </row>
    <row r="503" spans="1:6">
      <c r="B503" s="1002"/>
      <c r="C503" s="1028"/>
      <c r="D503" s="1002"/>
      <c r="E503" s="1002"/>
      <c r="F503" s="1002"/>
    </row>
    <row r="504" spans="1:6">
      <c r="B504" s="1002"/>
      <c r="C504" s="1028"/>
      <c r="D504" s="1002"/>
      <c r="E504" s="1002"/>
      <c r="F504" s="1002"/>
    </row>
    <row r="505" spans="1:6">
      <c r="B505" s="1002"/>
      <c r="D505" s="1002"/>
      <c r="E505" s="1002"/>
      <c r="F505" s="1002"/>
    </row>
    <row r="506" spans="1:6">
      <c r="A506" s="1025"/>
      <c r="B506" s="1026"/>
      <c r="C506" s="1027"/>
      <c r="D506" s="1026"/>
      <c r="E506" s="1026"/>
      <c r="F506" s="1026"/>
    </row>
    <row r="507" spans="1:6">
      <c r="A507" s="993"/>
      <c r="B507" s="994"/>
      <c r="C507" s="995" t="s">
        <v>2877</v>
      </c>
      <c r="D507" s="996"/>
      <c r="E507" s="994"/>
      <c r="F507" s="994"/>
    </row>
    <row r="508" spans="1:6">
      <c r="A508" s="997"/>
      <c r="B508" s="1541" t="s">
        <v>2903</v>
      </c>
      <c r="C508" s="1543" t="s">
        <v>2904</v>
      </c>
      <c r="D508" s="1000"/>
      <c r="E508" s="1024">
        <f>'[6]COSTO CR GLOBAL '!H508</f>
        <v>3582</v>
      </c>
      <c r="F508" s="259" t="s">
        <v>284</v>
      </c>
    </row>
    <row r="509" spans="1:6">
      <c r="A509" s="997"/>
      <c r="B509" s="1542"/>
      <c r="C509" s="1544"/>
      <c r="D509" s="1000"/>
      <c r="E509" s="998"/>
      <c r="F509" s="998"/>
    </row>
    <row r="510" spans="1:6">
      <c r="A510" s="997"/>
      <c r="B510" s="1002"/>
      <c r="C510" s="1544"/>
      <c r="D510" s="1000"/>
      <c r="E510" s="998"/>
      <c r="F510" s="998"/>
    </row>
    <row r="511" spans="1:6">
      <c r="A511" s="997"/>
      <c r="B511" s="1002"/>
      <c r="C511" s="1019"/>
      <c r="D511" s="1000"/>
      <c r="E511" s="998"/>
      <c r="F511" s="998"/>
    </row>
    <row r="512" spans="1:6">
      <c r="A512" s="997"/>
      <c r="B512" s="1002"/>
      <c r="C512" s="1005" t="s">
        <v>2902</v>
      </c>
      <c r="D512" s="1002"/>
      <c r="E512" s="1002"/>
      <c r="F512" s="1002"/>
    </row>
    <row r="513" spans="1:6">
      <c r="B513" s="1002"/>
      <c r="C513" s="1006" t="s">
        <v>2810</v>
      </c>
      <c r="D513" s="1002"/>
      <c r="E513" s="1002"/>
      <c r="F513" s="1002"/>
    </row>
    <row r="514" spans="1:6">
      <c r="B514" s="1002"/>
      <c r="C514" s="1028"/>
      <c r="D514" s="1002"/>
      <c r="E514" s="1002"/>
      <c r="F514" s="1002"/>
    </row>
    <row r="515" spans="1:6">
      <c r="B515" s="1002"/>
      <c r="C515" s="1028"/>
      <c r="D515" s="1002"/>
      <c r="E515" s="1002"/>
      <c r="F515" s="1002"/>
    </row>
    <row r="516" spans="1:6">
      <c r="B516" s="1002"/>
      <c r="D516" s="1002"/>
      <c r="E516" s="1002"/>
      <c r="F516" s="1002"/>
    </row>
    <row r="517" spans="1:6">
      <c r="A517" s="1025"/>
      <c r="B517" s="1026"/>
      <c r="C517" s="1027"/>
      <c r="D517" s="1026"/>
      <c r="E517" s="1026"/>
      <c r="F517" s="1026"/>
    </row>
    <row r="518" spans="1:6">
      <c r="A518" s="993"/>
      <c r="B518" s="994"/>
      <c r="C518" s="995" t="s">
        <v>2877</v>
      </c>
      <c r="D518" s="996"/>
      <c r="E518" s="994"/>
      <c r="F518" s="994"/>
    </row>
    <row r="519" spans="1:6">
      <c r="A519" s="997"/>
      <c r="B519" s="1541" t="s">
        <v>2905</v>
      </c>
      <c r="C519" s="1543" t="s">
        <v>2906</v>
      </c>
      <c r="D519" s="1000"/>
      <c r="E519" s="1024">
        <f>'[6]COSTO CR GLOBAL '!H519</f>
        <v>5892</v>
      </c>
      <c r="F519" s="259" t="s">
        <v>284</v>
      </c>
    </row>
    <row r="520" spans="1:6">
      <c r="A520" s="997"/>
      <c r="B520" s="1542"/>
      <c r="C520" s="1544"/>
      <c r="D520" s="1000"/>
      <c r="E520" s="998"/>
      <c r="F520" s="998"/>
    </row>
    <row r="521" spans="1:6">
      <c r="A521" s="997"/>
      <c r="B521" s="1002"/>
      <c r="C521" s="1544"/>
      <c r="D521" s="1000"/>
      <c r="E521" s="998"/>
      <c r="F521" s="998"/>
    </row>
    <row r="522" spans="1:6">
      <c r="A522" s="997"/>
      <c r="B522" s="1002"/>
      <c r="C522" s="1019"/>
      <c r="D522" s="1000"/>
      <c r="E522" s="998"/>
      <c r="F522" s="998"/>
    </row>
    <row r="523" spans="1:6">
      <c r="A523" s="997"/>
      <c r="B523" s="1002"/>
      <c r="C523" s="1005" t="s">
        <v>1529</v>
      </c>
      <c r="D523" s="1002"/>
      <c r="E523" s="1002"/>
      <c r="F523" s="1002"/>
    </row>
    <row r="524" spans="1:6">
      <c r="B524" s="1002"/>
      <c r="C524" s="1006" t="s">
        <v>2810</v>
      </c>
      <c r="D524" s="1002"/>
      <c r="E524" s="1002"/>
      <c r="F524" s="1002"/>
    </row>
    <row r="525" spans="1:6">
      <c r="B525" s="1002"/>
      <c r="C525" s="1028"/>
      <c r="D525" s="1002"/>
      <c r="E525" s="1002"/>
      <c r="F525" s="1002"/>
    </row>
    <row r="526" spans="1:6">
      <c r="B526" s="1002"/>
      <c r="C526" s="1028"/>
      <c r="D526" s="1002"/>
      <c r="E526" s="1002"/>
      <c r="F526" s="1002"/>
    </row>
    <row r="527" spans="1:6">
      <c r="B527" s="1002"/>
      <c r="D527" s="1002"/>
      <c r="E527" s="1002"/>
      <c r="F527" s="1002"/>
    </row>
    <row r="528" spans="1:6">
      <c r="A528" s="1025"/>
      <c r="B528" s="1026"/>
      <c r="C528" s="1027"/>
      <c r="D528" s="1026"/>
      <c r="E528" s="1026"/>
      <c r="F528" s="1026"/>
    </row>
    <row r="529" spans="1:60">
      <c r="A529" s="993"/>
      <c r="B529" s="994"/>
      <c r="C529" s="995" t="s">
        <v>2877</v>
      </c>
      <c r="D529" s="996"/>
      <c r="E529" s="994"/>
      <c r="F529" s="994"/>
    </row>
    <row r="530" spans="1:60">
      <c r="A530" s="997"/>
      <c r="B530" s="1541" t="s">
        <v>2907</v>
      </c>
      <c r="C530" s="1543" t="s">
        <v>2908</v>
      </c>
      <c r="D530" s="1000"/>
      <c r="E530" s="1024">
        <f>'[6]COSTO CR GLOBAL '!H530</f>
        <v>3900</v>
      </c>
      <c r="F530" s="259" t="s">
        <v>284</v>
      </c>
    </row>
    <row r="531" spans="1:60">
      <c r="A531" s="997"/>
      <c r="B531" s="1542"/>
      <c r="C531" s="1544"/>
      <c r="D531" s="1000"/>
      <c r="E531" s="998"/>
      <c r="F531" s="998"/>
    </row>
    <row r="532" spans="1:60">
      <c r="A532" s="997"/>
      <c r="B532" s="1002"/>
      <c r="C532" s="1544"/>
      <c r="D532" s="1000"/>
      <c r="E532" s="998"/>
      <c r="F532" s="998"/>
    </row>
    <row r="533" spans="1:60">
      <c r="A533" s="997"/>
      <c r="B533" s="1002"/>
      <c r="C533" s="1019"/>
      <c r="D533" s="1000"/>
      <c r="E533" s="998"/>
      <c r="F533" s="998"/>
    </row>
    <row r="534" spans="1:60">
      <c r="A534" s="997"/>
      <c r="B534" s="1002"/>
      <c r="C534" s="1005" t="s">
        <v>1529</v>
      </c>
      <c r="D534" s="1002"/>
      <c r="E534" s="1002"/>
      <c r="F534" s="1002"/>
    </row>
    <row r="535" spans="1:60">
      <c r="B535" s="1002"/>
      <c r="C535" s="1006" t="s">
        <v>2810</v>
      </c>
      <c r="D535" s="1002"/>
      <c r="E535" s="1002"/>
      <c r="F535" s="1002"/>
    </row>
    <row r="536" spans="1:60">
      <c r="B536" s="1002"/>
      <c r="C536" s="1028"/>
      <c r="D536" s="1002"/>
      <c r="E536" s="1002"/>
      <c r="F536" s="1002"/>
    </row>
    <row r="537" spans="1:60">
      <c r="B537" s="1002"/>
      <c r="C537" s="1028"/>
      <c r="D537" s="1002"/>
      <c r="E537" s="1002"/>
      <c r="F537" s="1002"/>
    </row>
    <row r="538" spans="1:60">
      <c r="B538" s="1002"/>
      <c r="D538" s="1002"/>
      <c r="E538" s="1002"/>
      <c r="F538" s="1002"/>
    </row>
    <row r="539" spans="1:60">
      <c r="A539" s="1025"/>
      <c r="B539" s="1026"/>
      <c r="C539" s="1027"/>
      <c r="D539" s="1026"/>
      <c r="E539" s="1026"/>
      <c r="F539" s="1026"/>
    </row>
    <row r="540" spans="1:60" s="976" customFormat="1" ht="15" customHeight="1">
      <c r="A540" s="977" t="s">
        <v>2753</v>
      </c>
      <c r="B540" s="978"/>
      <c r="C540" s="1552" t="s">
        <v>2909</v>
      </c>
      <c r="D540" s="979"/>
      <c r="E540" s="772"/>
      <c r="F540" s="980"/>
      <c r="G540" s="968"/>
      <c r="H540" s="975"/>
      <c r="I540" s="975"/>
      <c r="J540" s="975"/>
      <c r="K540" s="975"/>
      <c r="L540" s="975"/>
      <c r="M540" s="975"/>
      <c r="N540" s="981"/>
      <c r="O540" s="981"/>
      <c r="P540" s="981"/>
      <c r="Q540" s="981"/>
      <c r="R540" s="981"/>
      <c r="S540" s="981"/>
      <c r="T540" s="981"/>
      <c r="U540" s="981"/>
      <c r="V540" s="981"/>
      <c r="W540" s="981"/>
      <c r="X540" s="981"/>
      <c r="Y540" s="981"/>
      <c r="Z540" s="981"/>
      <c r="AA540" s="981"/>
      <c r="AB540" s="981"/>
      <c r="AC540" s="981"/>
      <c r="AD540" s="981"/>
      <c r="AE540" s="981"/>
      <c r="AF540" s="981"/>
      <c r="AG540" s="981"/>
      <c r="AH540" s="981"/>
      <c r="AI540" s="981"/>
      <c r="AJ540" s="981"/>
      <c r="AK540" s="981"/>
      <c r="AL540" s="981"/>
      <c r="AM540" s="981"/>
      <c r="AN540" s="981"/>
      <c r="AO540" s="981"/>
      <c r="AP540" s="981"/>
      <c r="AQ540" s="981"/>
      <c r="AR540" s="981"/>
      <c r="AS540" s="981"/>
      <c r="AT540" s="981"/>
      <c r="AU540" s="981"/>
      <c r="AV540" s="981"/>
      <c r="AW540" s="981"/>
      <c r="AX540" s="981"/>
      <c r="AY540" s="981"/>
      <c r="AZ540" s="981"/>
      <c r="BA540" s="981"/>
      <c r="BB540" s="981"/>
      <c r="BC540" s="981"/>
      <c r="BD540" s="981"/>
      <c r="BE540" s="981"/>
      <c r="BF540" s="981"/>
      <c r="BG540" s="981"/>
      <c r="BH540" s="981"/>
    </row>
    <row r="541" spans="1:60" s="988" customFormat="1" ht="20.100000000000001" customHeight="1">
      <c r="A541" s="982" t="s">
        <v>2015</v>
      </c>
      <c r="B541" s="983"/>
      <c r="C541" s="1545"/>
      <c r="D541" s="984"/>
      <c r="E541" s="778"/>
      <c r="F541" s="985"/>
      <c r="G541" s="968"/>
      <c r="H541" s="986"/>
      <c r="I541" s="986"/>
      <c r="J541" s="986"/>
      <c r="K541" s="986"/>
      <c r="L541" s="986"/>
      <c r="M541" s="986"/>
      <c r="N541" s="987"/>
      <c r="O541" s="987"/>
      <c r="P541" s="987"/>
      <c r="Q541" s="987"/>
      <c r="R541" s="987"/>
      <c r="S541" s="987"/>
      <c r="T541" s="987"/>
      <c r="U541" s="987"/>
      <c r="V541" s="987"/>
      <c r="W541" s="987"/>
      <c r="X541" s="987"/>
      <c r="Y541" s="987"/>
      <c r="Z541" s="987"/>
      <c r="AA541" s="987"/>
      <c r="AB541" s="987"/>
      <c r="AC541" s="987"/>
      <c r="AD541" s="987"/>
      <c r="AE541" s="987"/>
      <c r="AF541" s="987"/>
      <c r="AG541" s="987"/>
      <c r="AH541" s="987"/>
      <c r="AI541" s="987"/>
      <c r="AJ541" s="987"/>
      <c r="AK541" s="987"/>
      <c r="AL541" s="987"/>
      <c r="AM541" s="987"/>
      <c r="AN541" s="987"/>
      <c r="AO541" s="987"/>
      <c r="AP541" s="987"/>
      <c r="AQ541" s="987"/>
      <c r="AR541" s="987"/>
      <c r="AS541" s="987"/>
      <c r="AT541" s="987"/>
      <c r="AU541" s="987"/>
      <c r="AV541" s="987"/>
      <c r="AW541" s="987"/>
      <c r="AX541" s="987"/>
      <c r="AY541" s="987"/>
      <c r="AZ541" s="987"/>
      <c r="BA541" s="987"/>
      <c r="BB541" s="987"/>
      <c r="BC541" s="987"/>
      <c r="BD541" s="987"/>
      <c r="BE541" s="987"/>
      <c r="BF541" s="987"/>
      <c r="BG541" s="987"/>
      <c r="BH541" s="987"/>
    </row>
    <row r="542" spans="1:60">
      <c r="A542" s="993"/>
      <c r="B542" s="994"/>
      <c r="C542" s="995" t="s">
        <v>2910</v>
      </c>
      <c r="D542" s="996"/>
      <c r="E542" s="994"/>
      <c r="F542" s="994"/>
    </row>
    <row r="543" spans="1:60">
      <c r="A543" s="997"/>
      <c r="B543" s="1541" t="s">
        <v>2911</v>
      </c>
      <c r="C543" s="1543" t="s">
        <v>2912</v>
      </c>
      <c r="D543" s="1000"/>
      <c r="E543" s="1024">
        <f>'[6]COSTO CR GLOBAL '!H543</f>
        <v>1072</v>
      </c>
      <c r="F543" s="259" t="s">
        <v>284</v>
      </c>
    </row>
    <row r="544" spans="1:60">
      <c r="A544" s="997"/>
      <c r="B544" s="1542"/>
      <c r="C544" s="1544"/>
      <c r="D544" s="1000"/>
      <c r="E544" s="998"/>
      <c r="F544" s="998"/>
    </row>
    <row r="545" spans="1:6">
      <c r="A545" s="997"/>
      <c r="B545" s="1002"/>
      <c r="C545" s="1544"/>
      <c r="D545" s="1000"/>
      <c r="E545" s="998"/>
      <c r="F545" s="998"/>
    </row>
    <row r="546" spans="1:6">
      <c r="A546" s="997"/>
      <c r="B546" s="1002"/>
      <c r="C546" s="1019"/>
      <c r="D546" s="1000"/>
      <c r="E546" s="998"/>
      <c r="F546" s="998"/>
    </row>
    <row r="547" spans="1:6">
      <c r="A547" s="997"/>
      <c r="B547" s="1002"/>
      <c r="C547" s="1005" t="s">
        <v>2913</v>
      </c>
      <c r="D547" s="1002"/>
      <c r="E547" s="1002"/>
      <c r="F547" s="1002"/>
    </row>
    <row r="548" spans="1:6">
      <c r="B548" s="1002"/>
      <c r="C548" s="1006" t="s">
        <v>2810</v>
      </c>
      <c r="D548" s="1002"/>
      <c r="E548" s="1002"/>
      <c r="F548" s="1002"/>
    </row>
    <row r="549" spans="1:6">
      <c r="B549" s="1002"/>
      <c r="C549" s="1028"/>
      <c r="D549" s="1002"/>
      <c r="E549" s="1002"/>
      <c r="F549" s="1002"/>
    </row>
    <row r="550" spans="1:6">
      <c r="B550" s="1002"/>
      <c r="C550" s="1028"/>
      <c r="D550" s="1002"/>
      <c r="E550" s="1002"/>
      <c r="F550" s="1002"/>
    </row>
    <row r="551" spans="1:6">
      <c r="B551" s="1002"/>
      <c r="D551" s="1002"/>
      <c r="E551" s="1002"/>
      <c r="F551" s="1002"/>
    </row>
    <row r="552" spans="1:6">
      <c r="A552" s="1025"/>
      <c r="B552" s="1026"/>
      <c r="C552" s="1027"/>
      <c r="D552" s="1026"/>
      <c r="E552" s="1026"/>
      <c r="F552" s="1026"/>
    </row>
    <row r="553" spans="1:6">
      <c r="A553" s="993"/>
      <c r="B553" s="994"/>
      <c r="C553" s="995" t="s">
        <v>2910</v>
      </c>
      <c r="D553" s="996"/>
      <c r="E553" s="994"/>
      <c r="F553" s="994"/>
    </row>
    <row r="554" spans="1:6">
      <c r="A554" s="997"/>
      <c r="B554" s="1541" t="s">
        <v>2914</v>
      </c>
      <c r="C554" s="1543" t="s">
        <v>2915</v>
      </c>
      <c r="D554" s="1000"/>
      <c r="E554" s="1024">
        <f>'[6]COSTO CR GLOBAL '!H554</f>
        <v>660</v>
      </c>
      <c r="F554" s="259" t="s">
        <v>284</v>
      </c>
    </row>
    <row r="555" spans="1:6">
      <c r="A555" s="997"/>
      <c r="B555" s="1542"/>
      <c r="C555" s="1544"/>
      <c r="D555" s="1000"/>
      <c r="E555" s="998"/>
      <c r="F555" s="998"/>
    </row>
    <row r="556" spans="1:6">
      <c r="A556" s="997"/>
      <c r="B556" s="1002"/>
      <c r="C556" s="1544"/>
      <c r="D556" s="1000"/>
      <c r="E556" s="998"/>
      <c r="F556" s="998"/>
    </row>
    <row r="557" spans="1:6">
      <c r="A557" s="997"/>
      <c r="B557" s="1002"/>
      <c r="C557" s="1019"/>
      <c r="D557" s="1000"/>
      <c r="E557" s="998"/>
      <c r="F557" s="998"/>
    </row>
    <row r="558" spans="1:6">
      <c r="A558" s="997"/>
      <c r="B558" s="1002"/>
      <c r="C558" s="1005" t="s">
        <v>2814</v>
      </c>
      <c r="D558" s="1002"/>
      <c r="E558" s="1002"/>
      <c r="F558" s="1002"/>
    </row>
    <row r="559" spans="1:6">
      <c r="B559" s="1002"/>
      <c r="C559" s="1006" t="s">
        <v>2810</v>
      </c>
      <c r="D559" s="1002"/>
      <c r="E559" s="1002"/>
      <c r="F559" s="1002"/>
    </row>
    <row r="560" spans="1:6">
      <c r="B560" s="1002"/>
      <c r="C560" s="1028"/>
      <c r="D560" s="1002"/>
      <c r="E560" s="1002"/>
      <c r="F560" s="1002"/>
    </row>
    <row r="561" spans="1:60">
      <c r="B561" s="1002"/>
      <c r="C561" s="1028"/>
      <c r="D561" s="1002"/>
      <c r="E561" s="1002"/>
      <c r="F561" s="1002"/>
    </row>
    <row r="562" spans="1:60">
      <c r="B562" s="1002"/>
      <c r="D562" s="1002"/>
      <c r="E562" s="1002"/>
      <c r="F562" s="1002"/>
    </row>
    <row r="563" spans="1:60">
      <c r="A563" s="1025"/>
      <c r="B563" s="1026"/>
      <c r="C563" s="1027"/>
      <c r="D563" s="1026"/>
      <c r="E563" s="1026"/>
      <c r="F563" s="1026"/>
    </row>
    <row r="564" spans="1:60">
      <c r="A564" s="993"/>
      <c r="B564" s="994"/>
      <c r="C564" s="995" t="s">
        <v>2910</v>
      </c>
      <c r="D564" s="996"/>
      <c r="E564" s="994"/>
      <c r="F564" s="994"/>
    </row>
    <row r="565" spans="1:60">
      <c r="A565" s="997"/>
      <c r="B565" s="1541" t="s">
        <v>2916</v>
      </c>
      <c r="C565" s="1543" t="s">
        <v>2917</v>
      </c>
      <c r="D565" s="1000"/>
      <c r="E565" s="1024">
        <f>'[6]COSTO CR GLOBAL '!H565</f>
        <v>516</v>
      </c>
      <c r="F565" s="259" t="s">
        <v>284</v>
      </c>
    </row>
    <row r="566" spans="1:60">
      <c r="A566" s="997"/>
      <c r="B566" s="1542"/>
      <c r="C566" s="1544"/>
      <c r="D566" s="1000"/>
      <c r="E566" s="998"/>
      <c r="F566" s="998"/>
    </row>
    <row r="567" spans="1:60">
      <c r="A567" s="997"/>
      <c r="B567" s="1002"/>
      <c r="C567" s="1544"/>
      <c r="D567" s="1000"/>
      <c r="E567" s="998"/>
      <c r="F567" s="998"/>
    </row>
    <row r="568" spans="1:60">
      <c r="A568" s="997"/>
      <c r="B568" s="1002"/>
      <c r="C568" s="1019"/>
      <c r="D568" s="1000"/>
      <c r="E568" s="998"/>
      <c r="F568" s="998"/>
    </row>
    <row r="569" spans="1:60">
      <c r="A569" s="997"/>
      <c r="B569" s="1002"/>
      <c r="C569" s="1005" t="s">
        <v>2913</v>
      </c>
      <c r="D569" s="1002"/>
      <c r="E569" s="1002"/>
      <c r="F569" s="1002"/>
    </row>
    <row r="570" spans="1:60">
      <c r="B570" s="1002"/>
      <c r="C570" s="1006" t="s">
        <v>2810</v>
      </c>
      <c r="D570" s="1002"/>
      <c r="E570" s="1002"/>
      <c r="F570" s="1002"/>
    </row>
    <row r="571" spans="1:60">
      <c r="B571" s="1002"/>
      <c r="C571" s="1028"/>
      <c r="D571" s="1002"/>
      <c r="E571" s="1002"/>
      <c r="F571" s="1002"/>
    </row>
    <row r="572" spans="1:60">
      <c r="B572" s="1002"/>
      <c r="C572" s="1028"/>
      <c r="D572" s="1002"/>
      <c r="E572" s="1002"/>
      <c r="F572" s="1002"/>
    </row>
    <row r="573" spans="1:60">
      <c r="B573" s="1002"/>
      <c r="D573" s="1002"/>
      <c r="E573" s="1002"/>
      <c r="F573" s="1002"/>
    </row>
    <row r="574" spans="1:60">
      <c r="A574" s="1025"/>
      <c r="B574" s="1026"/>
      <c r="C574" s="1027"/>
      <c r="D574" s="1026"/>
      <c r="E574" s="1026"/>
      <c r="F574" s="1026"/>
    </row>
    <row r="575" spans="1:60" s="976" customFormat="1" ht="15" customHeight="1">
      <c r="A575" s="977" t="s">
        <v>2753</v>
      </c>
      <c r="B575" s="978"/>
      <c r="C575" s="1552" t="s">
        <v>2918</v>
      </c>
      <c r="D575" s="979"/>
      <c r="E575" s="772"/>
      <c r="F575" s="980"/>
      <c r="G575" s="968"/>
      <c r="H575" s="975"/>
      <c r="I575" s="975"/>
      <c r="J575" s="975"/>
      <c r="K575" s="975"/>
      <c r="L575" s="975"/>
      <c r="M575" s="975"/>
      <c r="N575" s="981"/>
      <c r="O575" s="981"/>
      <c r="P575" s="981"/>
      <c r="Q575" s="981"/>
      <c r="R575" s="981"/>
      <c r="S575" s="981"/>
      <c r="T575" s="981"/>
      <c r="U575" s="981"/>
      <c r="V575" s="981"/>
      <c r="W575" s="981"/>
      <c r="X575" s="981"/>
      <c r="Y575" s="981"/>
      <c r="Z575" s="981"/>
      <c r="AA575" s="981"/>
      <c r="AB575" s="981"/>
      <c r="AC575" s="981"/>
      <c r="AD575" s="981"/>
      <c r="AE575" s="981"/>
      <c r="AF575" s="981"/>
      <c r="AG575" s="981"/>
      <c r="AH575" s="981"/>
      <c r="AI575" s="981"/>
      <c r="AJ575" s="981"/>
      <c r="AK575" s="981"/>
      <c r="AL575" s="981"/>
      <c r="AM575" s="981"/>
      <c r="AN575" s="981"/>
      <c r="AO575" s="981"/>
      <c r="AP575" s="981"/>
      <c r="AQ575" s="981"/>
      <c r="AR575" s="981"/>
      <c r="AS575" s="981"/>
      <c r="AT575" s="981"/>
      <c r="AU575" s="981"/>
      <c r="AV575" s="981"/>
      <c r="AW575" s="981"/>
      <c r="AX575" s="981"/>
      <c r="AY575" s="981"/>
      <c r="AZ575" s="981"/>
      <c r="BA575" s="981"/>
      <c r="BB575" s="981"/>
      <c r="BC575" s="981"/>
      <c r="BD575" s="981"/>
      <c r="BE575" s="981"/>
      <c r="BF575" s="981"/>
      <c r="BG575" s="981"/>
      <c r="BH575" s="981"/>
    </row>
    <row r="576" spans="1:60" s="988" customFormat="1" ht="20.100000000000001" customHeight="1">
      <c r="A576" s="982" t="s">
        <v>2015</v>
      </c>
      <c r="B576" s="983"/>
      <c r="C576" s="1545"/>
      <c r="D576" s="984"/>
      <c r="E576" s="778"/>
      <c r="F576" s="985"/>
      <c r="G576" s="968"/>
      <c r="H576" s="986"/>
      <c r="I576" s="986"/>
      <c r="J576" s="986"/>
      <c r="K576" s="986"/>
      <c r="L576" s="986"/>
      <c r="M576" s="986"/>
      <c r="N576" s="987"/>
      <c r="O576" s="987"/>
      <c r="P576" s="987"/>
      <c r="Q576" s="987"/>
      <c r="R576" s="987"/>
      <c r="S576" s="987"/>
      <c r="T576" s="987"/>
      <c r="U576" s="987"/>
      <c r="V576" s="987"/>
      <c r="W576" s="987"/>
      <c r="X576" s="987"/>
      <c r="Y576" s="987"/>
      <c r="Z576" s="987"/>
      <c r="AA576" s="987"/>
      <c r="AB576" s="987"/>
      <c r="AC576" s="987"/>
      <c r="AD576" s="987"/>
      <c r="AE576" s="987"/>
      <c r="AF576" s="987"/>
      <c r="AG576" s="987"/>
      <c r="AH576" s="987"/>
      <c r="AI576" s="987"/>
      <c r="AJ576" s="987"/>
      <c r="AK576" s="987"/>
      <c r="AL576" s="987"/>
      <c r="AM576" s="987"/>
      <c r="AN576" s="987"/>
      <c r="AO576" s="987"/>
      <c r="AP576" s="987"/>
      <c r="AQ576" s="987"/>
      <c r="AR576" s="987"/>
      <c r="AS576" s="987"/>
      <c r="AT576" s="987"/>
      <c r="AU576" s="987"/>
      <c r="AV576" s="987"/>
      <c r="AW576" s="987"/>
      <c r="AX576" s="987"/>
      <c r="AY576" s="987"/>
      <c r="AZ576" s="987"/>
      <c r="BA576" s="987"/>
      <c r="BB576" s="987"/>
      <c r="BC576" s="987"/>
      <c r="BD576" s="987"/>
      <c r="BE576" s="987"/>
      <c r="BF576" s="987"/>
      <c r="BG576" s="987"/>
      <c r="BH576" s="987"/>
    </row>
    <row r="577" spans="1:6">
      <c r="A577" s="993"/>
      <c r="B577" s="994"/>
      <c r="C577" s="995" t="s">
        <v>2877</v>
      </c>
      <c r="D577" s="996"/>
      <c r="E577" s="994"/>
      <c r="F577" s="994"/>
    </row>
    <row r="578" spans="1:6">
      <c r="A578" s="997"/>
      <c r="B578" s="1541" t="s">
        <v>2919</v>
      </c>
      <c r="C578" s="1543" t="s">
        <v>2920</v>
      </c>
      <c r="D578" s="1000"/>
      <c r="E578" s="1024">
        <f>'[6]COSTO CR GLOBAL '!H578</f>
        <v>4968</v>
      </c>
      <c r="F578" s="259" t="s">
        <v>284</v>
      </c>
    </row>
    <row r="579" spans="1:6">
      <c r="A579" s="997"/>
      <c r="B579" s="1542"/>
      <c r="C579" s="1544"/>
      <c r="D579" s="1000"/>
      <c r="E579" s="998"/>
      <c r="F579" s="998"/>
    </row>
    <row r="580" spans="1:6">
      <c r="A580" s="997"/>
      <c r="B580" s="1002"/>
      <c r="C580" s="1544"/>
      <c r="D580" s="1000"/>
      <c r="E580" s="998"/>
      <c r="F580" s="998"/>
    </row>
    <row r="581" spans="1:6">
      <c r="A581" s="997"/>
      <c r="B581" s="1002"/>
      <c r="C581" s="1019"/>
      <c r="D581" s="1000"/>
      <c r="E581" s="998"/>
      <c r="F581" s="998"/>
    </row>
    <row r="582" spans="1:6">
      <c r="A582" s="997"/>
      <c r="B582" s="1002"/>
      <c r="C582" s="1005" t="s">
        <v>2921</v>
      </c>
      <c r="D582" s="1002"/>
      <c r="E582" s="1002"/>
      <c r="F582" s="1002"/>
    </row>
    <row r="583" spans="1:6">
      <c r="B583" s="1002"/>
      <c r="C583" s="1006" t="s">
        <v>2810</v>
      </c>
      <c r="D583" s="1002"/>
      <c r="E583" s="1002"/>
      <c r="F583" s="1002"/>
    </row>
    <row r="584" spans="1:6">
      <c r="B584" s="1002"/>
      <c r="C584" s="1028"/>
      <c r="D584" s="1002"/>
      <c r="E584" s="1002"/>
      <c r="F584" s="1002"/>
    </row>
    <row r="585" spans="1:6">
      <c r="B585" s="1002"/>
      <c r="C585" s="1028"/>
      <c r="D585" s="1002"/>
      <c r="E585" s="1002"/>
      <c r="F585" s="1002"/>
    </row>
    <row r="586" spans="1:6">
      <c r="B586" s="1002"/>
      <c r="D586" s="1002"/>
      <c r="E586" s="1002"/>
      <c r="F586" s="1002"/>
    </row>
    <row r="587" spans="1:6">
      <c r="A587" s="1025"/>
      <c r="B587" s="1026"/>
      <c r="C587" s="1027"/>
      <c r="D587" s="1026"/>
      <c r="E587" s="1026"/>
      <c r="F587" s="1026"/>
    </row>
    <row r="588" spans="1:6">
      <c r="A588" s="993"/>
      <c r="B588" s="994"/>
      <c r="C588" s="995" t="s">
        <v>2877</v>
      </c>
      <c r="D588" s="996"/>
      <c r="E588" s="994"/>
      <c r="F588" s="994"/>
    </row>
    <row r="589" spans="1:6">
      <c r="A589" s="997"/>
      <c r="B589" s="1541" t="s">
        <v>2922</v>
      </c>
      <c r="C589" s="1543" t="s">
        <v>2923</v>
      </c>
      <c r="D589" s="1000"/>
      <c r="E589" s="1024">
        <f>'[6]COSTO CR GLOBAL '!H589</f>
        <v>222</v>
      </c>
      <c r="F589" s="259" t="s">
        <v>284</v>
      </c>
    </row>
    <row r="590" spans="1:6">
      <c r="A590" s="997"/>
      <c r="B590" s="1542"/>
      <c r="C590" s="1544"/>
      <c r="D590" s="1000"/>
      <c r="E590" s="998"/>
      <c r="F590" s="998"/>
    </row>
    <row r="591" spans="1:6">
      <c r="A591" s="997"/>
      <c r="B591" s="1002"/>
      <c r="C591" s="1544"/>
      <c r="D591" s="1000"/>
      <c r="E591" s="998"/>
      <c r="F591" s="998"/>
    </row>
    <row r="592" spans="1:6">
      <c r="A592" s="997"/>
      <c r="B592" s="1002"/>
      <c r="C592" s="1019"/>
      <c r="D592" s="1000"/>
      <c r="E592" s="998"/>
      <c r="F592" s="998"/>
    </row>
    <row r="593" spans="1:6">
      <c r="A593" s="997"/>
      <c r="B593" s="1002"/>
      <c r="C593" s="1005" t="s">
        <v>2924</v>
      </c>
      <c r="D593" s="1002"/>
      <c r="E593" s="1002"/>
      <c r="F593" s="1002"/>
    </row>
    <row r="594" spans="1:6">
      <c r="B594" s="1002"/>
      <c r="C594" s="1006" t="s">
        <v>2810</v>
      </c>
      <c r="D594" s="1002"/>
      <c r="E594" s="1002"/>
      <c r="F594" s="1002"/>
    </row>
    <row r="595" spans="1:6">
      <c r="B595" s="1002"/>
      <c r="C595" s="1028"/>
      <c r="D595" s="1002"/>
      <c r="E595" s="1002"/>
      <c r="F595" s="1002"/>
    </row>
    <row r="596" spans="1:6">
      <c r="B596" s="1002"/>
      <c r="C596" s="1028"/>
      <c r="D596" s="1002"/>
      <c r="E596" s="1002"/>
      <c r="F596" s="1002"/>
    </row>
    <row r="597" spans="1:6">
      <c r="B597" s="1002"/>
      <c r="D597" s="1002"/>
      <c r="E597" s="1002"/>
      <c r="F597" s="1002"/>
    </row>
    <row r="598" spans="1:6">
      <c r="A598" s="1025"/>
      <c r="B598" s="1026"/>
      <c r="C598" s="1027"/>
      <c r="D598" s="1026"/>
      <c r="E598" s="1026"/>
      <c r="F598" s="1026"/>
    </row>
    <row r="599" spans="1:6">
      <c r="A599" s="993"/>
      <c r="B599" s="994"/>
      <c r="C599" s="995" t="s">
        <v>2877</v>
      </c>
      <c r="D599" s="996"/>
      <c r="E599" s="994"/>
      <c r="F599" s="994"/>
    </row>
    <row r="600" spans="1:6">
      <c r="A600" s="997"/>
      <c r="B600" s="1541" t="s">
        <v>2925</v>
      </c>
      <c r="C600" s="1543" t="s">
        <v>2926</v>
      </c>
      <c r="D600" s="1000"/>
      <c r="E600" s="1024">
        <f>'[6]COSTO CR GLOBAL '!H600</f>
        <v>1062</v>
      </c>
      <c r="F600" s="259" t="s">
        <v>284</v>
      </c>
    </row>
    <row r="601" spans="1:6">
      <c r="A601" s="997"/>
      <c r="B601" s="1542"/>
      <c r="C601" s="1544"/>
      <c r="D601" s="1000"/>
      <c r="E601" s="998"/>
      <c r="F601" s="998"/>
    </row>
    <row r="602" spans="1:6">
      <c r="A602" s="997"/>
      <c r="B602" s="1002"/>
      <c r="C602" s="1544"/>
      <c r="D602" s="1000"/>
      <c r="E602" s="998"/>
      <c r="F602" s="998"/>
    </row>
    <row r="603" spans="1:6">
      <c r="A603" s="997"/>
      <c r="B603" s="1002"/>
      <c r="C603" s="1019"/>
      <c r="D603" s="1000"/>
      <c r="E603" s="998"/>
      <c r="F603" s="998"/>
    </row>
    <row r="604" spans="1:6">
      <c r="A604" s="997"/>
      <c r="B604" s="1002"/>
      <c r="C604" s="1005" t="s">
        <v>2924</v>
      </c>
      <c r="D604" s="1002"/>
      <c r="E604" s="1002"/>
      <c r="F604" s="1002"/>
    </row>
    <row r="605" spans="1:6">
      <c r="B605" s="1002"/>
      <c r="C605" s="1006" t="s">
        <v>2927</v>
      </c>
      <c r="D605" s="1002"/>
      <c r="E605" s="1002"/>
      <c r="F605" s="1002"/>
    </row>
    <row r="606" spans="1:6">
      <c r="B606" s="1002"/>
      <c r="C606" s="1028"/>
      <c r="D606" s="1002"/>
      <c r="E606" s="1002"/>
      <c r="F606" s="1002"/>
    </row>
    <row r="607" spans="1:6">
      <c r="B607" s="1002"/>
      <c r="C607" s="1028"/>
      <c r="D607" s="1002"/>
      <c r="E607" s="1002"/>
      <c r="F607" s="1002"/>
    </row>
    <row r="608" spans="1:6">
      <c r="B608" s="1002"/>
      <c r="D608" s="1002"/>
      <c r="E608" s="1002"/>
      <c r="F608" s="1002"/>
    </row>
    <row r="609" spans="1:60">
      <c r="A609" s="1025"/>
      <c r="B609" s="1026"/>
      <c r="C609" s="1027"/>
      <c r="D609" s="1026"/>
      <c r="E609" s="1026"/>
      <c r="F609" s="1026"/>
    </row>
    <row r="610" spans="1:60" s="976" customFormat="1" ht="15" customHeight="1">
      <c r="A610" s="977" t="s">
        <v>2753</v>
      </c>
      <c r="B610" s="978"/>
      <c r="C610" s="1552" t="s">
        <v>2928</v>
      </c>
      <c r="D610" s="979"/>
      <c r="E610" s="772"/>
      <c r="F610" s="980"/>
      <c r="G610" s="968"/>
      <c r="H610" s="975"/>
      <c r="I610" s="975"/>
      <c r="J610" s="975"/>
      <c r="K610" s="975"/>
      <c r="L610" s="975"/>
      <c r="M610" s="975"/>
      <c r="N610" s="981"/>
      <c r="O610" s="981"/>
      <c r="P610" s="981"/>
      <c r="Q610" s="981"/>
      <c r="R610" s="981"/>
      <c r="S610" s="981"/>
      <c r="T610" s="981"/>
      <c r="U610" s="981"/>
      <c r="V610" s="981"/>
      <c r="W610" s="981"/>
      <c r="X610" s="981"/>
      <c r="Y610" s="981"/>
      <c r="Z610" s="981"/>
      <c r="AA610" s="981"/>
      <c r="AB610" s="981"/>
      <c r="AC610" s="981"/>
      <c r="AD610" s="981"/>
      <c r="AE610" s="981"/>
      <c r="AF610" s="981"/>
      <c r="AG610" s="981"/>
      <c r="AH610" s="981"/>
      <c r="AI610" s="981"/>
      <c r="AJ610" s="981"/>
      <c r="AK610" s="981"/>
      <c r="AL610" s="981"/>
      <c r="AM610" s="981"/>
      <c r="AN610" s="981"/>
      <c r="AO610" s="981"/>
      <c r="AP610" s="981"/>
      <c r="AQ610" s="981"/>
      <c r="AR610" s="981"/>
      <c r="AS610" s="981"/>
      <c r="AT610" s="981"/>
      <c r="AU610" s="981"/>
      <c r="AV610" s="981"/>
      <c r="AW610" s="981"/>
      <c r="AX610" s="981"/>
      <c r="AY610" s="981"/>
      <c r="AZ610" s="981"/>
      <c r="BA610" s="981"/>
      <c r="BB610" s="981"/>
      <c r="BC610" s="981"/>
      <c r="BD610" s="981"/>
      <c r="BE610" s="981"/>
      <c r="BF610" s="981"/>
      <c r="BG610" s="981"/>
      <c r="BH610" s="981"/>
    </row>
    <row r="611" spans="1:60" s="988" customFormat="1" ht="20.100000000000001" customHeight="1">
      <c r="A611" s="982" t="s">
        <v>2929</v>
      </c>
      <c r="B611" s="983"/>
      <c r="C611" s="1545"/>
      <c r="D611" s="984"/>
      <c r="E611" s="778"/>
      <c r="F611" s="985"/>
      <c r="G611" s="968"/>
      <c r="H611" s="986"/>
      <c r="I611" s="986"/>
      <c r="J611" s="986"/>
      <c r="K611" s="986"/>
      <c r="L611" s="986"/>
      <c r="M611" s="986"/>
      <c r="N611" s="987"/>
      <c r="O611" s="987"/>
      <c r="P611" s="987"/>
      <c r="Q611" s="987"/>
      <c r="R611" s="987"/>
      <c r="S611" s="987"/>
      <c r="T611" s="987"/>
      <c r="U611" s="987"/>
      <c r="V611" s="987"/>
      <c r="W611" s="987"/>
      <c r="X611" s="987"/>
      <c r="Y611" s="987"/>
      <c r="Z611" s="987"/>
      <c r="AA611" s="987"/>
      <c r="AB611" s="987"/>
      <c r="AC611" s="987"/>
      <c r="AD611" s="987"/>
      <c r="AE611" s="987"/>
      <c r="AF611" s="987"/>
      <c r="AG611" s="987"/>
      <c r="AH611" s="987"/>
      <c r="AI611" s="987"/>
      <c r="AJ611" s="987"/>
      <c r="AK611" s="987"/>
      <c r="AL611" s="987"/>
      <c r="AM611" s="987"/>
      <c r="AN611" s="987"/>
      <c r="AO611" s="987"/>
      <c r="AP611" s="987"/>
      <c r="AQ611" s="987"/>
      <c r="AR611" s="987"/>
      <c r="AS611" s="987"/>
      <c r="AT611" s="987"/>
      <c r="AU611" s="987"/>
      <c r="AV611" s="987"/>
      <c r="AW611" s="987"/>
      <c r="AX611" s="987"/>
      <c r="AY611" s="987"/>
      <c r="AZ611" s="987"/>
      <c r="BA611" s="987"/>
      <c r="BB611" s="987"/>
      <c r="BC611" s="987"/>
      <c r="BD611" s="987"/>
      <c r="BE611" s="987"/>
      <c r="BF611" s="987"/>
      <c r="BG611" s="987"/>
      <c r="BH611" s="987"/>
    </row>
    <row r="612" spans="1:60">
      <c r="A612" s="993"/>
      <c r="B612" s="994"/>
      <c r="C612" s="995" t="s">
        <v>2930</v>
      </c>
      <c r="D612" s="996"/>
      <c r="E612" s="994"/>
      <c r="F612" s="994"/>
    </row>
    <row r="613" spans="1:60">
      <c r="A613" s="997"/>
      <c r="B613" s="1541" t="s">
        <v>2931</v>
      </c>
      <c r="C613" s="1543" t="s">
        <v>2932</v>
      </c>
      <c r="D613" s="1000"/>
      <c r="E613" s="1024">
        <f>'[6]COSTO CR GLOBAL '!H613</f>
        <v>8422</v>
      </c>
      <c r="F613" s="259" t="s">
        <v>284</v>
      </c>
    </row>
    <row r="614" spans="1:60">
      <c r="A614" s="997"/>
      <c r="B614" s="1542"/>
      <c r="C614" s="1544"/>
      <c r="D614" s="1000"/>
      <c r="E614" s="998"/>
      <c r="F614" s="998"/>
    </row>
    <row r="615" spans="1:60">
      <c r="A615" s="997"/>
      <c r="B615" s="1002"/>
      <c r="C615" s="1544"/>
      <c r="D615" s="1000"/>
      <c r="E615" s="998"/>
      <c r="F615" s="998"/>
    </row>
    <row r="616" spans="1:60">
      <c r="A616" s="997"/>
      <c r="B616" s="1002"/>
      <c r="C616" s="1019"/>
      <c r="D616" s="1000"/>
      <c r="E616" s="998"/>
      <c r="F616" s="998"/>
    </row>
    <row r="617" spans="1:60">
      <c r="A617" s="997"/>
      <c r="B617" s="1002"/>
      <c r="C617" s="1005" t="s">
        <v>2933</v>
      </c>
      <c r="D617" s="1002"/>
      <c r="E617" s="1002"/>
      <c r="F617" s="1002"/>
    </row>
    <row r="618" spans="1:60">
      <c r="B618" s="1002"/>
      <c r="C618" s="1006" t="s">
        <v>2810</v>
      </c>
      <c r="D618" s="1002"/>
      <c r="E618" s="1002"/>
      <c r="F618" s="1002"/>
    </row>
    <row r="619" spans="1:60">
      <c r="B619" s="1002"/>
      <c r="C619" s="1028"/>
      <c r="D619" s="1002"/>
      <c r="E619" s="1002"/>
      <c r="F619" s="1002"/>
    </row>
    <row r="620" spans="1:60">
      <c r="B620" s="1002"/>
      <c r="C620" s="1028"/>
      <c r="D620" s="1002"/>
      <c r="E620" s="1002"/>
      <c r="F620" s="1002"/>
    </row>
    <row r="621" spans="1:60">
      <c r="B621" s="1002"/>
      <c r="D621" s="1002"/>
      <c r="E621" s="1002"/>
      <c r="F621" s="1002"/>
    </row>
    <row r="622" spans="1:60">
      <c r="A622" s="1025"/>
      <c r="B622" s="1026"/>
      <c r="C622" s="1027"/>
      <c r="D622" s="1026"/>
      <c r="E622" s="1026"/>
      <c r="F622" s="1026"/>
    </row>
    <row r="623" spans="1:60">
      <c r="A623" s="993"/>
      <c r="B623" s="994"/>
      <c r="C623" s="995" t="s">
        <v>2934</v>
      </c>
      <c r="D623" s="996"/>
      <c r="E623" s="994"/>
      <c r="F623" s="994"/>
    </row>
    <row r="624" spans="1:60">
      <c r="A624" s="997"/>
      <c r="B624" s="1541" t="s">
        <v>2935</v>
      </c>
      <c r="C624" s="1543" t="s">
        <v>2936</v>
      </c>
      <c r="D624" s="1000"/>
      <c r="E624" s="1024">
        <f>'[6]COSTO CR GLOBAL '!H624</f>
        <v>8422</v>
      </c>
      <c r="F624" s="259" t="s">
        <v>284</v>
      </c>
    </row>
    <row r="625" spans="1:6">
      <c r="A625" s="997"/>
      <c r="B625" s="1542"/>
      <c r="C625" s="1544"/>
      <c r="D625" s="1000"/>
      <c r="E625" s="998"/>
      <c r="F625" s="998"/>
    </row>
    <row r="626" spans="1:6">
      <c r="A626" s="997"/>
      <c r="B626" s="1002"/>
      <c r="C626" s="1544"/>
      <c r="D626" s="1000"/>
      <c r="E626" s="998"/>
      <c r="F626" s="998"/>
    </row>
    <row r="627" spans="1:6">
      <c r="A627" s="997"/>
      <c r="B627" s="1002"/>
      <c r="C627" s="1019"/>
      <c r="D627" s="1000"/>
      <c r="E627" s="998"/>
      <c r="F627" s="998"/>
    </row>
    <row r="628" spans="1:6">
      <c r="A628" s="997"/>
      <c r="B628" s="1002"/>
      <c r="C628" s="1005" t="s">
        <v>2937</v>
      </c>
      <c r="D628" s="1002"/>
      <c r="E628" s="1002"/>
      <c r="F628" s="1002"/>
    </row>
    <row r="629" spans="1:6">
      <c r="B629" s="1002"/>
      <c r="C629" s="1006" t="s">
        <v>2810</v>
      </c>
      <c r="D629" s="1002"/>
      <c r="E629" s="1002"/>
      <c r="F629" s="1002"/>
    </row>
    <row r="630" spans="1:6">
      <c r="B630" s="1002"/>
      <c r="C630" s="1028"/>
      <c r="D630" s="1002"/>
      <c r="E630" s="1002"/>
      <c r="F630" s="1002"/>
    </row>
    <row r="631" spans="1:6">
      <c r="B631" s="1002"/>
      <c r="C631" s="1028"/>
      <c r="D631" s="1002"/>
      <c r="E631" s="1002"/>
      <c r="F631" s="1002"/>
    </row>
    <row r="632" spans="1:6">
      <c r="B632" s="1002"/>
      <c r="D632" s="1002"/>
      <c r="E632" s="1002"/>
      <c r="F632" s="1002"/>
    </row>
    <row r="633" spans="1:6">
      <c r="A633" s="1025"/>
      <c r="B633" s="1026"/>
      <c r="C633" s="1027"/>
      <c r="D633" s="1026"/>
      <c r="E633" s="1026"/>
      <c r="F633" s="1026"/>
    </row>
    <row r="634" spans="1:6">
      <c r="A634" s="993"/>
      <c r="B634" s="994"/>
      <c r="C634" s="995" t="s">
        <v>2934</v>
      </c>
      <c r="D634" s="996"/>
      <c r="E634" s="994"/>
      <c r="F634" s="994"/>
    </row>
    <row r="635" spans="1:6">
      <c r="A635" s="997"/>
      <c r="B635" s="1541" t="s">
        <v>2938</v>
      </c>
      <c r="C635" s="1543" t="s">
        <v>2939</v>
      </c>
      <c r="D635" s="1000"/>
      <c r="E635" s="1024">
        <f>'[6]COSTO CR GLOBAL '!H635</f>
        <v>2670</v>
      </c>
      <c r="F635" s="259" t="s">
        <v>284</v>
      </c>
    </row>
    <row r="636" spans="1:6">
      <c r="A636" s="997"/>
      <c r="B636" s="1542"/>
      <c r="C636" s="1544"/>
      <c r="D636" s="1000"/>
      <c r="E636" s="998"/>
      <c r="F636" s="998"/>
    </row>
    <row r="637" spans="1:6">
      <c r="A637" s="997"/>
      <c r="B637" s="1002"/>
      <c r="C637" s="1544"/>
      <c r="D637" s="1000"/>
      <c r="E637" s="998"/>
      <c r="F637" s="998"/>
    </row>
    <row r="638" spans="1:6">
      <c r="A638" s="997"/>
      <c r="B638" s="1002"/>
      <c r="C638" s="1019"/>
      <c r="D638" s="1000"/>
      <c r="E638" s="998"/>
      <c r="F638" s="998"/>
    </row>
    <row r="639" spans="1:6">
      <c r="A639" s="997"/>
      <c r="B639" s="1002"/>
      <c r="C639" s="1005" t="s">
        <v>2940</v>
      </c>
      <c r="D639" s="1002"/>
      <c r="E639" s="1002"/>
      <c r="F639" s="1002"/>
    </row>
    <row r="640" spans="1:6">
      <c r="B640" s="1002"/>
      <c r="C640" s="1006" t="s">
        <v>2810</v>
      </c>
      <c r="D640" s="1002"/>
      <c r="E640" s="1002"/>
      <c r="F640" s="1002"/>
    </row>
    <row r="641" spans="1:6">
      <c r="B641" s="1002"/>
      <c r="C641" s="1028"/>
      <c r="D641" s="1002"/>
      <c r="E641" s="1002"/>
      <c r="F641" s="1002"/>
    </row>
    <row r="642" spans="1:6">
      <c r="B642" s="1002"/>
      <c r="C642" s="1028"/>
      <c r="D642" s="1002"/>
      <c r="E642" s="1002"/>
      <c r="F642" s="1002"/>
    </row>
    <row r="643" spans="1:6">
      <c r="B643" s="1002"/>
      <c r="D643" s="1002"/>
      <c r="E643" s="1002"/>
      <c r="F643" s="1002"/>
    </row>
    <row r="644" spans="1:6">
      <c r="A644" s="1025"/>
      <c r="B644" s="1026"/>
      <c r="C644" s="1027"/>
      <c r="D644" s="1026"/>
      <c r="E644" s="1026"/>
      <c r="F644" s="1026"/>
    </row>
    <row r="645" spans="1:6">
      <c r="A645" s="993"/>
      <c r="B645" s="994"/>
      <c r="C645" s="995" t="s">
        <v>2934</v>
      </c>
      <c r="D645" s="996"/>
      <c r="E645" s="994"/>
      <c r="F645" s="994"/>
    </row>
    <row r="646" spans="1:6">
      <c r="A646" s="997"/>
      <c r="B646" s="1541" t="s">
        <v>2941</v>
      </c>
      <c r="C646" s="1543" t="s">
        <v>2942</v>
      </c>
      <c r="D646" s="1000"/>
      <c r="E646" s="1024">
        <f>'[6]COSTO CR GLOBAL '!H646</f>
        <v>5892</v>
      </c>
      <c r="F646" s="259" t="s">
        <v>284</v>
      </c>
    </row>
    <row r="647" spans="1:6">
      <c r="A647" s="997"/>
      <c r="B647" s="1542"/>
      <c r="C647" s="1544"/>
      <c r="D647" s="1000"/>
      <c r="E647" s="998"/>
      <c r="F647" s="998"/>
    </row>
    <row r="648" spans="1:6">
      <c r="A648" s="997"/>
      <c r="B648" s="1002"/>
      <c r="C648" s="1544"/>
      <c r="D648" s="1000"/>
      <c r="E648" s="998"/>
      <c r="F648" s="998"/>
    </row>
    <row r="649" spans="1:6">
      <c r="A649" s="997"/>
      <c r="B649" s="1002"/>
      <c r="C649" s="1019"/>
      <c r="D649" s="1000"/>
      <c r="E649" s="998"/>
      <c r="F649" s="998"/>
    </row>
    <row r="650" spans="1:6">
      <c r="A650" s="997"/>
      <c r="B650" s="1002"/>
      <c r="C650" s="1005" t="s">
        <v>1529</v>
      </c>
      <c r="D650" s="1002"/>
      <c r="E650" s="1002"/>
      <c r="F650" s="1002"/>
    </row>
    <row r="651" spans="1:6">
      <c r="B651" s="1002"/>
      <c r="C651" s="1006" t="s">
        <v>2810</v>
      </c>
      <c r="D651" s="1002"/>
      <c r="E651" s="1002"/>
      <c r="F651" s="1002"/>
    </row>
    <row r="652" spans="1:6">
      <c r="B652" s="1002"/>
      <c r="C652" s="1028"/>
      <c r="D652" s="1002"/>
      <c r="E652" s="1002"/>
      <c r="F652" s="1002"/>
    </row>
    <row r="653" spans="1:6">
      <c r="B653" s="1002"/>
      <c r="C653" s="1028"/>
      <c r="D653" s="1002"/>
      <c r="E653" s="1002"/>
      <c r="F653" s="1002"/>
    </row>
    <row r="654" spans="1:6">
      <c r="B654" s="1002"/>
      <c r="D654" s="1002"/>
      <c r="E654" s="1002"/>
      <c r="F654" s="1002"/>
    </row>
    <row r="655" spans="1:6">
      <c r="A655" s="1025"/>
      <c r="B655" s="1026"/>
      <c r="C655" s="1027"/>
      <c r="D655" s="1026"/>
      <c r="E655" s="1026"/>
      <c r="F655" s="1026"/>
    </row>
    <row r="656" spans="1:6" ht="18">
      <c r="A656" s="1545" t="s">
        <v>2943</v>
      </c>
      <c r="B656" s="1545"/>
      <c r="C656" s="1545"/>
      <c r="D656" s="1545"/>
      <c r="E656" s="1545"/>
      <c r="F656" s="1545"/>
    </row>
    <row r="657" spans="1:6">
      <c r="A657" s="1546" t="s">
        <v>2944</v>
      </c>
      <c r="B657" s="1547"/>
      <c r="C657" s="1547"/>
      <c r="D657" s="1547"/>
      <c r="E657" s="1547"/>
      <c r="F657" s="1548"/>
    </row>
    <row r="658" spans="1:6">
      <c r="A658" s="1546" t="s">
        <v>2945</v>
      </c>
      <c r="B658" s="1547"/>
      <c r="C658" s="1547"/>
      <c r="D658" s="1547"/>
      <c r="E658" s="1547"/>
      <c r="F658" s="1548"/>
    </row>
    <row r="659" spans="1:6">
      <c r="A659" s="1549" t="s">
        <v>2946</v>
      </c>
      <c r="B659" s="1550"/>
      <c r="C659" s="1550"/>
      <c r="D659" s="1550"/>
      <c r="E659" s="1550"/>
      <c r="F659" s="1551"/>
    </row>
  </sheetData>
  <mergeCells count="103">
    <mergeCell ref="C130:C132"/>
    <mergeCell ref="C142:C143"/>
    <mergeCell ref="C145:C147"/>
    <mergeCell ref="C153:C155"/>
    <mergeCell ref="C163:C165"/>
    <mergeCell ref="C173:C175"/>
    <mergeCell ref="A5:B5"/>
    <mergeCell ref="E5:F5"/>
    <mergeCell ref="C6:C7"/>
    <mergeCell ref="C55:C57"/>
    <mergeCell ref="C68:C71"/>
    <mergeCell ref="C92:C95"/>
    <mergeCell ref="B236:B237"/>
    <mergeCell ref="C236:C238"/>
    <mergeCell ref="B247:B248"/>
    <mergeCell ref="C247:C249"/>
    <mergeCell ref="B258:B259"/>
    <mergeCell ref="C258:C260"/>
    <mergeCell ref="B183:B184"/>
    <mergeCell ref="C183:C185"/>
    <mergeCell ref="C192:C193"/>
    <mergeCell ref="C195:C197"/>
    <mergeCell ref="C208:C210"/>
    <mergeCell ref="C233:C234"/>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508:B509"/>
    <mergeCell ref="C508:C510"/>
    <mergeCell ref="B519:B520"/>
    <mergeCell ref="C519:C521"/>
    <mergeCell ref="B530:B531"/>
    <mergeCell ref="C530:C532"/>
    <mergeCell ref="B475:B476"/>
    <mergeCell ref="C475:C477"/>
    <mergeCell ref="B486:B487"/>
    <mergeCell ref="C486:C488"/>
    <mergeCell ref="B497:B498"/>
    <mergeCell ref="C497:C499"/>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defaultColWidth="11.42578125" defaultRowHeight="15" outlineLevelCol="1"/>
  <cols>
    <col min="1" max="1" width="17.140625" style="82" customWidth="1"/>
    <col min="2" max="6" width="18.140625" style="82" customWidth="1" outlineLevel="1"/>
    <col min="7" max="7" width="18.140625" style="82" customWidth="1"/>
    <col min="8" max="9" width="13.42578125" style="82" bestFit="1" customWidth="1"/>
    <col min="10" max="16384" width="11.42578125" style="82"/>
  </cols>
  <sheetData>
    <row r="1" spans="1:12">
      <c r="B1" s="1555" t="s">
        <v>2947</v>
      </c>
      <c r="C1" s="1555"/>
      <c r="D1" s="1555"/>
      <c r="E1" s="1555"/>
      <c r="F1" s="1555"/>
      <c r="G1" s="1555"/>
    </row>
    <row r="2" spans="1:12" s="107" customFormat="1" ht="18" customHeight="1">
      <c r="B2" s="107" t="s">
        <v>2948</v>
      </c>
      <c r="C2" s="107" t="s">
        <v>2949</v>
      </c>
      <c r="D2" s="107" t="s">
        <v>2950</v>
      </c>
      <c r="E2" s="107" t="s">
        <v>2951</v>
      </c>
      <c r="F2" s="107" t="s">
        <v>2952</v>
      </c>
      <c r="G2" s="107" t="s">
        <v>2953</v>
      </c>
      <c r="I2" s="108"/>
    </row>
    <row r="3" spans="1:12" s="109" customFormat="1" ht="18" customHeight="1">
      <c r="A3" s="109" t="s">
        <v>2954</v>
      </c>
      <c r="B3" s="110">
        <v>3.2500000000000001E-2</v>
      </c>
      <c r="C3" s="110">
        <v>6.25E-2</v>
      </c>
      <c r="D3" s="110">
        <v>8.2500000000000004E-2</v>
      </c>
      <c r="E3" s="110">
        <v>0.10249999999999999</v>
      </c>
      <c r="F3" s="110">
        <v>0.1525</v>
      </c>
      <c r="G3" s="110">
        <v>0.1925</v>
      </c>
      <c r="I3" s="111"/>
    </row>
    <row r="4" spans="1:12" ht="18" customHeight="1">
      <c r="A4" s="112">
        <v>45466.49</v>
      </c>
      <c r="B4" s="113">
        <f>A4*$B$3</f>
        <v>1477.6609249999999</v>
      </c>
      <c r="C4" s="113">
        <f>A4*$C$3</f>
        <v>2841.6556249999999</v>
      </c>
      <c r="D4" s="113">
        <f>A4*D3</f>
        <v>3750.9854249999999</v>
      </c>
      <c r="E4" s="114">
        <f>A4*E3</f>
        <v>4660.3152249999994</v>
      </c>
      <c r="F4" s="113">
        <f>A4*F3</f>
        <v>6933.6397249999991</v>
      </c>
      <c r="G4" s="114">
        <f>A4*G3</f>
        <v>8752.299325</v>
      </c>
      <c r="H4" s="115"/>
      <c r="I4" s="116"/>
    </row>
    <row r="5" spans="1:12" ht="18" customHeight="1">
      <c r="A5" s="117" t="s">
        <v>302</v>
      </c>
      <c r="B5" s="113">
        <f t="shared" ref="B5:G5" si="0">B4*16%</f>
        <v>236.425748</v>
      </c>
      <c r="C5" s="113">
        <f t="shared" si="0"/>
        <v>454.66489999999999</v>
      </c>
      <c r="D5" s="113">
        <f t="shared" si="0"/>
        <v>600.15766799999994</v>
      </c>
      <c r="E5" s="114">
        <f t="shared" si="0"/>
        <v>745.6504359999999</v>
      </c>
      <c r="F5" s="113">
        <f t="shared" si="0"/>
        <v>1109.3823559999998</v>
      </c>
      <c r="G5" s="114">
        <f t="shared" si="0"/>
        <v>1400.367892</v>
      </c>
      <c r="I5" s="118"/>
    </row>
    <row r="6" spans="1:12" ht="18" customHeight="1">
      <c r="A6" s="113"/>
      <c r="B6" s="119">
        <f t="shared" ref="B6:G6" si="1">+B4+B5</f>
        <v>1714.0866729999998</v>
      </c>
      <c r="C6" s="119">
        <f t="shared" si="1"/>
        <v>3296.3205250000001</v>
      </c>
      <c r="D6" s="119">
        <f t="shared" si="1"/>
        <v>4351.1430929999997</v>
      </c>
      <c r="E6" s="120">
        <f t="shared" si="1"/>
        <v>5405.9656609999993</v>
      </c>
      <c r="F6" s="119">
        <f t="shared" si="1"/>
        <v>8043.0220809999992</v>
      </c>
      <c r="G6" s="120">
        <f t="shared" si="1"/>
        <v>10152.667217</v>
      </c>
      <c r="H6" s="115"/>
    </row>
    <row r="7" spans="1:12" ht="18" customHeight="1">
      <c r="A7" s="110" t="s">
        <v>2955</v>
      </c>
      <c r="B7" s="110">
        <f t="shared" ref="B7:G7" si="2">B6/$A$4</f>
        <v>3.7699999999999997E-2</v>
      </c>
      <c r="C7" s="110">
        <f t="shared" si="2"/>
        <v>7.2500000000000009E-2</v>
      </c>
      <c r="D7" s="110">
        <f t="shared" si="2"/>
        <v>9.5699999999999993E-2</v>
      </c>
      <c r="E7" s="110">
        <f t="shared" si="2"/>
        <v>0.11889999999999999</v>
      </c>
      <c r="F7" s="110">
        <f t="shared" si="2"/>
        <v>0.1769</v>
      </c>
      <c r="G7" s="110">
        <f t="shared" si="2"/>
        <v>0.22330000000000003</v>
      </c>
      <c r="H7" s="121"/>
    </row>
    <row r="8" spans="1:12">
      <c r="A8" s="113"/>
      <c r="B8" s="113"/>
      <c r="C8" s="113"/>
      <c r="D8" s="113"/>
      <c r="E8" s="113"/>
      <c r="F8" s="113"/>
      <c r="G8" s="113"/>
    </row>
    <row r="9" spans="1:12" ht="30" customHeight="1">
      <c r="A9" s="122" t="s">
        <v>2956</v>
      </c>
      <c r="B9" s="110">
        <f t="shared" ref="B9:G9" si="3">SUM(B6+$C$14)/$A$4</f>
        <v>6.7860000000000004E-2</v>
      </c>
      <c r="C9" s="110">
        <f t="shared" si="3"/>
        <v>0.10266000000000002</v>
      </c>
      <c r="D9" s="110">
        <f t="shared" si="3"/>
        <v>0.12586</v>
      </c>
      <c r="E9" s="110">
        <f t="shared" si="3"/>
        <v>0.14906</v>
      </c>
      <c r="F9" s="110">
        <f t="shared" si="3"/>
        <v>0.20705999999999997</v>
      </c>
      <c r="G9" s="110">
        <f t="shared" si="3"/>
        <v>0.25346000000000002</v>
      </c>
    </row>
    <row r="10" spans="1:12">
      <c r="A10" s="113"/>
      <c r="B10" s="113"/>
      <c r="C10" s="113"/>
      <c r="D10" s="113"/>
      <c r="E10" s="113"/>
      <c r="F10" s="113"/>
      <c r="G10" s="113"/>
    </row>
    <row r="11" spans="1:12" ht="18" customHeight="1">
      <c r="A11" s="1556" t="s">
        <v>2957</v>
      </c>
      <c r="B11" s="123">
        <v>2.5999999999999999E-2</v>
      </c>
      <c r="C11" s="124"/>
      <c r="D11" s="113"/>
      <c r="F11" s="113"/>
      <c r="G11" s="113"/>
    </row>
    <row r="12" spans="1:12" ht="18" customHeight="1">
      <c r="A12" s="1556"/>
      <c r="B12" s="125" t="s">
        <v>216</v>
      </c>
      <c r="C12" s="126">
        <f>A4*B11</f>
        <v>1182.1287399999999</v>
      </c>
      <c r="D12" s="113"/>
      <c r="E12" s="113" t="s">
        <v>2958</v>
      </c>
      <c r="F12" s="113"/>
      <c r="G12" s="113"/>
    </row>
    <row r="13" spans="1:12" ht="18" customHeight="1">
      <c r="A13" s="1556"/>
      <c r="B13" s="125" t="s">
        <v>302</v>
      </c>
      <c r="C13" s="126">
        <f>C12*16%</f>
        <v>189.14059839999999</v>
      </c>
      <c r="D13" s="113"/>
      <c r="E13" s="113">
        <f>C14+E6</f>
        <v>6777.2349993999997</v>
      </c>
      <c r="F13" s="113" t="e">
        <f>'Estrategia Comercial '!#REF!</f>
        <v>#REF!</v>
      </c>
      <c r="G13" s="113"/>
    </row>
    <row r="14" spans="1:12" ht="18" customHeight="1">
      <c r="A14" s="1556"/>
      <c r="B14" s="127" t="s">
        <v>2959</v>
      </c>
      <c r="C14" s="128">
        <f>+C12+C13</f>
        <v>1371.2693383999999</v>
      </c>
      <c r="D14" s="113"/>
      <c r="E14" s="115"/>
      <c r="F14" s="113"/>
      <c r="G14" s="113"/>
    </row>
    <row r="15" spans="1:12" ht="18" customHeight="1">
      <c r="A15" s="113"/>
      <c r="B15" s="110" t="s">
        <v>2960</v>
      </c>
      <c r="C15" s="110">
        <f>C14/A4</f>
        <v>3.0159999999999999E-2</v>
      </c>
      <c r="D15" s="113"/>
      <c r="E15" s="115"/>
      <c r="F15" s="113"/>
      <c r="G15" s="129"/>
      <c r="L15" s="113"/>
    </row>
    <row r="16" spans="1:12">
      <c r="A16" s="113"/>
      <c r="B16" s="113"/>
      <c r="C16" s="113"/>
      <c r="D16" s="113"/>
      <c r="E16" s="113"/>
      <c r="F16" s="113"/>
      <c r="G16" s="113"/>
    </row>
    <row r="18" spans="1:7">
      <c r="B18" s="1555" t="s">
        <v>2961</v>
      </c>
      <c r="C18" s="1555"/>
      <c r="D18" s="1555"/>
      <c r="E18" s="1555"/>
      <c r="F18" s="1555"/>
      <c r="G18" s="1555"/>
    </row>
    <row r="19" spans="1:7">
      <c r="A19" s="107"/>
      <c r="B19" s="107" t="s">
        <v>2948</v>
      </c>
      <c r="C19" s="107" t="s">
        <v>2949</v>
      </c>
      <c r="D19" s="107" t="s">
        <v>2950</v>
      </c>
      <c r="E19" s="107" t="s">
        <v>2951</v>
      </c>
      <c r="F19" s="107" t="s">
        <v>2952</v>
      </c>
      <c r="G19" s="107" t="s">
        <v>2953</v>
      </c>
    </row>
    <row r="20" spans="1:7">
      <c r="A20" s="109" t="s">
        <v>2954</v>
      </c>
      <c r="B20" s="110">
        <v>3.2500000000000001E-2</v>
      </c>
      <c r="C20" s="110">
        <v>6.25E-2</v>
      </c>
      <c r="D20" s="110">
        <v>8.2500000000000004E-2</v>
      </c>
      <c r="E20" s="110">
        <v>0.10249999999999999</v>
      </c>
      <c r="F20" s="110">
        <v>0.1525</v>
      </c>
      <c r="G20" s="110">
        <v>0.1925</v>
      </c>
    </row>
    <row r="21" spans="1:7">
      <c r="A21" s="112">
        <f>A4</f>
        <v>45466.49</v>
      </c>
      <c r="B21" s="113">
        <f>A21*$B$3</f>
        <v>1477.6609249999999</v>
      </c>
      <c r="C21" s="113">
        <f>A21*$C$3</f>
        <v>2841.6556249999999</v>
      </c>
      <c r="D21" s="113">
        <f>A21*D20</f>
        <v>3750.9854249999999</v>
      </c>
      <c r="E21" s="114">
        <f>A21*E20</f>
        <v>4660.3152249999994</v>
      </c>
      <c r="F21" s="113">
        <f>A21*F20</f>
        <v>6933.6397249999991</v>
      </c>
      <c r="G21" s="114">
        <f>A21*G20</f>
        <v>8752.299325</v>
      </c>
    </row>
    <row r="22" spans="1:7">
      <c r="A22" s="117" t="s">
        <v>302</v>
      </c>
      <c r="B22" s="113">
        <f t="shared" ref="B22:G22" si="4">B21*16%</f>
        <v>236.425748</v>
      </c>
      <c r="C22" s="113">
        <f t="shared" si="4"/>
        <v>454.66489999999999</v>
      </c>
      <c r="D22" s="113">
        <f t="shared" si="4"/>
        <v>600.15766799999994</v>
      </c>
      <c r="E22" s="114">
        <f t="shared" si="4"/>
        <v>745.6504359999999</v>
      </c>
      <c r="F22" s="113">
        <f t="shared" si="4"/>
        <v>1109.3823559999998</v>
      </c>
      <c r="G22" s="114">
        <f t="shared" si="4"/>
        <v>1400.367892</v>
      </c>
    </row>
    <row r="23" spans="1:7">
      <c r="A23" s="113"/>
      <c r="B23" s="119">
        <f t="shared" ref="B23:G23" si="5">+B21+B22</f>
        <v>1714.0866729999998</v>
      </c>
      <c r="C23" s="119">
        <f t="shared" si="5"/>
        <v>3296.3205250000001</v>
      </c>
      <c r="D23" s="119">
        <f t="shared" si="5"/>
        <v>4351.1430929999997</v>
      </c>
      <c r="E23" s="120">
        <f t="shared" si="5"/>
        <v>5405.9656609999993</v>
      </c>
      <c r="F23" s="119">
        <f t="shared" si="5"/>
        <v>8043.0220809999992</v>
      </c>
      <c r="G23" s="120">
        <f t="shared" si="5"/>
        <v>10152.667217</v>
      </c>
    </row>
    <row r="24" spans="1:7">
      <c r="A24" s="110" t="s">
        <v>2955</v>
      </c>
      <c r="B24" s="110">
        <f t="shared" ref="B24:G24" si="6">B23/$A$4</f>
        <v>3.7699999999999997E-2</v>
      </c>
      <c r="C24" s="110">
        <f t="shared" si="6"/>
        <v>7.2500000000000009E-2</v>
      </c>
      <c r="D24" s="110">
        <f t="shared" si="6"/>
        <v>9.5699999999999993E-2</v>
      </c>
      <c r="E24" s="110">
        <f t="shared" si="6"/>
        <v>0.11889999999999999</v>
      </c>
      <c r="F24" s="110">
        <f t="shared" si="6"/>
        <v>0.1769</v>
      </c>
      <c r="G24" s="110">
        <f t="shared" si="6"/>
        <v>0.22330000000000003</v>
      </c>
    </row>
    <row r="25" spans="1:7">
      <c r="A25" s="113"/>
      <c r="B25" s="113"/>
      <c r="C25" s="113"/>
      <c r="D25" s="113"/>
      <c r="E25" s="113"/>
      <c r="F25" s="113"/>
      <c r="G25" s="113"/>
    </row>
    <row r="26" spans="1:7" ht="32.1">
      <c r="A26" s="122" t="s">
        <v>2956</v>
      </c>
      <c r="B26" s="110">
        <f t="shared" ref="B26:G26" si="7">SUM(B23+$C$14)/$A$4</f>
        <v>6.7860000000000004E-2</v>
      </c>
      <c r="C26" s="110">
        <f t="shared" si="7"/>
        <v>0.10266000000000002</v>
      </c>
      <c r="D26" s="110">
        <f t="shared" si="7"/>
        <v>0.12586</v>
      </c>
      <c r="E26" s="110">
        <f t="shared" si="7"/>
        <v>0.14906</v>
      </c>
      <c r="F26" s="110">
        <f t="shared" si="7"/>
        <v>0.20705999999999997</v>
      </c>
      <c r="G26" s="110">
        <f t="shared" si="7"/>
        <v>0.25346000000000002</v>
      </c>
    </row>
    <row r="27" spans="1:7">
      <c r="A27" s="113"/>
      <c r="B27" s="113"/>
      <c r="C27" s="113"/>
      <c r="D27" s="113"/>
      <c r="E27" s="113"/>
      <c r="F27" s="113"/>
      <c r="G27" s="113"/>
    </row>
    <row r="28" spans="1:7">
      <c r="A28" s="1556" t="s">
        <v>2957</v>
      </c>
      <c r="B28" s="123">
        <v>2.5999999999999999E-2</v>
      </c>
      <c r="C28" s="124"/>
      <c r="D28" s="113"/>
      <c r="F28" s="113"/>
      <c r="G28" s="113"/>
    </row>
    <row r="29" spans="1:7">
      <c r="A29" s="1556"/>
      <c r="B29" s="125" t="s">
        <v>216</v>
      </c>
      <c r="C29" s="126">
        <f>A21*B28</f>
        <v>1182.1287399999999</v>
      </c>
      <c r="D29" s="113"/>
      <c r="E29" s="113" t="s">
        <v>2958</v>
      </c>
      <c r="F29" s="113"/>
      <c r="G29" s="113"/>
    </row>
    <row r="30" spans="1:7">
      <c r="A30" s="1556"/>
      <c r="B30" s="125" t="s">
        <v>302</v>
      </c>
      <c r="C30" s="126">
        <f>C29*16%</f>
        <v>189.14059839999999</v>
      </c>
      <c r="D30" s="113"/>
      <c r="E30" s="113">
        <f>E23+C31</f>
        <v>6777.2349993999997</v>
      </c>
      <c r="F30" s="113" t="e">
        <f>'Estrategia Comercial '!#REF!</f>
        <v>#REF!</v>
      </c>
      <c r="G30" s="113"/>
    </row>
    <row r="31" spans="1:7">
      <c r="A31" s="1556"/>
      <c r="B31" s="127" t="s">
        <v>2959</v>
      </c>
      <c r="C31" s="128">
        <f>+C29+C30</f>
        <v>1371.2693383999999</v>
      </c>
      <c r="D31" s="113"/>
      <c r="E31" s="115"/>
      <c r="F31" s="113"/>
      <c r="G31" s="113"/>
    </row>
    <row r="32" spans="1:7">
      <c r="A32" s="113"/>
      <c r="B32" s="110" t="s">
        <v>2960</v>
      </c>
      <c r="C32" s="110">
        <f>C31/A21</f>
        <v>3.0159999999999999E-2</v>
      </c>
      <c r="D32" s="113"/>
      <c r="E32" s="115"/>
      <c r="F32" s="113"/>
      <c r="G32" s="129"/>
    </row>
    <row r="33" spans="1:7">
      <c r="A33" s="113"/>
      <c r="B33" s="113"/>
      <c r="C33" s="113"/>
      <c r="D33" s="113"/>
      <c r="E33" s="113"/>
      <c r="F33" s="113"/>
      <c r="G33" s="11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2026-09-14T01:23:09Z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